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9.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0.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1.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12.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13.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14.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5.xml" ContentType="application/vnd.openxmlformats-officedocument.drawing+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houh\Documents\FINANCE\financial modelling\"/>
    </mc:Choice>
  </mc:AlternateContent>
  <workbookProtection revisionsPassword="C58F" lockRevision="1"/>
  <bookViews>
    <workbookView xWindow="0" yWindow="0" windowWidth="23040" windowHeight="9780" firstSheet="26" activeTab="28"/>
  </bookViews>
  <sheets>
    <sheet name="NVIDIA Financials" sheetId="1" r:id="rId1"/>
    <sheet name="Analysis-NVIDIA" sheetId="2" r:id="rId2"/>
    <sheet name="Enphase Energy- Financials" sheetId="3" r:id="rId3"/>
    <sheet name="Analysis -Enphase Energy" sheetId="4" r:id="rId4"/>
    <sheet name="AMD Financials" sheetId="5" r:id="rId5"/>
    <sheet name="Analysis-AMD" sheetId="6" r:id="rId6"/>
    <sheet name="Adobe Financials" sheetId="7" r:id="rId7"/>
    <sheet name="Analysis- Adobe" sheetId="8" r:id="rId8"/>
    <sheet name="Qualcomm- Financials" sheetId="9" r:id="rId9"/>
    <sheet name="Analysis- Qualcomm" sheetId="10" r:id="rId10"/>
    <sheet name="Tesla Financials" sheetId="11" r:id="rId11"/>
    <sheet name="Analysis- Tesla" sheetId="12" r:id="rId12"/>
    <sheet name="ANSYS- Financials" sheetId="13" r:id="rId13"/>
    <sheet name="Analysis- ANSYS" sheetId="14" r:id="rId14"/>
    <sheet name="Lockheed Matin- Financials" sheetId="15" r:id="rId15"/>
    <sheet name="Analysis- LMT" sheetId="16" r:id="rId16"/>
    <sheet name="Raytheon Tech's - Financials" sheetId="17" r:id="rId17"/>
    <sheet name="Analysis- Raytheon" sheetId="18" r:id="rId18"/>
    <sheet name="Exxon Mobil- Financials" sheetId="19" r:id="rId19"/>
    <sheet name="Analysis- ExxonMobil" sheetId="20" r:id="rId20"/>
    <sheet name="PayPal- Financials" sheetId="21" r:id="rId21"/>
    <sheet name="Analysis- Paypal" sheetId="22" r:id="rId22"/>
    <sheet name="SalesForce-Finacials" sheetId="23" r:id="rId23"/>
    <sheet name="Analysis-SalesForce" sheetId="24" r:id="rId24"/>
    <sheet name="Microsoft-Financials" sheetId="25" r:id="rId25"/>
    <sheet name="Analysis- Microsoft" sheetId="26" r:id="rId26"/>
    <sheet name="Broadcomm-Financials" sheetId="27" r:id="rId27"/>
    <sheet name="Analysis- Broadcomm" sheetId="28" r:id="rId28"/>
    <sheet name="Amgen Financials" sheetId="29" r:id="rId29"/>
    <sheet name="Analysis- Amgen" sheetId="30" r:id="rId30"/>
    <sheet name="Spare Sheet" sheetId="31" r:id="rId31"/>
  </sheets>
  <definedNames>
    <definedName name="_xlnm._FilterDatabase" localSheetId="2" hidden="1">'Enphase Energy- Financials'!$B$25:$K$59</definedName>
    <definedName name="_xlnm._FilterDatabase" localSheetId="0" hidden="1">'NVIDIA Financials'!$C$2:$G$89</definedName>
    <definedName name="Z_157A7F57_E932_4D71_AAC5_1BA0DA6A9C96_.wvu.FilterData" localSheetId="2" hidden="1">'Enphase Energy- Financials'!$B$25:$K$59</definedName>
    <definedName name="Z_157A7F57_E932_4D71_AAC5_1BA0DA6A9C96_.wvu.FilterData" localSheetId="0" hidden="1">'NVIDIA Financials'!$C$2:$G$89</definedName>
  </definedNames>
  <calcPr calcId="162913"/>
  <customWorkbookViews>
    <customWorkbookView name="SHOUHAM. B.BANERJEE - Personal View" guid="{157A7F57-E932-4D71-AAC5-1BA0DA6A9C96}" mergeInterval="0" personalView="1" maximized="1" xWindow="-9" yWindow="-9" windowWidth="1938" windowHeight="1098" activeSheetId="3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0" i="12" l="1"/>
  <c r="M49" i="30" l="1"/>
  <c r="N49" i="30"/>
  <c r="O49" i="30"/>
  <c r="M50" i="30"/>
  <c r="N50" i="30"/>
  <c r="O50" i="30"/>
  <c r="M51" i="30"/>
  <c r="N51" i="30"/>
  <c r="O51" i="30"/>
  <c r="M52" i="30"/>
  <c r="N52" i="30"/>
  <c r="O52" i="30"/>
  <c r="L52" i="30"/>
  <c r="L51" i="30"/>
  <c r="L50" i="30"/>
  <c r="L49" i="30"/>
  <c r="Q115" i="30"/>
  <c r="Q116" i="30"/>
  <c r="Q117" i="30"/>
  <c r="Q114" i="30"/>
  <c r="O115" i="30"/>
  <c r="O116" i="30"/>
  <c r="O117" i="30"/>
  <c r="O114" i="30"/>
  <c r="H114" i="30" a="1"/>
  <c r="H114" i="30" s="1"/>
  <c r="G114" i="30" a="1"/>
  <c r="G114" i="30" s="1"/>
  <c r="F114" i="30" a="1"/>
  <c r="F114" i="30" s="1"/>
  <c r="E114" i="30" a="1"/>
  <c r="E114" i="30" s="1"/>
  <c r="D114" i="30" a="1"/>
  <c r="D114" i="30" s="1"/>
  <c r="B114" i="30" a="1"/>
  <c r="B114" i="30" s="1"/>
  <c r="M107" i="30"/>
  <c r="M109" i="30" s="1"/>
  <c r="N107" i="30"/>
  <c r="O107" i="30"/>
  <c r="M108" i="30"/>
  <c r="N108" i="30"/>
  <c r="N109" i="30" s="1"/>
  <c r="O108" i="30"/>
  <c r="O109" i="30"/>
  <c r="M101" i="30"/>
  <c r="N101" i="30"/>
  <c r="O101" i="30"/>
  <c r="M102" i="30"/>
  <c r="N102" i="30"/>
  <c r="N103" i="30" s="1"/>
  <c r="O102" i="30"/>
  <c r="M103" i="30"/>
  <c r="O103" i="30"/>
  <c r="M95" i="30"/>
  <c r="M97" i="30" s="1"/>
  <c r="N95" i="30"/>
  <c r="N97" i="30" s="1"/>
  <c r="O95" i="30"/>
  <c r="M96" i="30"/>
  <c r="N96" i="30"/>
  <c r="O96" i="30"/>
  <c r="O97" i="30"/>
  <c r="M89" i="30"/>
  <c r="M91" i="30" s="1"/>
  <c r="N89" i="30"/>
  <c r="O89" i="30"/>
  <c r="M90" i="30"/>
  <c r="N90" i="30"/>
  <c r="O90" i="30"/>
  <c r="N91" i="30"/>
  <c r="O91" i="30"/>
  <c r="L108" i="30"/>
  <c r="L107" i="30"/>
  <c r="L109" i="30" s="1"/>
  <c r="L103" i="30"/>
  <c r="L102" i="30"/>
  <c r="L101" i="30"/>
  <c r="L97" i="30"/>
  <c r="L96" i="30"/>
  <c r="L95" i="30"/>
  <c r="L91" i="30"/>
  <c r="L90" i="30"/>
  <c r="L89" i="30"/>
  <c r="M67" i="30"/>
  <c r="N67" i="30"/>
  <c r="N70" i="30" s="1"/>
  <c r="N72" i="30" s="1"/>
  <c r="O67" i="30"/>
  <c r="M68" i="30"/>
  <c r="N68" i="30"/>
  <c r="O68" i="30"/>
  <c r="M69" i="30"/>
  <c r="N69" i="30"/>
  <c r="O69" i="30"/>
  <c r="M70" i="30"/>
  <c r="O70" i="30"/>
  <c r="O72" i="30" s="1"/>
  <c r="M71" i="30"/>
  <c r="N71" i="30"/>
  <c r="O71" i="30"/>
  <c r="M72" i="30"/>
  <c r="M56" i="30"/>
  <c r="N56" i="30"/>
  <c r="O56" i="30"/>
  <c r="M57" i="30"/>
  <c r="N57" i="30"/>
  <c r="N61" i="30" s="1"/>
  <c r="O57" i="30"/>
  <c r="M58" i="30"/>
  <c r="M62" i="30" s="1"/>
  <c r="N58" i="30"/>
  <c r="N62" i="30" s="1"/>
  <c r="O58" i="30"/>
  <c r="O61" i="30" s="1"/>
  <c r="M59" i="30"/>
  <c r="N59" i="30"/>
  <c r="O59" i="30"/>
  <c r="M60" i="30"/>
  <c r="M63" i="30" s="1"/>
  <c r="N60" i="30"/>
  <c r="N63" i="30" s="1"/>
  <c r="O60" i="30"/>
  <c r="M61" i="30"/>
  <c r="M40" i="30"/>
  <c r="N40" i="30"/>
  <c r="O40" i="30"/>
  <c r="M41" i="30"/>
  <c r="N41" i="30"/>
  <c r="O41" i="30"/>
  <c r="M42" i="30"/>
  <c r="N42" i="30"/>
  <c r="O42" i="30"/>
  <c r="M43" i="30"/>
  <c r="N43" i="30"/>
  <c r="O43" i="30"/>
  <c r="M44" i="30"/>
  <c r="N44" i="30"/>
  <c r="O44" i="30"/>
  <c r="M45" i="30"/>
  <c r="N45" i="30"/>
  <c r="O45" i="30"/>
  <c r="M33" i="30"/>
  <c r="N33" i="30"/>
  <c r="O33" i="30"/>
  <c r="M34" i="30"/>
  <c r="N34" i="30"/>
  <c r="O34" i="30"/>
  <c r="M35" i="30"/>
  <c r="N35" i="30"/>
  <c r="O35" i="30"/>
  <c r="M36" i="30"/>
  <c r="N36" i="30"/>
  <c r="O36" i="30"/>
  <c r="M24" i="30"/>
  <c r="N24" i="30"/>
  <c r="O24" i="30"/>
  <c r="M25" i="30"/>
  <c r="N25" i="30"/>
  <c r="O25" i="30"/>
  <c r="M26" i="30"/>
  <c r="N26" i="30"/>
  <c r="O26" i="30"/>
  <c r="M27" i="30"/>
  <c r="N27" i="30"/>
  <c r="O27" i="30"/>
  <c r="M28" i="30"/>
  <c r="N28" i="30"/>
  <c r="O28" i="30"/>
  <c r="M29" i="30"/>
  <c r="N29" i="30"/>
  <c r="O29" i="30"/>
  <c r="M18" i="30"/>
  <c r="N18" i="30"/>
  <c r="O18" i="30"/>
  <c r="M19" i="30"/>
  <c r="N19" i="30"/>
  <c r="O19" i="30"/>
  <c r="M20" i="30"/>
  <c r="N20" i="30"/>
  <c r="O20" i="30"/>
  <c r="M85" i="30"/>
  <c r="N85" i="30"/>
  <c r="O85" i="30"/>
  <c r="L85" i="30"/>
  <c r="M84" i="30"/>
  <c r="N84" i="30"/>
  <c r="O84" i="30"/>
  <c r="L84" i="30"/>
  <c r="L72" i="30"/>
  <c r="L71" i="30"/>
  <c r="L70" i="30"/>
  <c r="L68" i="30"/>
  <c r="L69" i="30"/>
  <c r="L67" i="30"/>
  <c r="L63" i="30"/>
  <c r="L62" i="30"/>
  <c r="L61" i="30"/>
  <c r="L60" i="30"/>
  <c r="L59" i="30"/>
  <c r="L58" i="30"/>
  <c r="L57" i="30"/>
  <c r="L56" i="30"/>
  <c r="L45" i="30"/>
  <c r="L44" i="30"/>
  <c r="L43" i="30"/>
  <c r="L42" i="30"/>
  <c r="L41" i="30"/>
  <c r="L40" i="30"/>
  <c r="L36" i="30"/>
  <c r="L35" i="30"/>
  <c r="L34" i="30"/>
  <c r="M83" i="30"/>
  <c r="N83" i="30"/>
  <c r="O83" i="30"/>
  <c r="L83" i="30"/>
  <c r="L33" i="30"/>
  <c r="L29" i="30"/>
  <c r="L28" i="30"/>
  <c r="L27" i="30"/>
  <c r="L26" i="30"/>
  <c r="L25" i="30"/>
  <c r="L24" i="30"/>
  <c r="L20" i="30"/>
  <c r="L19" i="30"/>
  <c r="L18" i="30"/>
  <c r="M106" i="30"/>
  <c r="N106" i="30"/>
  <c r="O106" i="30"/>
  <c r="L106" i="30"/>
  <c r="M100" i="30"/>
  <c r="N100" i="30"/>
  <c r="O100" i="30"/>
  <c r="L100" i="30"/>
  <c r="M94" i="30"/>
  <c r="N94" i="30"/>
  <c r="O94" i="30"/>
  <c r="L94" i="30"/>
  <c r="M88" i="30"/>
  <c r="N88" i="30"/>
  <c r="O88" i="30"/>
  <c r="L88" i="30"/>
  <c r="M82" i="30"/>
  <c r="N82" i="30"/>
  <c r="O82" i="30"/>
  <c r="L82" i="30"/>
  <c r="M66" i="30"/>
  <c r="N66" i="30"/>
  <c r="O66" i="30"/>
  <c r="L66" i="30"/>
  <c r="M55" i="30"/>
  <c r="N55" i="30"/>
  <c r="O55" i="30"/>
  <c r="L55" i="30"/>
  <c r="M48" i="30"/>
  <c r="N48" i="30"/>
  <c r="O48" i="30"/>
  <c r="L48" i="30"/>
  <c r="M39" i="30"/>
  <c r="N39" i="30"/>
  <c r="O39" i="30"/>
  <c r="L39" i="30"/>
  <c r="M32" i="30"/>
  <c r="N32" i="30"/>
  <c r="O32" i="30"/>
  <c r="L32" i="30"/>
  <c r="M23" i="30"/>
  <c r="N23" i="30"/>
  <c r="O23" i="30"/>
  <c r="L23" i="30"/>
  <c r="N17" i="30"/>
  <c r="O17" i="30"/>
  <c r="M17" i="30"/>
  <c r="H117" i="30" l="1"/>
  <c r="H116" i="30"/>
  <c r="H115" i="30"/>
  <c r="G117" i="30"/>
  <c r="G116" i="30"/>
  <c r="G115" i="30"/>
  <c r="F117" i="30"/>
  <c r="F116" i="30"/>
  <c r="F115" i="30"/>
  <c r="E117" i="30"/>
  <c r="E116" i="30"/>
  <c r="E115" i="30"/>
  <c r="D117" i="30"/>
  <c r="D116" i="30"/>
  <c r="D115" i="30"/>
  <c r="B117" i="30"/>
  <c r="B116" i="30"/>
  <c r="B115" i="30"/>
  <c r="O62" i="30"/>
  <c r="O63" i="30" s="1"/>
  <c r="M34" i="28"/>
  <c r="N34" i="28"/>
  <c r="O34" i="28"/>
  <c r="L34" i="28"/>
  <c r="Q113" i="28"/>
  <c r="Q114" i="28"/>
  <c r="Q115" i="28"/>
  <c r="Q112" i="28"/>
  <c r="O113" i="28"/>
  <c r="O114" i="28"/>
  <c r="O115" i="28"/>
  <c r="O112" i="28"/>
  <c r="H112" i="28" a="1"/>
  <c r="H112" i="28" s="1"/>
  <c r="G112" i="28" a="1"/>
  <c r="G112" i="28" s="1"/>
  <c r="F112" i="28" a="1"/>
  <c r="F112" i="28" s="1"/>
  <c r="E112" i="28" a="1"/>
  <c r="E113" i="28" s="1"/>
  <c r="D112" i="28" a="1"/>
  <c r="D112" i="28" s="1"/>
  <c r="B112" i="28" a="1"/>
  <c r="B112" i="28" s="1"/>
  <c r="M105" i="28"/>
  <c r="N105" i="28"/>
  <c r="O105" i="28"/>
  <c r="M106" i="28"/>
  <c r="N106" i="28"/>
  <c r="O106" i="28"/>
  <c r="M107" i="28"/>
  <c r="N107" i="28"/>
  <c r="O107" i="28"/>
  <c r="L107" i="28"/>
  <c r="L106" i="28"/>
  <c r="L105" i="28"/>
  <c r="M99" i="28"/>
  <c r="N99" i="28"/>
  <c r="O99" i="28"/>
  <c r="M100" i="28"/>
  <c r="N100" i="28"/>
  <c r="O100" i="28"/>
  <c r="M101" i="28"/>
  <c r="N101" i="28"/>
  <c r="O101" i="28"/>
  <c r="L101" i="28"/>
  <c r="L100" i="28"/>
  <c r="L99" i="28"/>
  <c r="M93" i="28"/>
  <c r="N93" i="28"/>
  <c r="O93" i="28"/>
  <c r="M94" i="28"/>
  <c r="N94" i="28"/>
  <c r="O94" i="28"/>
  <c r="M95" i="28"/>
  <c r="N95" i="28"/>
  <c r="O95" i="28"/>
  <c r="L95" i="28"/>
  <c r="L94" i="28"/>
  <c r="L93" i="28"/>
  <c r="M89" i="28"/>
  <c r="N89" i="28"/>
  <c r="O89" i="28"/>
  <c r="L89" i="28"/>
  <c r="M87" i="28"/>
  <c r="N87" i="28"/>
  <c r="O87" i="28"/>
  <c r="M88" i="28"/>
  <c r="N88" i="28"/>
  <c r="O88" i="28"/>
  <c r="L88" i="28"/>
  <c r="L87" i="28"/>
  <c r="M83" i="28"/>
  <c r="N83" i="28"/>
  <c r="O83" i="28"/>
  <c r="L83" i="28"/>
  <c r="M82" i="28"/>
  <c r="N82" i="28"/>
  <c r="O82" i="28"/>
  <c r="L82" i="28"/>
  <c r="M47" i="28"/>
  <c r="N47" i="28"/>
  <c r="O47" i="28"/>
  <c r="M48" i="28"/>
  <c r="N48" i="28"/>
  <c r="O48" i="28"/>
  <c r="M49" i="28"/>
  <c r="N49" i="28"/>
  <c r="O49" i="28"/>
  <c r="M50" i="28"/>
  <c r="N50" i="28"/>
  <c r="O50" i="28"/>
  <c r="L50" i="28"/>
  <c r="L49" i="28"/>
  <c r="L48" i="28"/>
  <c r="L47" i="28"/>
  <c r="M65" i="28"/>
  <c r="N65" i="28"/>
  <c r="O65" i="28"/>
  <c r="M66" i="28"/>
  <c r="N66" i="28"/>
  <c r="O66" i="28"/>
  <c r="M67" i="28"/>
  <c r="N67" i="28"/>
  <c r="O67" i="28"/>
  <c r="M68" i="28"/>
  <c r="N68" i="28"/>
  <c r="N70" i="28" s="1"/>
  <c r="O68" i="28"/>
  <c r="O70" i="28" s="1"/>
  <c r="M69" i="28"/>
  <c r="N69" i="28"/>
  <c r="O69" i="28"/>
  <c r="M70" i="28"/>
  <c r="M54" i="28"/>
  <c r="N54" i="28"/>
  <c r="N58" i="28" s="1"/>
  <c r="O54" i="28"/>
  <c r="O58" i="28" s="1"/>
  <c r="M55" i="28"/>
  <c r="M58" i="28" s="1"/>
  <c r="N55" i="28"/>
  <c r="N59" i="28" s="1"/>
  <c r="O55" i="28"/>
  <c r="O59" i="28" s="1"/>
  <c r="M56" i="28"/>
  <c r="N56" i="28"/>
  <c r="O56" i="28"/>
  <c r="M57" i="28"/>
  <c r="N57" i="28"/>
  <c r="O57" i="28"/>
  <c r="M60" i="28"/>
  <c r="N60" i="28"/>
  <c r="O60" i="28"/>
  <c r="M38" i="28"/>
  <c r="N38" i="28"/>
  <c r="O38" i="28"/>
  <c r="M39" i="28"/>
  <c r="N39" i="28"/>
  <c r="O39" i="28"/>
  <c r="M40" i="28"/>
  <c r="N40" i="28"/>
  <c r="O40" i="28"/>
  <c r="M41" i="28"/>
  <c r="N41" i="28"/>
  <c r="O41" i="28"/>
  <c r="M42" i="28"/>
  <c r="N42" i="28"/>
  <c r="O42" i="28"/>
  <c r="M43" i="28"/>
  <c r="N43" i="28"/>
  <c r="O43" i="28"/>
  <c r="M31" i="28"/>
  <c r="N31" i="28"/>
  <c r="O31" i="28"/>
  <c r="M32" i="28"/>
  <c r="N32" i="28"/>
  <c r="O32" i="28"/>
  <c r="M33" i="28"/>
  <c r="N33" i="28"/>
  <c r="O33" i="28"/>
  <c r="M22" i="28"/>
  <c r="N22" i="28"/>
  <c r="O22" i="28"/>
  <c r="M23" i="28"/>
  <c r="N23" i="28"/>
  <c r="O23" i="28"/>
  <c r="M24" i="28"/>
  <c r="N24" i="28"/>
  <c r="O24" i="28"/>
  <c r="M25" i="28"/>
  <c r="N25" i="28"/>
  <c r="O25" i="28"/>
  <c r="M26" i="28"/>
  <c r="N26" i="28"/>
  <c r="O26" i="28"/>
  <c r="M27" i="28"/>
  <c r="N27" i="28"/>
  <c r="O27" i="28"/>
  <c r="M16" i="28"/>
  <c r="N16" i="28"/>
  <c r="O16" i="28"/>
  <c r="M17" i="28"/>
  <c r="N17" i="28"/>
  <c r="O17" i="28"/>
  <c r="M18" i="28"/>
  <c r="N18" i="28"/>
  <c r="O18" i="28"/>
  <c r="L70" i="28"/>
  <c r="L69" i="28"/>
  <c r="L68" i="28"/>
  <c r="L66" i="28"/>
  <c r="L67" i="28"/>
  <c r="L65" i="28"/>
  <c r="L61" i="28"/>
  <c r="L60" i="28"/>
  <c r="L59" i="28"/>
  <c r="L58" i="28"/>
  <c r="L57" i="28"/>
  <c r="L56" i="28"/>
  <c r="L55" i="28"/>
  <c r="L54" i="28"/>
  <c r="L43" i="28"/>
  <c r="L42" i="28"/>
  <c r="L41" i="28"/>
  <c r="L40" i="28"/>
  <c r="L38" i="28"/>
  <c r="L39" i="28"/>
  <c r="L33" i="28"/>
  <c r="L32" i="28"/>
  <c r="M81" i="28"/>
  <c r="N81" i="28"/>
  <c r="O81" i="28"/>
  <c r="L81" i="28"/>
  <c r="L31" i="28"/>
  <c r="L27" i="28"/>
  <c r="L26" i="28"/>
  <c r="L25" i="28"/>
  <c r="L24" i="28"/>
  <c r="L23" i="28"/>
  <c r="L22" i="28"/>
  <c r="L18" i="28"/>
  <c r="L17" i="28"/>
  <c r="L16" i="28"/>
  <c r="M104" i="28"/>
  <c r="N104" i="28"/>
  <c r="O104" i="28"/>
  <c r="L104" i="28"/>
  <c r="M98" i="28"/>
  <c r="N98" i="28"/>
  <c r="O98" i="28"/>
  <c r="L98" i="28"/>
  <c r="M92" i="28"/>
  <c r="N92" i="28"/>
  <c r="O92" i="28"/>
  <c r="L92" i="28"/>
  <c r="M86" i="28"/>
  <c r="N86" i="28"/>
  <c r="O86" i="28"/>
  <c r="L86" i="28"/>
  <c r="M80" i="28"/>
  <c r="N80" i="28"/>
  <c r="O80" i="28"/>
  <c r="L80" i="28"/>
  <c r="M64" i="28"/>
  <c r="N64" i="28"/>
  <c r="O64" i="28"/>
  <c r="L64" i="28"/>
  <c r="M53" i="28"/>
  <c r="N53" i="28"/>
  <c r="O53" i="28"/>
  <c r="L53" i="28"/>
  <c r="M46" i="28"/>
  <c r="N46" i="28"/>
  <c r="O46" i="28"/>
  <c r="L46" i="28"/>
  <c r="M37" i="28"/>
  <c r="N37" i="28"/>
  <c r="O37" i="28"/>
  <c r="L37" i="28"/>
  <c r="M30" i="28"/>
  <c r="N30" i="28"/>
  <c r="O30" i="28"/>
  <c r="L30" i="28"/>
  <c r="M21" i="28"/>
  <c r="N21" i="28"/>
  <c r="O21" i="28"/>
  <c r="L21" i="28"/>
  <c r="N15" i="28"/>
  <c r="O15" i="28"/>
  <c r="M15" i="28"/>
  <c r="H115" i="28" l="1"/>
  <c r="H114" i="28"/>
  <c r="H113" i="28"/>
  <c r="G115" i="28"/>
  <c r="G114" i="28"/>
  <c r="G113" i="28"/>
  <c r="F115" i="28"/>
  <c r="F114" i="28"/>
  <c r="F113" i="28"/>
  <c r="E112" i="28"/>
  <c r="E115" i="28"/>
  <c r="E114" i="28"/>
  <c r="D115" i="28"/>
  <c r="D114" i="28"/>
  <c r="D113" i="28"/>
  <c r="B115" i="28"/>
  <c r="B114" i="28"/>
  <c r="B113" i="28"/>
  <c r="O61" i="28"/>
  <c r="N61" i="28"/>
  <c r="M59" i="28"/>
  <c r="M61" i="28" s="1"/>
  <c r="Q114" i="26"/>
  <c r="Q115" i="26"/>
  <c r="Q116" i="26"/>
  <c r="Q113" i="26"/>
  <c r="O114" i="26"/>
  <c r="O115" i="26"/>
  <c r="O116" i="26"/>
  <c r="O113" i="26"/>
  <c r="H113" i="26" a="1"/>
  <c r="H115" i="26" s="1"/>
  <c r="H113" i="26"/>
  <c r="H114" i="26"/>
  <c r="G113" i="26" a="1"/>
  <c r="G113" i="26" s="1"/>
  <c r="F113" i="26" a="1"/>
  <c r="F115" i="26" s="1"/>
  <c r="F113" i="26"/>
  <c r="F114" i="26"/>
  <c r="F116" i="26"/>
  <c r="E113" i="26" a="1"/>
  <c r="E115" i="26" s="1"/>
  <c r="E113" i="26"/>
  <c r="E114" i="26"/>
  <c r="D113" i="26" a="1"/>
  <c r="D113" i="26" s="1"/>
  <c r="B113" i="26" a="1"/>
  <c r="B114" i="26" s="1"/>
  <c r="B113" i="26"/>
  <c r="M48" i="26"/>
  <c r="N48" i="26"/>
  <c r="O48" i="26"/>
  <c r="M49" i="26"/>
  <c r="N49" i="26"/>
  <c r="O49" i="26"/>
  <c r="M50" i="26"/>
  <c r="N50" i="26"/>
  <c r="O50" i="26"/>
  <c r="M51" i="26"/>
  <c r="N51" i="26"/>
  <c r="O51" i="26"/>
  <c r="L51" i="26"/>
  <c r="L50" i="26"/>
  <c r="L49" i="26"/>
  <c r="L48" i="26"/>
  <c r="M108" i="26"/>
  <c r="N108" i="26"/>
  <c r="O108" i="26"/>
  <c r="L108" i="26"/>
  <c r="M107" i="26"/>
  <c r="N107" i="26"/>
  <c r="O107" i="26"/>
  <c r="L107" i="26"/>
  <c r="M106" i="26"/>
  <c r="N106" i="26"/>
  <c r="O106" i="26"/>
  <c r="L106" i="26"/>
  <c r="M105" i="26"/>
  <c r="N105" i="26"/>
  <c r="O105" i="26"/>
  <c r="L105" i="26"/>
  <c r="M100" i="26"/>
  <c r="M102" i="26" s="1"/>
  <c r="N100" i="26"/>
  <c r="N102" i="26" s="1"/>
  <c r="O100" i="26"/>
  <c r="O102" i="26" s="1"/>
  <c r="M101" i="26"/>
  <c r="N101" i="26"/>
  <c r="O101" i="26"/>
  <c r="L102" i="26"/>
  <c r="L101" i="26"/>
  <c r="L100" i="26"/>
  <c r="M99" i="26"/>
  <c r="N99" i="26"/>
  <c r="O99" i="26"/>
  <c r="L99" i="26"/>
  <c r="M94" i="26"/>
  <c r="N94" i="26"/>
  <c r="O94" i="26"/>
  <c r="O96" i="26" s="1"/>
  <c r="M95" i="26"/>
  <c r="N95" i="26"/>
  <c r="N96" i="26" s="1"/>
  <c r="O95" i="26"/>
  <c r="M96" i="26"/>
  <c r="L96" i="26"/>
  <c r="L95" i="26"/>
  <c r="L94" i="26"/>
  <c r="M93" i="26"/>
  <c r="N93" i="26"/>
  <c r="O93" i="26"/>
  <c r="L93" i="26"/>
  <c r="M88" i="26"/>
  <c r="M90" i="26" s="1"/>
  <c r="N88" i="26"/>
  <c r="O88" i="26"/>
  <c r="O90" i="26" s="1"/>
  <c r="M89" i="26"/>
  <c r="N89" i="26"/>
  <c r="O89" i="26"/>
  <c r="N90" i="26"/>
  <c r="L90" i="26"/>
  <c r="L89" i="26"/>
  <c r="L88" i="26"/>
  <c r="M87" i="26"/>
  <c r="N87" i="26"/>
  <c r="O87" i="26"/>
  <c r="L87" i="26"/>
  <c r="M84" i="26"/>
  <c r="N84" i="26"/>
  <c r="O84" i="26"/>
  <c r="L84" i="26"/>
  <c r="M83" i="26"/>
  <c r="N83" i="26"/>
  <c r="O83" i="26"/>
  <c r="M69" i="26"/>
  <c r="N69" i="26"/>
  <c r="N71" i="26" s="1"/>
  <c r="O69" i="26"/>
  <c r="M70" i="26"/>
  <c r="N70" i="26"/>
  <c r="O70" i="26"/>
  <c r="O71" i="26" s="1"/>
  <c r="M71" i="26"/>
  <c r="L71" i="26"/>
  <c r="L70" i="26"/>
  <c r="L69" i="26"/>
  <c r="L67" i="26"/>
  <c r="M67" i="26"/>
  <c r="N67" i="26"/>
  <c r="O67" i="26"/>
  <c r="L68" i="26"/>
  <c r="M68" i="26"/>
  <c r="N68" i="26"/>
  <c r="O68" i="26"/>
  <c r="M66" i="26"/>
  <c r="N66" i="26"/>
  <c r="O66" i="26"/>
  <c r="L66" i="26"/>
  <c r="M55" i="26"/>
  <c r="N55" i="26"/>
  <c r="O55" i="26"/>
  <c r="M56" i="26"/>
  <c r="N56" i="26"/>
  <c r="N60" i="26" s="1"/>
  <c r="O56" i="26"/>
  <c r="O60" i="26" s="1"/>
  <c r="M57" i="26"/>
  <c r="N57" i="26"/>
  <c r="N61" i="26" s="1"/>
  <c r="O57" i="26"/>
  <c r="M58" i="26"/>
  <c r="N58" i="26"/>
  <c r="O58" i="26"/>
  <c r="O61" i="26" s="1"/>
  <c r="M59" i="26"/>
  <c r="M62" i="26" s="1"/>
  <c r="N59" i="26"/>
  <c r="N62" i="26" s="1"/>
  <c r="O59" i="26"/>
  <c r="O62" i="26" s="1"/>
  <c r="M60" i="26"/>
  <c r="M61" i="26"/>
  <c r="L62" i="26"/>
  <c r="L61" i="26"/>
  <c r="L60" i="26"/>
  <c r="L59" i="26"/>
  <c r="L58" i="26"/>
  <c r="L57" i="26"/>
  <c r="L56" i="26"/>
  <c r="L55" i="26"/>
  <c r="M39" i="26"/>
  <c r="N39" i="26"/>
  <c r="O39" i="26"/>
  <c r="M40" i="26"/>
  <c r="N40" i="26"/>
  <c r="O40" i="26"/>
  <c r="M41" i="26"/>
  <c r="N41" i="26"/>
  <c r="O41" i="26"/>
  <c r="M42" i="26"/>
  <c r="N42" i="26"/>
  <c r="O42" i="26"/>
  <c r="M43" i="26"/>
  <c r="N43" i="26"/>
  <c r="O43" i="26"/>
  <c r="M44" i="26"/>
  <c r="N44" i="26"/>
  <c r="O44" i="26"/>
  <c r="L44" i="26"/>
  <c r="L43" i="26"/>
  <c r="L42" i="26"/>
  <c r="L41" i="26"/>
  <c r="L40" i="26"/>
  <c r="L39" i="26"/>
  <c r="M82" i="26"/>
  <c r="N82" i="26"/>
  <c r="O82" i="26"/>
  <c r="M32" i="26"/>
  <c r="N32" i="26"/>
  <c r="O32" i="26"/>
  <c r="M33" i="26"/>
  <c r="N33" i="26"/>
  <c r="O33" i="26"/>
  <c r="M34" i="26"/>
  <c r="N34" i="26"/>
  <c r="O34" i="26"/>
  <c r="M35" i="26"/>
  <c r="N35" i="26"/>
  <c r="O35" i="26"/>
  <c r="L35" i="26"/>
  <c r="L34" i="26"/>
  <c r="L33" i="26"/>
  <c r="L83" i="26"/>
  <c r="L82" i="26"/>
  <c r="M81" i="26"/>
  <c r="N81" i="26"/>
  <c r="O81" i="26"/>
  <c r="L81" i="26"/>
  <c r="L32" i="26"/>
  <c r="M23" i="26"/>
  <c r="N23" i="26"/>
  <c r="O23" i="26"/>
  <c r="M24" i="26"/>
  <c r="N24" i="26"/>
  <c r="O24" i="26"/>
  <c r="M25" i="26"/>
  <c r="N25" i="26"/>
  <c r="O25" i="26"/>
  <c r="M27" i="26"/>
  <c r="N27" i="26"/>
  <c r="O27" i="26"/>
  <c r="M28" i="26"/>
  <c r="N28" i="26"/>
  <c r="O28" i="26"/>
  <c r="L28" i="26"/>
  <c r="L27" i="26"/>
  <c r="L25" i="26"/>
  <c r="L24" i="26"/>
  <c r="L23" i="26"/>
  <c r="M17" i="26"/>
  <c r="N17" i="26"/>
  <c r="O17" i="26"/>
  <c r="M18" i="26"/>
  <c r="N18" i="26"/>
  <c r="O18" i="26"/>
  <c r="M19" i="26"/>
  <c r="N19" i="26"/>
  <c r="O19" i="26"/>
  <c r="L19" i="26"/>
  <c r="L18" i="26"/>
  <c r="L17" i="26"/>
  <c r="M65" i="26"/>
  <c r="N65" i="26"/>
  <c r="O65" i="26"/>
  <c r="L65" i="26"/>
  <c r="M54" i="26"/>
  <c r="N54" i="26"/>
  <c r="O54" i="26"/>
  <c r="L54" i="26"/>
  <c r="M47" i="26"/>
  <c r="N47" i="26"/>
  <c r="O47" i="26"/>
  <c r="L47" i="26"/>
  <c r="M38" i="26"/>
  <c r="N38" i="26"/>
  <c r="O38" i="26"/>
  <c r="L38" i="26"/>
  <c r="M31" i="26"/>
  <c r="N31" i="26"/>
  <c r="O31" i="26"/>
  <c r="L31" i="26"/>
  <c r="M22" i="26"/>
  <c r="N22" i="26"/>
  <c r="O22" i="26"/>
  <c r="L22" i="26"/>
  <c r="N16" i="26"/>
  <c r="O16" i="26" s="1"/>
  <c r="M16" i="26"/>
  <c r="S116" i="24"/>
  <c r="S117" i="24"/>
  <c r="S118" i="24"/>
  <c r="S115" i="24"/>
  <c r="Q116" i="24"/>
  <c r="Q117" i="24"/>
  <c r="Q118" i="24"/>
  <c r="Q115" i="24"/>
  <c r="H115" i="24" a="1"/>
  <c r="H115" i="24" s="1"/>
  <c r="G115" i="24" a="1"/>
  <c r="G115" i="24" s="1"/>
  <c r="F115" i="24" a="1"/>
  <c r="F115" i="24" s="1"/>
  <c r="E115" i="24" a="1"/>
  <c r="E115" i="24" s="1"/>
  <c r="D115" i="24" a="1"/>
  <c r="D115" i="24" s="1"/>
  <c r="D118" i="24"/>
  <c r="B115" i="24" a="1"/>
  <c r="B115" i="24" s="1"/>
  <c r="O50" i="24"/>
  <c r="P50" i="24"/>
  <c r="Q50" i="24"/>
  <c r="O51" i="24"/>
  <c r="P51" i="24"/>
  <c r="Q51" i="24"/>
  <c r="O52" i="24"/>
  <c r="P52" i="24"/>
  <c r="Q52" i="24"/>
  <c r="O53" i="24"/>
  <c r="P53" i="24"/>
  <c r="Q53" i="24"/>
  <c r="N53" i="24"/>
  <c r="N52" i="24"/>
  <c r="N51" i="24"/>
  <c r="N50" i="24"/>
  <c r="O108" i="24"/>
  <c r="P108" i="24"/>
  <c r="Q108" i="24"/>
  <c r="O109" i="24"/>
  <c r="P109" i="24"/>
  <c r="Q109" i="24"/>
  <c r="O110" i="24"/>
  <c r="P110" i="24"/>
  <c r="Q110" i="24"/>
  <c r="N110" i="24"/>
  <c r="N108" i="24"/>
  <c r="N109" i="24"/>
  <c r="O102" i="24"/>
  <c r="P102" i="24"/>
  <c r="Q102" i="24"/>
  <c r="O103" i="24"/>
  <c r="P103" i="24"/>
  <c r="Q103" i="24"/>
  <c r="O104" i="24"/>
  <c r="P104" i="24"/>
  <c r="Q104" i="24"/>
  <c r="N104" i="24"/>
  <c r="N103" i="24"/>
  <c r="N102" i="24"/>
  <c r="O96" i="24"/>
  <c r="P96" i="24"/>
  <c r="Q96" i="24"/>
  <c r="O97" i="24"/>
  <c r="P97" i="24"/>
  <c r="Q97" i="24"/>
  <c r="O98" i="24"/>
  <c r="P98" i="24"/>
  <c r="Q98" i="24"/>
  <c r="N98" i="24"/>
  <c r="N97" i="24"/>
  <c r="N96" i="24"/>
  <c r="O90" i="24"/>
  <c r="P90" i="24"/>
  <c r="Q90" i="24"/>
  <c r="O91" i="24"/>
  <c r="P91" i="24"/>
  <c r="Q91" i="24"/>
  <c r="O92" i="24"/>
  <c r="P92" i="24"/>
  <c r="Q92" i="24"/>
  <c r="N92" i="24"/>
  <c r="N91" i="24"/>
  <c r="N90" i="24"/>
  <c r="O85" i="24"/>
  <c r="P85" i="24"/>
  <c r="Q85" i="24"/>
  <c r="O86" i="24"/>
  <c r="P86" i="24"/>
  <c r="Q86" i="24"/>
  <c r="N86" i="24"/>
  <c r="N85" i="24"/>
  <c r="O71" i="24"/>
  <c r="P71" i="24"/>
  <c r="Q71" i="24"/>
  <c r="O72" i="24"/>
  <c r="P72" i="24"/>
  <c r="Q72" i="24"/>
  <c r="O73" i="24"/>
  <c r="P73" i="24"/>
  <c r="Q73" i="24"/>
  <c r="N73" i="24"/>
  <c r="N72" i="24"/>
  <c r="N71" i="24"/>
  <c r="N69" i="24"/>
  <c r="O69" i="24"/>
  <c r="P69" i="24"/>
  <c r="Q69" i="24"/>
  <c r="N70" i="24"/>
  <c r="O70" i="24"/>
  <c r="P70" i="24"/>
  <c r="Q70" i="24"/>
  <c r="O68" i="24"/>
  <c r="P68" i="24"/>
  <c r="Q68" i="24"/>
  <c r="N68" i="24"/>
  <c r="O57" i="24"/>
  <c r="P57" i="24"/>
  <c r="Q57" i="24"/>
  <c r="O58" i="24"/>
  <c r="P58" i="24"/>
  <c r="P62" i="24" s="1"/>
  <c r="Q58" i="24"/>
  <c r="Q62" i="24" s="1"/>
  <c r="O59" i="24"/>
  <c r="O63" i="24" s="1"/>
  <c r="P59" i="24"/>
  <c r="Q59" i="24"/>
  <c r="Q63" i="24" s="1"/>
  <c r="O60" i="24"/>
  <c r="P60" i="24"/>
  <c r="P63" i="24" s="1"/>
  <c r="Q60" i="24"/>
  <c r="O61" i="24"/>
  <c r="O64" i="24" s="1"/>
  <c r="P61" i="24"/>
  <c r="Q61" i="24"/>
  <c r="O62" i="24"/>
  <c r="N64" i="24"/>
  <c r="N63" i="24"/>
  <c r="N62" i="24"/>
  <c r="N61" i="24"/>
  <c r="N60" i="24"/>
  <c r="N59" i="24"/>
  <c r="N58" i="24"/>
  <c r="N57" i="24"/>
  <c r="O41" i="24"/>
  <c r="P41" i="24"/>
  <c r="Q41" i="24"/>
  <c r="O42" i="24"/>
  <c r="P42" i="24"/>
  <c r="Q42" i="24"/>
  <c r="O43" i="24"/>
  <c r="P43" i="24"/>
  <c r="Q43" i="24"/>
  <c r="O44" i="24"/>
  <c r="P44" i="24"/>
  <c r="Q44" i="24"/>
  <c r="O45" i="24"/>
  <c r="P45" i="24"/>
  <c r="Q45" i="24"/>
  <c r="O46" i="24"/>
  <c r="P46" i="24"/>
  <c r="Q46" i="24"/>
  <c r="N46" i="24"/>
  <c r="N45" i="24"/>
  <c r="N44" i="24"/>
  <c r="N43" i="24"/>
  <c r="N42" i="24"/>
  <c r="N41" i="24"/>
  <c r="O34" i="24"/>
  <c r="P34" i="24"/>
  <c r="Q34" i="24"/>
  <c r="O35" i="24"/>
  <c r="P35" i="24"/>
  <c r="Q35" i="24"/>
  <c r="O37" i="24"/>
  <c r="P37" i="24"/>
  <c r="Q37" i="24"/>
  <c r="O84" i="24"/>
  <c r="P84" i="24"/>
  <c r="Q84" i="24"/>
  <c r="N84" i="24"/>
  <c r="N35" i="24" s="1"/>
  <c r="N37" i="24"/>
  <c r="N34" i="24"/>
  <c r="O25" i="24"/>
  <c r="P25" i="24"/>
  <c r="Q25" i="24"/>
  <c r="O26" i="24"/>
  <c r="P26" i="24"/>
  <c r="Q26" i="24"/>
  <c r="O27" i="24"/>
  <c r="P27" i="24"/>
  <c r="Q27" i="24"/>
  <c r="O28" i="24"/>
  <c r="P28" i="24"/>
  <c r="Q28" i="24"/>
  <c r="O29" i="24"/>
  <c r="P29" i="24"/>
  <c r="Q29" i="24"/>
  <c r="O30" i="24"/>
  <c r="P30" i="24"/>
  <c r="Q30" i="24"/>
  <c r="N30" i="24"/>
  <c r="N29" i="24"/>
  <c r="N28" i="24"/>
  <c r="N27" i="24"/>
  <c r="N26" i="24"/>
  <c r="N25" i="24"/>
  <c r="O19" i="24"/>
  <c r="P19" i="24"/>
  <c r="Q19" i="24"/>
  <c r="O20" i="24"/>
  <c r="P20" i="24"/>
  <c r="Q20" i="24"/>
  <c r="O21" i="24"/>
  <c r="P21" i="24"/>
  <c r="Q21" i="24"/>
  <c r="N21" i="24"/>
  <c r="N20" i="24"/>
  <c r="N19" i="24"/>
  <c r="O107" i="24"/>
  <c r="P107" i="24"/>
  <c r="Q107" i="24"/>
  <c r="N107" i="24"/>
  <c r="O101" i="24"/>
  <c r="P101" i="24"/>
  <c r="Q101" i="24"/>
  <c r="N101" i="24"/>
  <c r="O95" i="24"/>
  <c r="P95" i="24"/>
  <c r="Q95" i="24"/>
  <c r="N95" i="24"/>
  <c r="O89" i="24"/>
  <c r="P89" i="24"/>
  <c r="Q89" i="24"/>
  <c r="N89" i="24"/>
  <c r="O83" i="24"/>
  <c r="P83" i="24"/>
  <c r="Q83" i="24"/>
  <c r="N83" i="24"/>
  <c r="O67" i="24"/>
  <c r="P67" i="24"/>
  <c r="Q67" i="24"/>
  <c r="N67" i="24"/>
  <c r="O56" i="24"/>
  <c r="P56" i="24"/>
  <c r="Q56" i="24"/>
  <c r="N56" i="24"/>
  <c r="O49" i="24"/>
  <c r="P49" i="24"/>
  <c r="Q49" i="24"/>
  <c r="N49" i="24"/>
  <c r="O40" i="24"/>
  <c r="P40" i="24"/>
  <c r="Q40" i="24"/>
  <c r="N40" i="24"/>
  <c r="O33" i="24"/>
  <c r="P33" i="24"/>
  <c r="Q33" i="24"/>
  <c r="N33" i="24"/>
  <c r="O24" i="24"/>
  <c r="P24" i="24"/>
  <c r="Q24" i="24"/>
  <c r="N24" i="24"/>
  <c r="P18" i="24"/>
  <c r="Q18" i="24"/>
  <c r="O18" i="24"/>
  <c r="H116" i="26" l="1"/>
  <c r="G116" i="26"/>
  <c r="G115" i="26"/>
  <c r="G114" i="26"/>
  <c r="E116" i="26"/>
  <c r="D116" i="26"/>
  <c r="D115" i="26"/>
  <c r="D114" i="26"/>
  <c r="B116" i="26"/>
  <c r="B115" i="26"/>
  <c r="H118" i="24"/>
  <c r="H117" i="24"/>
  <c r="H116" i="24"/>
  <c r="G118" i="24"/>
  <c r="G117" i="24"/>
  <c r="G116" i="24"/>
  <c r="F118" i="24"/>
  <c r="F117" i="24"/>
  <c r="F116" i="24"/>
  <c r="E117" i="24"/>
  <c r="E116" i="24"/>
  <c r="E118" i="24"/>
  <c r="D117" i="24"/>
  <c r="D116" i="24"/>
  <c r="B118" i="24"/>
  <c r="B117" i="24"/>
  <c r="B116" i="24"/>
  <c r="Q64" i="24"/>
  <c r="P64" i="24"/>
  <c r="N40" i="22"/>
  <c r="O40" i="22"/>
  <c r="P40" i="22"/>
  <c r="M40" i="22"/>
  <c r="N46" i="22" l="1"/>
  <c r="O46" i="22"/>
  <c r="P46" i="22"/>
  <c r="N47" i="22"/>
  <c r="O47" i="22"/>
  <c r="P47" i="22"/>
  <c r="N48" i="22"/>
  <c r="O48" i="22"/>
  <c r="P48" i="22"/>
  <c r="N49" i="22"/>
  <c r="O49" i="22"/>
  <c r="P49" i="22"/>
  <c r="M49" i="22"/>
  <c r="M48" i="22"/>
  <c r="M47" i="22"/>
  <c r="M46" i="22"/>
  <c r="R112" i="22"/>
  <c r="R113" i="22"/>
  <c r="R114" i="22"/>
  <c r="R111" i="22"/>
  <c r="P112" i="22"/>
  <c r="P113" i="22"/>
  <c r="P114" i="22"/>
  <c r="P111" i="22"/>
  <c r="H111" i="22" a="1"/>
  <c r="H111" i="22" s="1"/>
  <c r="G111" i="22" a="1"/>
  <c r="G111" i="22" s="1"/>
  <c r="F111" i="22" a="1"/>
  <c r="F111" i="22" s="1"/>
  <c r="E111" i="22" a="1"/>
  <c r="E111" i="22" s="1"/>
  <c r="D111" i="22" a="1"/>
  <c r="D111" i="22" s="1"/>
  <c r="B111" i="22" a="1"/>
  <c r="B111" i="22" s="1"/>
  <c r="B113" i="22"/>
  <c r="N106" i="22"/>
  <c r="O106" i="22"/>
  <c r="P106" i="22"/>
  <c r="M106" i="22"/>
  <c r="N104" i="22"/>
  <c r="O104" i="22"/>
  <c r="P104" i="22"/>
  <c r="N105" i="22"/>
  <c r="O105" i="22"/>
  <c r="P105" i="22"/>
  <c r="M104" i="22"/>
  <c r="N98" i="22"/>
  <c r="O98" i="22"/>
  <c r="P98" i="22"/>
  <c r="N99" i="22"/>
  <c r="N100" i="22" s="1"/>
  <c r="O99" i="22"/>
  <c r="O100" i="22" s="1"/>
  <c r="P99" i="22"/>
  <c r="P100" i="22" s="1"/>
  <c r="N92" i="22"/>
  <c r="O92" i="22"/>
  <c r="P92" i="22"/>
  <c r="N93" i="22"/>
  <c r="O93" i="22"/>
  <c r="P93" i="22"/>
  <c r="N94" i="22"/>
  <c r="O94" i="22"/>
  <c r="P94" i="22"/>
  <c r="N86" i="22"/>
  <c r="O86" i="22"/>
  <c r="P86" i="22"/>
  <c r="N87" i="22"/>
  <c r="N88" i="22" s="1"/>
  <c r="O87" i="22"/>
  <c r="O88" i="22" s="1"/>
  <c r="P87" i="22"/>
  <c r="P88" i="22" s="1"/>
  <c r="M105" i="22"/>
  <c r="M100" i="22"/>
  <c r="M99" i="22"/>
  <c r="M98" i="22"/>
  <c r="M94" i="22"/>
  <c r="M93" i="22"/>
  <c r="M92" i="22"/>
  <c r="M88" i="22"/>
  <c r="M87" i="22"/>
  <c r="M86" i="22"/>
  <c r="N82" i="22"/>
  <c r="O82" i="22"/>
  <c r="P82" i="22"/>
  <c r="M82" i="22"/>
  <c r="N103" i="22"/>
  <c r="O103" i="22"/>
  <c r="P103" i="22"/>
  <c r="M103" i="22"/>
  <c r="N97" i="22"/>
  <c r="O97" i="22"/>
  <c r="P97" i="22"/>
  <c r="M97" i="22"/>
  <c r="N91" i="22"/>
  <c r="O91" i="22"/>
  <c r="P91" i="22"/>
  <c r="M91" i="22"/>
  <c r="N85" i="22"/>
  <c r="O85" i="22"/>
  <c r="P85" i="22"/>
  <c r="M85" i="22"/>
  <c r="N80" i="22"/>
  <c r="N31" i="22" s="1"/>
  <c r="O80" i="22"/>
  <c r="O31" i="22" s="1"/>
  <c r="P80" i="22"/>
  <c r="P31" i="22" s="1"/>
  <c r="M80" i="22"/>
  <c r="M31" i="22" s="1"/>
  <c r="N79" i="22"/>
  <c r="O79" i="22"/>
  <c r="P79" i="22"/>
  <c r="M79" i="22"/>
  <c r="P65" i="22"/>
  <c r="N53" i="22"/>
  <c r="N64" i="22" s="1"/>
  <c r="O53" i="22"/>
  <c r="O64" i="22" s="1"/>
  <c r="P53" i="22"/>
  <c r="P64" i="22" s="1"/>
  <c r="P67" i="22" s="1"/>
  <c r="N54" i="22"/>
  <c r="N65" i="22" s="1"/>
  <c r="O54" i="22"/>
  <c r="P54" i="22"/>
  <c r="P58" i="22" s="1"/>
  <c r="N55" i="22"/>
  <c r="N59" i="22" s="1"/>
  <c r="O55" i="22"/>
  <c r="P55" i="22"/>
  <c r="N56" i="22"/>
  <c r="O56" i="22"/>
  <c r="P56" i="22"/>
  <c r="N57" i="22"/>
  <c r="O57" i="22"/>
  <c r="P57" i="22"/>
  <c r="N58" i="22"/>
  <c r="N37" i="22"/>
  <c r="O37" i="22"/>
  <c r="P37" i="22"/>
  <c r="N38" i="22"/>
  <c r="O38" i="22"/>
  <c r="P38" i="22"/>
  <c r="N39" i="22"/>
  <c r="O39" i="22"/>
  <c r="P39" i="22"/>
  <c r="N41" i="22"/>
  <c r="O41" i="22"/>
  <c r="P41" i="22"/>
  <c r="N42" i="22"/>
  <c r="O42" i="22"/>
  <c r="P42" i="22"/>
  <c r="N30" i="22"/>
  <c r="O30" i="22"/>
  <c r="P30" i="22"/>
  <c r="N33" i="22"/>
  <c r="O33" i="22"/>
  <c r="P33" i="22"/>
  <c r="N21" i="22"/>
  <c r="O21" i="22"/>
  <c r="P21" i="22"/>
  <c r="N22" i="22"/>
  <c r="O22" i="22"/>
  <c r="P22" i="22"/>
  <c r="P23" i="22" s="1"/>
  <c r="N23" i="22"/>
  <c r="O23" i="22"/>
  <c r="N24" i="22"/>
  <c r="O24" i="22"/>
  <c r="P24" i="22"/>
  <c r="N25" i="22"/>
  <c r="O25" i="22"/>
  <c r="P25" i="22"/>
  <c r="N26" i="22"/>
  <c r="O26" i="22"/>
  <c r="P26" i="22"/>
  <c r="N15" i="22"/>
  <c r="O15" i="22"/>
  <c r="P15" i="22"/>
  <c r="N16" i="22"/>
  <c r="O16" i="22"/>
  <c r="P16" i="22"/>
  <c r="N17" i="22"/>
  <c r="O17" i="22"/>
  <c r="P17" i="22"/>
  <c r="M64" i="22"/>
  <c r="M56" i="22"/>
  <c r="M55" i="22"/>
  <c r="M66" i="22" s="1"/>
  <c r="M81" i="22" s="1"/>
  <c r="M54" i="22"/>
  <c r="M65" i="22" s="1"/>
  <c r="M53" i="22"/>
  <c r="M42" i="22"/>
  <c r="M41" i="22"/>
  <c r="M39" i="22"/>
  <c r="M38" i="22"/>
  <c r="M37" i="22"/>
  <c r="M33" i="22"/>
  <c r="M30" i="22"/>
  <c r="M26" i="22"/>
  <c r="M25" i="22"/>
  <c r="M24" i="22"/>
  <c r="M22" i="22"/>
  <c r="M23" i="22" s="1"/>
  <c r="M21" i="22"/>
  <c r="M17" i="22"/>
  <c r="M16" i="22"/>
  <c r="M15" i="22"/>
  <c r="N63" i="22"/>
  <c r="O63" i="22"/>
  <c r="P63" i="22"/>
  <c r="M63" i="22"/>
  <c r="N52" i="22"/>
  <c r="O52" i="22"/>
  <c r="P52" i="22"/>
  <c r="M52" i="22"/>
  <c r="N45" i="22"/>
  <c r="O45" i="22"/>
  <c r="P45" i="22"/>
  <c r="M45" i="22"/>
  <c r="N36" i="22"/>
  <c r="O36" i="22"/>
  <c r="P36" i="22"/>
  <c r="M36" i="22"/>
  <c r="N29" i="22"/>
  <c r="O29" i="22"/>
  <c r="P29" i="22"/>
  <c r="M29" i="22"/>
  <c r="N20" i="22"/>
  <c r="O20" i="22"/>
  <c r="P20" i="22"/>
  <c r="M20" i="22"/>
  <c r="N14" i="22"/>
  <c r="O14" i="22" s="1"/>
  <c r="P14" i="22" s="1"/>
  <c r="H114" i="22" l="1"/>
  <c r="H113" i="22"/>
  <c r="H112" i="22"/>
  <c r="G114" i="22"/>
  <c r="G113" i="22"/>
  <c r="G112" i="22"/>
  <c r="F114" i="22"/>
  <c r="F113" i="22"/>
  <c r="F112" i="22"/>
  <c r="E114" i="22"/>
  <c r="E113" i="22"/>
  <c r="E112" i="22"/>
  <c r="D113" i="22"/>
  <c r="D114" i="22"/>
  <c r="D112" i="22"/>
  <c r="B114" i="22"/>
  <c r="B112" i="22"/>
  <c r="N67" i="22"/>
  <c r="M68" i="22"/>
  <c r="M67" i="22"/>
  <c r="M69" i="22" s="1"/>
  <c r="P60" i="22"/>
  <c r="M57" i="22"/>
  <c r="M60" i="22" s="1"/>
  <c r="P59" i="22"/>
  <c r="P66" i="22"/>
  <c r="M59" i="22"/>
  <c r="O58" i="22"/>
  <c r="O65" i="22"/>
  <c r="O68" i="22" s="1"/>
  <c r="O59" i="22"/>
  <c r="O60" i="22" s="1"/>
  <c r="N66" i="22"/>
  <c r="N81" i="22" s="1"/>
  <c r="N60" i="22"/>
  <c r="M58" i="22"/>
  <c r="O66" i="22"/>
  <c r="O81" i="22" s="1"/>
  <c r="N50" i="20"/>
  <c r="O50" i="20"/>
  <c r="P50" i="20"/>
  <c r="N51" i="20"/>
  <c r="O51" i="20"/>
  <c r="P51" i="20"/>
  <c r="N52" i="20"/>
  <c r="O52" i="20"/>
  <c r="P52" i="20"/>
  <c r="N53" i="20"/>
  <c r="O53" i="20"/>
  <c r="P53" i="20"/>
  <c r="M53" i="20"/>
  <c r="M52" i="20"/>
  <c r="M51" i="20"/>
  <c r="M50" i="20"/>
  <c r="Q117" i="20"/>
  <c r="Q118" i="20"/>
  <c r="Q119" i="20"/>
  <c r="Q116" i="20"/>
  <c r="O117" i="20"/>
  <c r="O118" i="20"/>
  <c r="O119" i="20"/>
  <c r="O116" i="20"/>
  <c r="H116" i="20" a="1"/>
  <c r="H116" i="20" s="1"/>
  <c r="G116" i="20" a="1"/>
  <c r="G116" i="20" s="1"/>
  <c r="F116" i="20" a="1"/>
  <c r="F116" i="20" s="1"/>
  <c r="E116" i="20" a="1"/>
  <c r="E116" i="20" s="1"/>
  <c r="E118" i="20"/>
  <c r="E119" i="20"/>
  <c r="D116" i="20" a="1"/>
  <c r="D116" i="20" s="1"/>
  <c r="D119" i="20"/>
  <c r="B116" i="20" a="1"/>
  <c r="B116" i="20" s="1"/>
  <c r="N111" i="20"/>
  <c r="O111" i="20"/>
  <c r="P111" i="20"/>
  <c r="M111" i="20"/>
  <c r="N110" i="20"/>
  <c r="O110" i="20"/>
  <c r="P110" i="20"/>
  <c r="M110" i="20"/>
  <c r="N109" i="20"/>
  <c r="O109" i="20"/>
  <c r="P109" i="20"/>
  <c r="M109" i="20"/>
  <c r="N104" i="20"/>
  <c r="O104" i="20"/>
  <c r="P104" i="20"/>
  <c r="N103" i="20"/>
  <c r="O103" i="20"/>
  <c r="P103" i="20"/>
  <c r="N105" i="20"/>
  <c r="O105" i="20"/>
  <c r="P105" i="20"/>
  <c r="M105" i="20"/>
  <c r="M104" i="20"/>
  <c r="M103" i="20"/>
  <c r="N99" i="20"/>
  <c r="O99" i="20"/>
  <c r="P99" i="20"/>
  <c r="M99" i="20"/>
  <c r="N98" i="20"/>
  <c r="O98" i="20"/>
  <c r="P98" i="20"/>
  <c r="M98" i="20"/>
  <c r="N97" i="20"/>
  <c r="O97" i="20"/>
  <c r="P97" i="20"/>
  <c r="M97" i="20"/>
  <c r="N108" i="20"/>
  <c r="O108" i="20"/>
  <c r="P108" i="20"/>
  <c r="M108" i="20"/>
  <c r="N102" i="20"/>
  <c r="O102" i="20"/>
  <c r="P102" i="20"/>
  <c r="M102" i="20"/>
  <c r="N96" i="20"/>
  <c r="O96" i="20"/>
  <c r="P96" i="20"/>
  <c r="M96" i="20"/>
  <c r="N87" i="20"/>
  <c r="O87" i="20"/>
  <c r="P87" i="20"/>
  <c r="M87" i="20"/>
  <c r="N93" i="20"/>
  <c r="O93" i="20"/>
  <c r="P93" i="20"/>
  <c r="M93" i="20"/>
  <c r="N91" i="20"/>
  <c r="O91" i="20"/>
  <c r="P91" i="20"/>
  <c r="N92" i="20"/>
  <c r="O92" i="20"/>
  <c r="P92" i="20"/>
  <c r="M92" i="20"/>
  <c r="M91" i="20"/>
  <c r="N90" i="20"/>
  <c r="O90" i="20"/>
  <c r="P90" i="20"/>
  <c r="M90" i="20"/>
  <c r="N86" i="20"/>
  <c r="O86" i="20"/>
  <c r="P86" i="20"/>
  <c r="M86" i="20"/>
  <c r="N71" i="20"/>
  <c r="O71" i="20"/>
  <c r="P71" i="20"/>
  <c r="N72" i="20"/>
  <c r="O72" i="20"/>
  <c r="P72" i="20"/>
  <c r="N73" i="20"/>
  <c r="O73" i="20"/>
  <c r="P73" i="20"/>
  <c r="M73" i="20"/>
  <c r="M72" i="20"/>
  <c r="M71" i="20"/>
  <c r="M69" i="20"/>
  <c r="N69" i="20"/>
  <c r="O69" i="20"/>
  <c r="P69" i="20"/>
  <c r="M70" i="20"/>
  <c r="N70" i="20"/>
  <c r="O70" i="20"/>
  <c r="P70" i="20"/>
  <c r="N68" i="20"/>
  <c r="O68" i="20"/>
  <c r="P68" i="20"/>
  <c r="M68" i="20"/>
  <c r="N57" i="20"/>
  <c r="O57" i="20"/>
  <c r="P57" i="20"/>
  <c r="N58" i="20"/>
  <c r="O58" i="20"/>
  <c r="O62" i="20" s="1"/>
  <c r="P58" i="20"/>
  <c r="P62" i="20" s="1"/>
  <c r="N59" i="20"/>
  <c r="O59" i="20"/>
  <c r="P59" i="20"/>
  <c r="N60" i="20"/>
  <c r="N63" i="20" s="1"/>
  <c r="O60" i="20"/>
  <c r="O63" i="20" s="1"/>
  <c r="P60" i="20"/>
  <c r="P63" i="20" s="1"/>
  <c r="N61" i="20"/>
  <c r="N64" i="20" s="1"/>
  <c r="O61" i="20"/>
  <c r="O64" i="20" s="1"/>
  <c r="P61" i="20"/>
  <c r="P64" i="20" s="1"/>
  <c r="N62" i="20"/>
  <c r="M64" i="20"/>
  <c r="M63" i="20"/>
  <c r="M62" i="20"/>
  <c r="M61" i="20"/>
  <c r="M60" i="20"/>
  <c r="M59" i="20"/>
  <c r="M58" i="20"/>
  <c r="M57" i="20"/>
  <c r="N41" i="20"/>
  <c r="O41" i="20"/>
  <c r="P41" i="20"/>
  <c r="N42" i="20"/>
  <c r="O42" i="20"/>
  <c r="P42" i="20"/>
  <c r="N43" i="20"/>
  <c r="O43" i="20"/>
  <c r="P43" i="20"/>
  <c r="N44" i="20"/>
  <c r="O44" i="20"/>
  <c r="P44" i="20"/>
  <c r="N45" i="20"/>
  <c r="O45" i="20"/>
  <c r="P45" i="20"/>
  <c r="N46" i="20"/>
  <c r="O46" i="20"/>
  <c r="P46" i="20"/>
  <c r="M46" i="20"/>
  <c r="M45" i="20"/>
  <c r="M44" i="20"/>
  <c r="M43" i="20"/>
  <c r="M41" i="20"/>
  <c r="M42" i="20"/>
  <c r="N85" i="20"/>
  <c r="O85" i="20"/>
  <c r="P85" i="20"/>
  <c r="M85" i="20"/>
  <c r="M35" i="20" s="1"/>
  <c r="N34" i="20"/>
  <c r="O34" i="20"/>
  <c r="P34" i="20"/>
  <c r="N35" i="20"/>
  <c r="O35" i="20"/>
  <c r="P35" i="20"/>
  <c r="N36" i="20"/>
  <c r="O36" i="20"/>
  <c r="P36" i="20"/>
  <c r="N37" i="20"/>
  <c r="O37" i="20"/>
  <c r="P37" i="20"/>
  <c r="N84" i="20"/>
  <c r="O84" i="20"/>
  <c r="P84" i="20"/>
  <c r="M84" i="20"/>
  <c r="M37" i="20"/>
  <c r="M36" i="20"/>
  <c r="M34" i="20"/>
  <c r="N25" i="20"/>
  <c r="O25" i="20"/>
  <c r="P25" i="20"/>
  <c r="N26" i="20"/>
  <c r="O26" i="20"/>
  <c r="P26" i="20"/>
  <c r="N27" i="20"/>
  <c r="O27" i="20"/>
  <c r="P27" i="20"/>
  <c r="N28" i="20"/>
  <c r="O28" i="20"/>
  <c r="P28" i="20"/>
  <c r="N29" i="20"/>
  <c r="O29" i="20"/>
  <c r="P29" i="20"/>
  <c r="N30" i="20"/>
  <c r="O30" i="20"/>
  <c r="P30" i="20"/>
  <c r="M30" i="20"/>
  <c r="M29" i="20"/>
  <c r="M28" i="20"/>
  <c r="M27" i="20"/>
  <c r="M26" i="20"/>
  <c r="M25" i="20"/>
  <c r="N19" i="20"/>
  <c r="O19" i="20"/>
  <c r="P19" i="20"/>
  <c r="N20" i="20"/>
  <c r="O20" i="20"/>
  <c r="P20" i="20"/>
  <c r="N21" i="20"/>
  <c r="O21" i="20"/>
  <c r="P21" i="20"/>
  <c r="M21" i="20"/>
  <c r="M20" i="20"/>
  <c r="M19" i="20"/>
  <c r="N67" i="20"/>
  <c r="O67" i="20"/>
  <c r="P67" i="20"/>
  <c r="M67" i="20"/>
  <c r="N56" i="20"/>
  <c r="O56" i="20"/>
  <c r="P56" i="20"/>
  <c r="M56" i="20"/>
  <c r="N49" i="20"/>
  <c r="O49" i="20"/>
  <c r="P49" i="20"/>
  <c r="M49" i="20"/>
  <c r="N40" i="20"/>
  <c r="O40" i="20"/>
  <c r="P40" i="20"/>
  <c r="M40" i="20"/>
  <c r="N33" i="20"/>
  <c r="O33" i="20"/>
  <c r="P33" i="20"/>
  <c r="M33" i="20"/>
  <c r="N24" i="20"/>
  <c r="O24" i="20"/>
  <c r="P24" i="20"/>
  <c r="M24" i="20"/>
  <c r="O18" i="20"/>
  <c r="P18" i="20" s="1"/>
  <c r="N18" i="20"/>
  <c r="P68" i="22" l="1"/>
  <c r="P69" i="22" s="1"/>
  <c r="P81" i="22"/>
  <c r="O67" i="22"/>
  <c r="O69" i="22" s="1"/>
  <c r="N68" i="22"/>
  <c r="N69" i="22" s="1"/>
  <c r="H119" i="20"/>
  <c r="H118" i="20"/>
  <c r="H117" i="20"/>
  <c r="G119" i="20"/>
  <c r="G118" i="20"/>
  <c r="G117" i="20"/>
  <c r="F119" i="20"/>
  <c r="F118" i="20"/>
  <c r="F117" i="20"/>
  <c r="E117" i="20"/>
  <c r="D118" i="20"/>
  <c r="D117" i="20"/>
  <c r="B119" i="20"/>
  <c r="B118" i="20"/>
  <c r="B117" i="20"/>
  <c r="N49" i="18"/>
  <c r="O49" i="18"/>
  <c r="P49" i="18"/>
  <c r="N50" i="18"/>
  <c r="O50" i="18"/>
  <c r="P50" i="18"/>
  <c r="N51" i="18"/>
  <c r="O51" i="18"/>
  <c r="P51" i="18"/>
  <c r="N52" i="18"/>
  <c r="O52" i="18"/>
  <c r="P52" i="18"/>
  <c r="M52" i="18"/>
  <c r="M51" i="18"/>
  <c r="M50" i="18"/>
  <c r="M49" i="18"/>
  <c r="Q115" i="18"/>
  <c r="Q116" i="18"/>
  <c r="Q117" i="18"/>
  <c r="Q118" i="18"/>
  <c r="P110" i="18"/>
  <c r="M110" i="18"/>
  <c r="H115" i="18" s="1" a="1"/>
  <c r="H115" i="18" s="1"/>
  <c r="N109" i="18"/>
  <c r="N110" i="18" s="1"/>
  <c r="O109" i="18"/>
  <c r="O110" i="18" s="1"/>
  <c r="P109" i="18"/>
  <c r="M109" i="18"/>
  <c r="N108" i="18"/>
  <c r="O108" i="18"/>
  <c r="P108" i="18"/>
  <c r="M108" i="18"/>
  <c r="N102" i="18"/>
  <c r="O102" i="18"/>
  <c r="P102" i="18"/>
  <c r="M102" i="18"/>
  <c r="N96" i="18"/>
  <c r="O96" i="18"/>
  <c r="P96" i="18"/>
  <c r="M96" i="18"/>
  <c r="M98" i="18" s="1"/>
  <c r="N90" i="18"/>
  <c r="O90" i="18"/>
  <c r="P90" i="18"/>
  <c r="M90" i="18"/>
  <c r="O85" i="18"/>
  <c r="O91" i="18" s="1"/>
  <c r="M68" i="18"/>
  <c r="N68" i="18"/>
  <c r="O69" i="18"/>
  <c r="P69" i="18"/>
  <c r="P85" i="18" s="1"/>
  <c r="P91" i="18" s="1"/>
  <c r="P97" i="18" s="1"/>
  <c r="P103" i="18" s="1"/>
  <c r="P104" i="18" s="1"/>
  <c r="M67" i="18"/>
  <c r="N56" i="18"/>
  <c r="N60" i="18" s="1"/>
  <c r="O56" i="18"/>
  <c r="O67" i="18" s="1"/>
  <c r="P56" i="18"/>
  <c r="P60" i="18" s="1"/>
  <c r="N57" i="18"/>
  <c r="N61" i="18" s="1"/>
  <c r="O57" i="18"/>
  <c r="O61" i="18" s="1"/>
  <c r="P57" i="18"/>
  <c r="P61" i="18" s="1"/>
  <c r="N58" i="18"/>
  <c r="N62" i="18" s="1"/>
  <c r="O58" i="18"/>
  <c r="P58" i="18"/>
  <c r="N59" i="18"/>
  <c r="O59" i="18"/>
  <c r="P59" i="18"/>
  <c r="M60" i="18"/>
  <c r="M59" i="18"/>
  <c r="M58" i="18"/>
  <c r="M69" i="18" s="1"/>
  <c r="M85" i="18" s="1"/>
  <c r="M91" i="18" s="1"/>
  <c r="M97" i="18" s="1"/>
  <c r="M103" i="18" s="1"/>
  <c r="M104" i="18" s="1"/>
  <c r="M57" i="18"/>
  <c r="M56" i="18"/>
  <c r="N40" i="18"/>
  <c r="O40" i="18"/>
  <c r="P40" i="18"/>
  <c r="N41" i="18"/>
  <c r="O41" i="18"/>
  <c r="P41" i="18"/>
  <c r="N42" i="18"/>
  <c r="O42" i="18"/>
  <c r="P42" i="18"/>
  <c r="N44" i="18"/>
  <c r="O44" i="18"/>
  <c r="P44" i="18"/>
  <c r="N45" i="18"/>
  <c r="O45" i="18"/>
  <c r="P45" i="18"/>
  <c r="M45" i="18"/>
  <c r="M44" i="18"/>
  <c r="M42" i="18"/>
  <c r="M41" i="18"/>
  <c r="M40" i="18"/>
  <c r="N33" i="18"/>
  <c r="O33" i="18"/>
  <c r="P33" i="18"/>
  <c r="N34" i="18"/>
  <c r="O34" i="18"/>
  <c r="P34" i="18"/>
  <c r="N35" i="18"/>
  <c r="O35" i="18"/>
  <c r="P35" i="18"/>
  <c r="N36" i="18"/>
  <c r="O36" i="18"/>
  <c r="P36" i="18"/>
  <c r="M36" i="18"/>
  <c r="M35" i="18"/>
  <c r="M33" i="18"/>
  <c r="N24" i="18"/>
  <c r="O24" i="18"/>
  <c r="P24" i="18"/>
  <c r="N25" i="18"/>
  <c r="N26" i="18" s="1"/>
  <c r="O25" i="18"/>
  <c r="O26" i="18" s="1"/>
  <c r="P25" i="18"/>
  <c r="P26" i="18" s="1"/>
  <c r="N27" i="18"/>
  <c r="O27" i="18"/>
  <c r="P27" i="18"/>
  <c r="N28" i="18"/>
  <c r="O28" i="18"/>
  <c r="P28" i="18"/>
  <c r="N29" i="18"/>
  <c r="O29" i="18"/>
  <c r="P29" i="18"/>
  <c r="M29" i="18"/>
  <c r="M28" i="18"/>
  <c r="M27" i="18"/>
  <c r="M25" i="18"/>
  <c r="M26" i="18" s="1"/>
  <c r="M24" i="18"/>
  <c r="N18" i="18"/>
  <c r="O18" i="18"/>
  <c r="P18" i="18"/>
  <c r="N19" i="18"/>
  <c r="O19" i="18"/>
  <c r="P19" i="18"/>
  <c r="N20" i="18"/>
  <c r="O20" i="18"/>
  <c r="P20" i="18"/>
  <c r="M20" i="18"/>
  <c r="M19" i="18"/>
  <c r="M18" i="18"/>
  <c r="N84" i="18"/>
  <c r="N43" i="18" s="1"/>
  <c r="O84" i="18"/>
  <c r="O43" i="18" s="1"/>
  <c r="P84" i="18"/>
  <c r="P43" i="18" s="1"/>
  <c r="M84" i="18"/>
  <c r="M43" i="18" s="1"/>
  <c r="M23" i="18"/>
  <c r="M32" i="18" s="1"/>
  <c r="M39" i="18" s="1"/>
  <c r="M48" i="18" s="1"/>
  <c r="M55" i="18" s="1"/>
  <c r="M66" i="18" s="1"/>
  <c r="M83" i="18" s="1"/>
  <c r="M89" i="18" s="1"/>
  <c r="M95" i="18" s="1"/>
  <c r="M101" i="18" s="1"/>
  <c r="M107" i="18" s="1"/>
  <c r="N17" i="18"/>
  <c r="N23" i="18" s="1"/>
  <c r="N32" i="18" s="1"/>
  <c r="N39" i="18" s="1"/>
  <c r="N48" i="18" s="1"/>
  <c r="N55" i="18" s="1"/>
  <c r="N66" i="18" s="1"/>
  <c r="N83" i="18" s="1"/>
  <c r="N89" i="18" s="1"/>
  <c r="N95" i="18" s="1"/>
  <c r="N101" i="18" s="1"/>
  <c r="N107" i="18" s="1"/>
  <c r="N63" i="18" l="1"/>
  <c r="M71" i="18"/>
  <c r="O97" i="18"/>
  <c r="O103" i="18" s="1"/>
  <c r="O104" i="18" s="1"/>
  <c r="O92" i="18"/>
  <c r="P92" i="18"/>
  <c r="M92" i="18"/>
  <c r="P98" i="18"/>
  <c r="M61" i="18"/>
  <c r="O86" i="18"/>
  <c r="M34" i="18"/>
  <c r="P67" i="18"/>
  <c r="M86" i="18"/>
  <c r="O60" i="18"/>
  <c r="N67" i="18"/>
  <c r="N70" i="18" s="1"/>
  <c r="P86" i="18"/>
  <c r="M62" i="18"/>
  <c r="M63" i="18" s="1"/>
  <c r="M70" i="18"/>
  <c r="M72" i="18" s="1"/>
  <c r="O17" i="18"/>
  <c r="N69" i="18"/>
  <c r="N85" i="18" s="1"/>
  <c r="N91" i="18" s="1"/>
  <c r="P62" i="18"/>
  <c r="P63" i="18" s="1"/>
  <c r="O62" i="18"/>
  <c r="P68" i="18"/>
  <c r="P71" i="18" s="1"/>
  <c r="O68" i="18"/>
  <c r="O71" i="18" s="1"/>
  <c r="H118" i="18"/>
  <c r="H116" i="18"/>
  <c r="H117" i="18"/>
  <c r="M48" i="16"/>
  <c r="N48" i="16"/>
  <c r="O48" i="16"/>
  <c r="M49" i="16"/>
  <c r="N49" i="16"/>
  <c r="O49" i="16"/>
  <c r="M50" i="16"/>
  <c r="N50" i="16"/>
  <c r="O50" i="16"/>
  <c r="M51" i="16"/>
  <c r="N51" i="16"/>
  <c r="O51" i="16"/>
  <c r="L51" i="16"/>
  <c r="L50" i="16"/>
  <c r="L49" i="16"/>
  <c r="L48" i="16"/>
  <c r="M108" i="16"/>
  <c r="N108" i="16"/>
  <c r="O108" i="16"/>
  <c r="L108" i="16"/>
  <c r="M107" i="16"/>
  <c r="M109" i="16" s="1"/>
  <c r="N107" i="16"/>
  <c r="O107" i="16"/>
  <c r="O109" i="16" s="1"/>
  <c r="L107" i="16"/>
  <c r="L109" i="16" s="1"/>
  <c r="M101" i="16"/>
  <c r="N101" i="16"/>
  <c r="O101" i="16"/>
  <c r="L101" i="16"/>
  <c r="M95" i="16"/>
  <c r="N95" i="16"/>
  <c r="O95" i="16"/>
  <c r="L95" i="16"/>
  <c r="M89" i="16"/>
  <c r="N89" i="16"/>
  <c r="O89" i="16"/>
  <c r="L89" i="16"/>
  <c r="M83" i="16"/>
  <c r="M33" i="16" s="1"/>
  <c r="N83" i="16"/>
  <c r="O83" i="16"/>
  <c r="O42" i="16" s="1"/>
  <c r="L83" i="16"/>
  <c r="L33" i="16" s="1"/>
  <c r="M68" i="16"/>
  <c r="M84" i="16" s="1"/>
  <c r="N68" i="16"/>
  <c r="N84" i="16" s="1"/>
  <c r="N90" i="16" s="1"/>
  <c r="O68" i="16"/>
  <c r="O84" i="16" s="1"/>
  <c r="M55" i="16"/>
  <c r="M66" i="16" s="1"/>
  <c r="N55" i="16"/>
  <c r="N66" i="16" s="1"/>
  <c r="O55" i="16"/>
  <c r="O66" i="16" s="1"/>
  <c r="M56" i="16"/>
  <c r="M67" i="16" s="1"/>
  <c r="N56" i="16"/>
  <c r="O56" i="16"/>
  <c r="M57" i="16"/>
  <c r="N57" i="16"/>
  <c r="O57" i="16"/>
  <c r="M58" i="16"/>
  <c r="N58" i="16"/>
  <c r="O58" i="16"/>
  <c r="L58" i="16"/>
  <c r="L57" i="16"/>
  <c r="L56" i="16"/>
  <c r="L67" i="16" s="1"/>
  <c r="L55" i="16"/>
  <c r="L66" i="16" s="1"/>
  <c r="L69" i="16" s="1"/>
  <c r="M39" i="16"/>
  <c r="N39" i="16"/>
  <c r="O39" i="16"/>
  <c r="M40" i="16"/>
  <c r="N40" i="16"/>
  <c r="O40" i="16"/>
  <c r="M41" i="16"/>
  <c r="N41" i="16"/>
  <c r="O41" i="16"/>
  <c r="M43" i="16"/>
  <c r="N43" i="16"/>
  <c r="O43" i="16"/>
  <c r="M44" i="16"/>
  <c r="N44" i="16"/>
  <c r="O44" i="16"/>
  <c r="L44" i="16"/>
  <c r="L43" i="16"/>
  <c r="L41" i="16"/>
  <c r="L40" i="16"/>
  <c r="L39" i="16"/>
  <c r="M32" i="16"/>
  <c r="N32" i="16"/>
  <c r="O32" i="16"/>
  <c r="M34" i="16"/>
  <c r="N34" i="16"/>
  <c r="O34" i="16"/>
  <c r="M35" i="16"/>
  <c r="N35" i="16"/>
  <c r="O35" i="16"/>
  <c r="L35" i="16"/>
  <c r="L34" i="16"/>
  <c r="L32" i="16"/>
  <c r="M23" i="16"/>
  <c r="N23" i="16"/>
  <c r="O23" i="16"/>
  <c r="M24" i="16"/>
  <c r="M25" i="16" s="1"/>
  <c r="N24" i="16"/>
  <c r="N25" i="16" s="1"/>
  <c r="O24" i="16"/>
  <c r="O25" i="16" s="1"/>
  <c r="M26" i="16"/>
  <c r="N26" i="16"/>
  <c r="O26" i="16"/>
  <c r="M27" i="16"/>
  <c r="N27" i="16"/>
  <c r="O27" i="16"/>
  <c r="M28" i="16"/>
  <c r="N28" i="16"/>
  <c r="O28" i="16"/>
  <c r="L28" i="16"/>
  <c r="L27" i="16"/>
  <c r="L26" i="16"/>
  <c r="L24" i="16"/>
  <c r="L25" i="16" s="1"/>
  <c r="L23" i="16"/>
  <c r="M17" i="16"/>
  <c r="N17" i="16"/>
  <c r="O17" i="16"/>
  <c r="M18" i="16"/>
  <c r="N18" i="16"/>
  <c r="O18" i="16"/>
  <c r="M19" i="16"/>
  <c r="N19" i="16"/>
  <c r="O19" i="16"/>
  <c r="L19" i="16"/>
  <c r="L18" i="16"/>
  <c r="L17" i="16"/>
  <c r="L31" i="16"/>
  <c r="L38" i="16" s="1"/>
  <c r="L47" i="16" s="1"/>
  <c r="L54" i="16" s="1"/>
  <c r="L65" i="16" s="1"/>
  <c r="L82" i="16" s="1"/>
  <c r="L88" i="16" s="1"/>
  <c r="L94" i="16" s="1"/>
  <c r="L100" i="16" s="1"/>
  <c r="L106" i="16" s="1"/>
  <c r="B114" i="16" s="1" a="1"/>
  <c r="B114" i="16" s="1"/>
  <c r="M22" i="16"/>
  <c r="M31" i="16" s="1"/>
  <c r="M38" i="16" s="1"/>
  <c r="M47" i="16" s="1"/>
  <c r="M54" i="16" s="1"/>
  <c r="M65" i="16" s="1"/>
  <c r="M82" i="16" s="1"/>
  <c r="M88" i="16" s="1"/>
  <c r="M94" i="16" s="1"/>
  <c r="M100" i="16" s="1"/>
  <c r="M106" i="16" s="1"/>
  <c r="N22" i="16"/>
  <c r="N31" i="16" s="1"/>
  <c r="N38" i="16" s="1"/>
  <c r="N47" i="16" s="1"/>
  <c r="N54" i="16" s="1"/>
  <c r="N65" i="16" s="1"/>
  <c r="N82" i="16" s="1"/>
  <c r="N88" i="16" s="1"/>
  <c r="N94" i="16" s="1"/>
  <c r="N100" i="16" s="1"/>
  <c r="N106" i="16" s="1"/>
  <c r="O22" i="16"/>
  <c r="O31" i="16" s="1"/>
  <c r="O38" i="16" s="1"/>
  <c r="O47" i="16" s="1"/>
  <c r="O54" i="16" s="1"/>
  <c r="O65" i="16" s="1"/>
  <c r="O82" i="16" s="1"/>
  <c r="O88" i="16" s="1"/>
  <c r="O94" i="16" s="1"/>
  <c r="O100" i="16" s="1"/>
  <c r="O106" i="16" s="1"/>
  <c r="L22" i="16"/>
  <c r="N16" i="16"/>
  <c r="O16" i="16" s="1"/>
  <c r="M16" i="16"/>
  <c r="N97" i="18" l="1"/>
  <c r="N92" i="18"/>
  <c r="N71" i="18"/>
  <c r="O63" i="18"/>
  <c r="P70" i="18"/>
  <c r="P72" i="18" s="1"/>
  <c r="O98" i="18"/>
  <c r="O70" i="18"/>
  <c r="O72" i="18" s="1"/>
  <c r="E115" i="18" a="1"/>
  <c r="O23" i="18"/>
  <c r="O32" i="18" s="1"/>
  <c r="O39" i="18" s="1"/>
  <c r="O48" i="18" s="1"/>
  <c r="O55" i="18" s="1"/>
  <c r="O66" i="18" s="1"/>
  <c r="O83" i="18" s="1"/>
  <c r="O89" i="18" s="1"/>
  <c r="O95" i="18" s="1"/>
  <c r="O101" i="18" s="1"/>
  <c r="O107" i="18" s="1"/>
  <c r="P17" i="18"/>
  <c r="P23" i="18" s="1"/>
  <c r="P32" i="18" s="1"/>
  <c r="P39" i="18" s="1"/>
  <c r="P48" i="18" s="1"/>
  <c r="P55" i="18" s="1"/>
  <c r="P66" i="18" s="1"/>
  <c r="P83" i="18" s="1"/>
  <c r="P89" i="18" s="1"/>
  <c r="P95" i="18" s="1"/>
  <c r="P101" i="18" s="1"/>
  <c r="P107" i="18" s="1"/>
  <c r="N86" i="18"/>
  <c r="D115" i="18" s="1" a="1"/>
  <c r="N72" i="18"/>
  <c r="L59" i="16"/>
  <c r="N109" i="16"/>
  <c r="O33" i="16"/>
  <c r="L42" i="16"/>
  <c r="M70" i="16"/>
  <c r="N60" i="16"/>
  <c r="H114" i="16" a="1"/>
  <c r="H114" i="16" s="1"/>
  <c r="O60" i="16"/>
  <c r="L61" i="16"/>
  <c r="O85" i="16"/>
  <c r="O90" i="16"/>
  <c r="N96" i="16"/>
  <c r="N91" i="16"/>
  <c r="M85" i="16"/>
  <c r="M90" i="16"/>
  <c r="N85" i="16"/>
  <c r="M69" i="16"/>
  <c r="O67" i="16"/>
  <c r="O70" i="16" s="1"/>
  <c r="N67" i="16"/>
  <c r="N70" i="16" s="1"/>
  <c r="M60" i="16"/>
  <c r="O59" i="16"/>
  <c r="N42" i="16"/>
  <c r="N59" i="16"/>
  <c r="L68" i="16"/>
  <c r="M42" i="16"/>
  <c r="M59" i="16"/>
  <c r="L60" i="16"/>
  <c r="L62" i="16" s="1"/>
  <c r="N33" i="16"/>
  <c r="N61" i="16"/>
  <c r="O61" i="16"/>
  <c r="M61" i="16"/>
  <c r="B116" i="16"/>
  <c r="B115" i="16"/>
  <c r="B117" i="16"/>
  <c r="L42" i="14"/>
  <c r="M48" i="14"/>
  <c r="N48" i="14"/>
  <c r="O48" i="14"/>
  <c r="M49" i="14"/>
  <c r="N49" i="14"/>
  <c r="O49" i="14"/>
  <c r="M50" i="14"/>
  <c r="N50" i="14"/>
  <c r="O50" i="14"/>
  <c r="M51" i="14"/>
  <c r="N51" i="14"/>
  <c r="O51" i="14"/>
  <c r="L51" i="14"/>
  <c r="L50" i="14"/>
  <c r="L49" i="14"/>
  <c r="L48" i="14"/>
  <c r="Q114" i="14"/>
  <c r="Q115" i="14"/>
  <c r="Q116" i="14"/>
  <c r="Q113" i="14"/>
  <c r="O114" i="14"/>
  <c r="O115" i="14"/>
  <c r="O116" i="14"/>
  <c r="O113" i="14"/>
  <c r="H113" i="14" a="1"/>
  <c r="H113" i="14" s="1"/>
  <c r="H116" i="14"/>
  <c r="G113" i="14" a="1"/>
  <c r="G113" i="14" s="1"/>
  <c r="F113" i="14" a="1"/>
  <c r="F113" i="14" s="1"/>
  <c r="F116" i="14"/>
  <c r="E113" i="14" a="1"/>
  <c r="E113" i="14" s="1"/>
  <c r="E116" i="14"/>
  <c r="D113" i="14" a="1"/>
  <c r="D113" i="14" s="1"/>
  <c r="B113" i="14" a="1"/>
  <c r="B114" i="14" s="1"/>
  <c r="M108" i="14"/>
  <c r="N108" i="14"/>
  <c r="O108" i="14"/>
  <c r="L108" i="14"/>
  <c r="M107" i="14"/>
  <c r="N107" i="14"/>
  <c r="O107" i="14"/>
  <c r="L107" i="14"/>
  <c r="M106" i="14"/>
  <c r="N106" i="14"/>
  <c r="O106" i="14"/>
  <c r="L106" i="14"/>
  <c r="M96" i="14"/>
  <c r="N96" i="14"/>
  <c r="O96" i="14"/>
  <c r="L96" i="14"/>
  <c r="M102" i="14"/>
  <c r="N102" i="14"/>
  <c r="O102" i="14"/>
  <c r="L102" i="14"/>
  <c r="M100" i="14"/>
  <c r="N100" i="14"/>
  <c r="O100" i="14"/>
  <c r="M101" i="14"/>
  <c r="N101" i="14"/>
  <c r="O101" i="14"/>
  <c r="L101" i="14"/>
  <c r="L100" i="14"/>
  <c r="M94" i="14"/>
  <c r="N94" i="14"/>
  <c r="O94" i="14"/>
  <c r="L94" i="14"/>
  <c r="M105" i="14"/>
  <c r="N105" i="14"/>
  <c r="O105" i="14"/>
  <c r="L105" i="14"/>
  <c r="M99" i="14"/>
  <c r="N99" i="14"/>
  <c r="O99" i="14"/>
  <c r="L99" i="14"/>
  <c r="M93" i="14"/>
  <c r="N93" i="14"/>
  <c r="O93" i="14"/>
  <c r="L93" i="14"/>
  <c r="M88" i="14"/>
  <c r="N88" i="14"/>
  <c r="O88" i="14"/>
  <c r="L88" i="14"/>
  <c r="M87" i="14"/>
  <c r="N87" i="14"/>
  <c r="O87" i="14"/>
  <c r="L87" i="14"/>
  <c r="M32" i="14"/>
  <c r="N32" i="14"/>
  <c r="O32" i="14"/>
  <c r="M34" i="14"/>
  <c r="N34" i="14"/>
  <c r="O34" i="14"/>
  <c r="M35" i="14"/>
  <c r="N35" i="14"/>
  <c r="O35" i="14"/>
  <c r="M82" i="14"/>
  <c r="M33" i="14" s="1"/>
  <c r="N82" i="14"/>
  <c r="N33" i="14" s="1"/>
  <c r="O82" i="14"/>
  <c r="O33" i="14" s="1"/>
  <c r="L82" i="14"/>
  <c r="L33" i="14" s="1"/>
  <c r="M81" i="14"/>
  <c r="N81" i="14"/>
  <c r="O81" i="14"/>
  <c r="L81" i="14"/>
  <c r="L34" i="14"/>
  <c r="M55" i="14"/>
  <c r="N55" i="14"/>
  <c r="O55" i="14"/>
  <c r="M56" i="14"/>
  <c r="N56" i="14"/>
  <c r="N67" i="14" s="1"/>
  <c r="O56" i="14"/>
  <c r="O67" i="14" s="1"/>
  <c r="M57" i="14"/>
  <c r="N57" i="14"/>
  <c r="O57" i="14"/>
  <c r="O61" i="14" s="1"/>
  <c r="M58" i="14"/>
  <c r="N58" i="14"/>
  <c r="O58" i="14"/>
  <c r="L58" i="14"/>
  <c r="L57" i="14"/>
  <c r="L61" i="14" s="1"/>
  <c r="L56" i="14"/>
  <c r="L60" i="14" s="1"/>
  <c r="L55" i="14"/>
  <c r="L66" i="14" s="1"/>
  <c r="M39" i="14"/>
  <c r="N39" i="14"/>
  <c r="O39" i="14"/>
  <c r="M40" i="14"/>
  <c r="N40" i="14"/>
  <c r="O40" i="14"/>
  <c r="M41" i="14"/>
  <c r="N41" i="14"/>
  <c r="O41" i="14"/>
  <c r="M43" i="14"/>
  <c r="N43" i="14"/>
  <c r="O43" i="14"/>
  <c r="M44" i="14"/>
  <c r="N44" i="14"/>
  <c r="O44" i="14"/>
  <c r="L44" i="14"/>
  <c r="L43" i="14"/>
  <c r="L41" i="14"/>
  <c r="L40" i="14"/>
  <c r="L39" i="14"/>
  <c r="L35" i="14"/>
  <c r="L32" i="14"/>
  <c r="M23" i="14"/>
  <c r="N23" i="14"/>
  <c r="O23" i="14"/>
  <c r="M24" i="14"/>
  <c r="M25" i="14" s="1"/>
  <c r="N24" i="14"/>
  <c r="N25" i="14" s="1"/>
  <c r="O24" i="14"/>
  <c r="O25" i="14"/>
  <c r="M26" i="14"/>
  <c r="N26" i="14"/>
  <c r="O26" i="14"/>
  <c r="M27" i="14"/>
  <c r="N27" i="14"/>
  <c r="O27" i="14"/>
  <c r="M28" i="14"/>
  <c r="N28" i="14"/>
  <c r="O28" i="14"/>
  <c r="L28" i="14"/>
  <c r="L27" i="14"/>
  <c r="L26" i="14"/>
  <c r="L24" i="14"/>
  <c r="L25" i="14" s="1"/>
  <c r="L23" i="14"/>
  <c r="M17" i="14"/>
  <c r="N17" i="14"/>
  <c r="O17" i="14"/>
  <c r="M18" i="14"/>
  <c r="N18" i="14"/>
  <c r="O18" i="14"/>
  <c r="M19" i="14"/>
  <c r="N19" i="14"/>
  <c r="O19" i="14"/>
  <c r="L19" i="14"/>
  <c r="L18" i="14"/>
  <c r="L17" i="14"/>
  <c r="M65" i="14"/>
  <c r="N65" i="14"/>
  <c r="O65" i="14"/>
  <c r="L65" i="14"/>
  <c r="M54" i="14"/>
  <c r="N54" i="14"/>
  <c r="O54" i="14"/>
  <c r="L54" i="14"/>
  <c r="M47" i="14"/>
  <c r="N47" i="14"/>
  <c r="O47" i="14"/>
  <c r="L47" i="14"/>
  <c r="M38" i="14"/>
  <c r="N38" i="14"/>
  <c r="O38" i="14"/>
  <c r="L38" i="14"/>
  <c r="M31" i="14"/>
  <c r="N31" i="14"/>
  <c r="O31" i="14"/>
  <c r="L31" i="14"/>
  <c r="M22" i="14"/>
  <c r="N22" i="14"/>
  <c r="O22" i="14"/>
  <c r="L22" i="14"/>
  <c r="N16" i="14"/>
  <c r="O16" i="14"/>
  <c r="M16" i="14"/>
  <c r="D115" i="18" l="1"/>
  <c r="D118" i="18"/>
  <c r="D117" i="18"/>
  <c r="D116" i="18"/>
  <c r="E115" i="18"/>
  <c r="E118" i="18"/>
  <c r="E117" i="18"/>
  <c r="E116" i="18"/>
  <c r="B115" i="18" a="1"/>
  <c r="N103" i="18"/>
  <c r="N104" i="18" s="1"/>
  <c r="G115" i="18" s="1" a="1"/>
  <c r="N98" i="18"/>
  <c r="F115" i="18" s="1" a="1"/>
  <c r="H117" i="16"/>
  <c r="N69" i="16"/>
  <c r="N71" i="16" s="1"/>
  <c r="O69" i="16"/>
  <c r="O71" i="16" s="1"/>
  <c r="H115" i="16"/>
  <c r="H116" i="16"/>
  <c r="M71" i="16"/>
  <c r="M91" i="16"/>
  <c r="M96" i="16"/>
  <c r="M62" i="16"/>
  <c r="L70" i="16"/>
  <c r="L71" i="16" s="1"/>
  <c r="L84" i="16"/>
  <c r="N62" i="16"/>
  <c r="O62" i="16"/>
  <c r="N102" i="16"/>
  <c r="N103" i="16" s="1"/>
  <c r="N97" i="16"/>
  <c r="O91" i="16"/>
  <c r="O96" i="16"/>
  <c r="H115" i="14"/>
  <c r="H114" i="14"/>
  <c r="G115" i="14"/>
  <c r="G116" i="14"/>
  <c r="G114" i="14"/>
  <c r="F114" i="14"/>
  <c r="F115" i="14"/>
  <c r="E115" i="14"/>
  <c r="E114" i="14"/>
  <c r="D116" i="14"/>
  <c r="D115" i="14"/>
  <c r="D114" i="14"/>
  <c r="B113" i="14"/>
  <c r="B116" i="14"/>
  <c r="B115" i="14"/>
  <c r="M59" i="14"/>
  <c r="M66" i="14"/>
  <c r="M60" i="14"/>
  <c r="N61" i="14"/>
  <c r="N59" i="14"/>
  <c r="N42" i="14"/>
  <c r="O59" i="14"/>
  <c r="O42" i="14"/>
  <c r="M67" i="14"/>
  <c r="M69" i="14" s="1"/>
  <c r="M42" i="14"/>
  <c r="O66" i="14"/>
  <c r="O69" i="14" s="1"/>
  <c r="N66" i="14"/>
  <c r="N69" i="14" s="1"/>
  <c r="L69" i="14"/>
  <c r="O70" i="14"/>
  <c r="O71" i="14" s="1"/>
  <c r="M61" i="14"/>
  <c r="M62" i="14" s="1"/>
  <c r="N60" i="14"/>
  <c r="O60" i="14"/>
  <c r="L67" i="14"/>
  <c r="L68" i="14"/>
  <c r="O68" i="14"/>
  <c r="L59" i="14"/>
  <c r="N68" i="14"/>
  <c r="N70" i="14" s="1"/>
  <c r="M68" i="14"/>
  <c r="L62" i="14"/>
  <c r="M49" i="12"/>
  <c r="N49" i="12"/>
  <c r="O49" i="12"/>
  <c r="M50" i="12"/>
  <c r="N50" i="12"/>
  <c r="O50" i="12"/>
  <c r="M51" i="12"/>
  <c r="N51" i="12"/>
  <c r="O51" i="12"/>
  <c r="M52" i="12"/>
  <c r="N52" i="12"/>
  <c r="O52" i="12"/>
  <c r="L52" i="12"/>
  <c r="L51" i="12"/>
  <c r="L50" i="12"/>
  <c r="L49" i="12"/>
  <c r="B115" i="12" a="1"/>
  <c r="B115" i="12" s="1"/>
  <c r="M108" i="12"/>
  <c r="M110" i="12" s="1"/>
  <c r="N108" i="12"/>
  <c r="N110" i="12" s="1"/>
  <c r="O108" i="12"/>
  <c r="O110" i="12" s="1"/>
  <c r="L108" i="12"/>
  <c r="L110" i="12" s="1"/>
  <c r="H115" i="12" s="1" a="1"/>
  <c r="M109" i="12"/>
  <c r="N109" i="12"/>
  <c r="O109" i="12"/>
  <c r="L109" i="12"/>
  <c r="M107" i="12"/>
  <c r="N107" i="12"/>
  <c r="O107" i="12"/>
  <c r="L107" i="12"/>
  <c r="M102" i="12"/>
  <c r="N102" i="12"/>
  <c r="O102" i="12"/>
  <c r="L102" i="12"/>
  <c r="M101" i="12"/>
  <c r="N101" i="12"/>
  <c r="O101" i="12"/>
  <c r="L101" i="12"/>
  <c r="M96" i="12"/>
  <c r="N96" i="12"/>
  <c r="O96" i="12"/>
  <c r="L96" i="12"/>
  <c r="M95" i="12"/>
  <c r="N95" i="12"/>
  <c r="O95" i="12"/>
  <c r="L95" i="12"/>
  <c r="M90" i="12"/>
  <c r="N90" i="12"/>
  <c r="O90" i="12"/>
  <c r="L90" i="12"/>
  <c r="M89" i="12"/>
  <c r="N89" i="12"/>
  <c r="O89" i="12"/>
  <c r="L89" i="12"/>
  <c r="M84" i="12"/>
  <c r="N84" i="12"/>
  <c r="O84" i="12"/>
  <c r="L84" i="12"/>
  <c r="M83" i="12"/>
  <c r="N83" i="12"/>
  <c r="O83" i="12"/>
  <c r="L83" i="12"/>
  <c r="L69" i="12"/>
  <c r="L85" i="12" s="1"/>
  <c r="M68" i="12"/>
  <c r="N68" i="12"/>
  <c r="O68" i="12"/>
  <c r="L68" i="12"/>
  <c r="L71" i="12" s="1"/>
  <c r="M60" i="12"/>
  <c r="M63" i="12" s="1"/>
  <c r="O60" i="12"/>
  <c r="M61" i="12"/>
  <c r="O61" i="12"/>
  <c r="M62" i="12"/>
  <c r="N62" i="12"/>
  <c r="M56" i="12"/>
  <c r="M67" i="12" s="1"/>
  <c r="M70" i="12" s="1"/>
  <c r="N56" i="12"/>
  <c r="N67" i="12" s="1"/>
  <c r="N70" i="12" s="1"/>
  <c r="O56" i="12"/>
  <c r="O67" i="12" s="1"/>
  <c r="O70" i="12" s="1"/>
  <c r="M57" i="12"/>
  <c r="N57" i="12"/>
  <c r="N60" i="12" s="1"/>
  <c r="O57" i="12"/>
  <c r="M58" i="12"/>
  <c r="M69" i="12" s="1"/>
  <c r="M85" i="12" s="1"/>
  <c r="N58" i="12"/>
  <c r="N69" i="12" s="1"/>
  <c r="N85" i="12" s="1"/>
  <c r="O58" i="12"/>
  <c r="O62" i="12" s="1"/>
  <c r="M59" i="12"/>
  <c r="N59" i="12"/>
  <c r="O59" i="12"/>
  <c r="L59" i="12"/>
  <c r="L58" i="12"/>
  <c r="L62" i="12" s="1"/>
  <c r="L57" i="12"/>
  <c r="L61" i="12" s="1"/>
  <c r="L56" i="12"/>
  <c r="L67" i="12" s="1"/>
  <c r="L70" i="12" s="1"/>
  <c r="L72" i="12" s="1"/>
  <c r="M40" i="12"/>
  <c r="N40" i="12"/>
  <c r="O40" i="12"/>
  <c r="M41" i="12"/>
  <c r="N41" i="12"/>
  <c r="O41" i="12"/>
  <c r="M42" i="12"/>
  <c r="N42" i="12"/>
  <c r="O42" i="12"/>
  <c r="M43" i="12"/>
  <c r="N43" i="12"/>
  <c r="O43" i="12"/>
  <c r="M44" i="12"/>
  <c r="N44" i="12"/>
  <c r="O44" i="12"/>
  <c r="M45" i="12"/>
  <c r="N45" i="12"/>
  <c r="O45" i="12"/>
  <c r="L45" i="12"/>
  <c r="L44" i="12"/>
  <c r="L43" i="12"/>
  <c r="L42" i="12"/>
  <c r="L41" i="12"/>
  <c r="L40" i="12"/>
  <c r="M33" i="12"/>
  <c r="N33" i="12"/>
  <c r="O33" i="12"/>
  <c r="M34" i="12"/>
  <c r="N34" i="12"/>
  <c r="O34" i="12"/>
  <c r="M35" i="12"/>
  <c r="N35" i="12"/>
  <c r="O35" i="12"/>
  <c r="M36" i="12"/>
  <c r="N36" i="12"/>
  <c r="O36" i="12"/>
  <c r="L36" i="12"/>
  <c r="L35" i="12"/>
  <c r="L34" i="12"/>
  <c r="L33" i="12"/>
  <c r="M24" i="12"/>
  <c r="N24" i="12"/>
  <c r="O24" i="12"/>
  <c r="M25" i="12"/>
  <c r="M26" i="12" s="1"/>
  <c r="N25" i="12"/>
  <c r="N26" i="12" s="1"/>
  <c r="O25" i="12"/>
  <c r="O26" i="12"/>
  <c r="M27" i="12"/>
  <c r="N27" i="12"/>
  <c r="O27" i="12"/>
  <c r="M28" i="12"/>
  <c r="N28" i="12"/>
  <c r="O28" i="12"/>
  <c r="M29" i="12"/>
  <c r="N29" i="12"/>
  <c r="O29" i="12"/>
  <c r="L29" i="12"/>
  <c r="L28" i="12"/>
  <c r="L27" i="12"/>
  <c r="L25" i="12"/>
  <c r="L26" i="12" s="1"/>
  <c r="L24" i="12"/>
  <c r="M18" i="12"/>
  <c r="N18" i="12"/>
  <c r="O18" i="12"/>
  <c r="M19" i="12"/>
  <c r="N19" i="12"/>
  <c r="O19" i="12"/>
  <c r="M20" i="12"/>
  <c r="O20" i="12"/>
  <c r="L20" i="12"/>
  <c r="L19" i="12"/>
  <c r="L18" i="12"/>
  <c r="M66" i="12"/>
  <c r="N66" i="12"/>
  <c r="O66" i="12"/>
  <c r="L66" i="12"/>
  <c r="M55" i="12"/>
  <c r="N55" i="12"/>
  <c r="O55" i="12"/>
  <c r="L55" i="12"/>
  <c r="M48" i="12"/>
  <c r="N48" i="12"/>
  <c r="O48" i="12"/>
  <c r="L48" i="12"/>
  <c r="M39" i="12"/>
  <c r="N39" i="12"/>
  <c r="O39" i="12"/>
  <c r="L39" i="12"/>
  <c r="M32" i="12"/>
  <c r="N32" i="12"/>
  <c r="O32" i="12"/>
  <c r="L32" i="12"/>
  <c r="M23" i="12"/>
  <c r="N23" i="12"/>
  <c r="O23" i="12"/>
  <c r="L23" i="12"/>
  <c r="N17" i="12"/>
  <c r="O17" i="12"/>
  <c r="M17" i="12"/>
  <c r="F115" i="18" l="1"/>
  <c r="F116" i="18"/>
  <c r="F118" i="18"/>
  <c r="F117" i="18"/>
  <c r="G115" i="18"/>
  <c r="G118" i="18"/>
  <c r="G117" i="18"/>
  <c r="G116" i="18"/>
  <c r="B115" i="18"/>
  <c r="B118" i="18"/>
  <c r="B117" i="18"/>
  <c r="B116" i="18"/>
  <c r="O116" i="18"/>
  <c r="O117" i="18"/>
  <c r="O118" i="18"/>
  <c r="O115" i="18"/>
  <c r="M102" i="16"/>
  <c r="M103" i="16" s="1"/>
  <c r="M97" i="16"/>
  <c r="O102" i="16"/>
  <c r="O103" i="16" s="1"/>
  <c r="O97" i="16"/>
  <c r="L85" i="16"/>
  <c r="D114" i="16" s="1" a="1"/>
  <c r="L90" i="16"/>
  <c r="O62" i="14"/>
  <c r="N62" i="14"/>
  <c r="M70" i="14"/>
  <c r="M71" i="14" s="1"/>
  <c r="N71" i="14"/>
  <c r="L70" i="14"/>
  <c r="L71" i="14" s="1"/>
  <c r="O89" i="14"/>
  <c r="O83" i="14"/>
  <c r="O84" i="14" s="1"/>
  <c r="N83" i="14"/>
  <c r="N84" i="14" s="1"/>
  <c r="N89" i="14"/>
  <c r="L89" i="14"/>
  <c r="L83" i="14"/>
  <c r="L84" i="14" s="1"/>
  <c r="M83" i="14"/>
  <c r="M84" i="14" s="1"/>
  <c r="M89" i="14"/>
  <c r="H115" i="12"/>
  <c r="H117" i="12"/>
  <c r="H118" i="12"/>
  <c r="H116" i="12"/>
  <c r="B118" i="12"/>
  <c r="B117" i="12"/>
  <c r="B116" i="12"/>
  <c r="N91" i="12"/>
  <c r="N86" i="12"/>
  <c r="L91" i="12"/>
  <c r="L86" i="12"/>
  <c r="M91" i="12"/>
  <c r="M86" i="12"/>
  <c r="M72" i="12"/>
  <c r="O63" i="12"/>
  <c r="M71" i="12"/>
  <c r="N71" i="12"/>
  <c r="N72" i="12" s="1"/>
  <c r="N61" i="12"/>
  <c r="N63" i="12" s="1"/>
  <c r="O69" i="12"/>
  <c r="O85" i="12" s="1"/>
  <c r="L60" i="12"/>
  <c r="L63" i="12" s="1"/>
  <c r="M50" i="10"/>
  <c r="N50" i="10"/>
  <c r="O50" i="10"/>
  <c r="M51" i="10"/>
  <c r="N51" i="10"/>
  <c r="O51" i="10"/>
  <c r="M52" i="10"/>
  <c r="N52" i="10"/>
  <c r="O52" i="10"/>
  <c r="M53" i="10"/>
  <c r="N53" i="10"/>
  <c r="O53" i="10"/>
  <c r="L53" i="10"/>
  <c r="L52" i="10"/>
  <c r="L51" i="10"/>
  <c r="L50" i="10"/>
  <c r="B118" i="10" a="1"/>
  <c r="B118" i="10" s="1"/>
  <c r="M112" i="10"/>
  <c r="N112" i="10"/>
  <c r="O112" i="10"/>
  <c r="L112" i="10"/>
  <c r="M111" i="10"/>
  <c r="M113" i="10" s="1"/>
  <c r="N111" i="10"/>
  <c r="O111" i="10"/>
  <c r="L111" i="10"/>
  <c r="L113" i="10" s="1"/>
  <c r="M110" i="10"/>
  <c r="N110" i="10"/>
  <c r="O110" i="10"/>
  <c r="L110" i="10"/>
  <c r="M105" i="10"/>
  <c r="N105" i="10"/>
  <c r="O105" i="10"/>
  <c r="L105" i="10"/>
  <c r="M104" i="10"/>
  <c r="N104" i="10"/>
  <c r="O104" i="10"/>
  <c r="L104" i="10"/>
  <c r="M98" i="10"/>
  <c r="N98" i="10"/>
  <c r="O98" i="10"/>
  <c r="L98" i="10"/>
  <c r="M97" i="10"/>
  <c r="M99" i="10" s="1"/>
  <c r="N97" i="10"/>
  <c r="O97" i="10"/>
  <c r="L97" i="10"/>
  <c r="M96" i="10"/>
  <c r="N96" i="10"/>
  <c r="O96" i="10"/>
  <c r="L96" i="10"/>
  <c r="L91" i="10"/>
  <c r="M91" i="10"/>
  <c r="N91" i="10"/>
  <c r="O91" i="10"/>
  <c r="M90" i="10"/>
  <c r="N90" i="10"/>
  <c r="O90" i="10"/>
  <c r="L90" i="10"/>
  <c r="M85" i="10"/>
  <c r="N85" i="10"/>
  <c r="O85" i="10"/>
  <c r="L85" i="10"/>
  <c r="M84" i="10"/>
  <c r="N84" i="10"/>
  <c r="O84" i="10"/>
  <c r="L84" i="10"/>
  <c r="M57" i="10"/>
  <c r="M68" i="10" s="1"/>
  <c r="N57" i="10"/>
  <c r="N68" i="10" s="1"/>
  <c r="O57" i="10"/>
  <c r="O68" i="10" s="1"/>
  <c r="M58" i="10"/>
  <c r="N58" i="10"/>
  <c r="O58" i="10"/>
  <c r="M59" i="10"/>
  <c r="N59" i="10"/>
  <c r="N70" i="10" s="1"/>
  <c r="N86" i="10" s="1"/>
  <c r="N92" i="10" s="1"/>
  <c r="N100" i="10" s="1"/>
  <c r="N106" i="10" s="1"/>
  <c r="O59" i="10"/>
  <c r="O70" i="10" s="1"/>
  <c r="O86" i="10" s="1"/>
  <c r="O92" i="10" s="1"/>
  <c r="O100" i="10" s="1"/>
  <c r="O106" i="10" s="1"/>
  <c r="M60" i="10"/>
  <c r="N60" i="10"/>
  <c r="O60" i="10"/>
  <c r="L60" i="10"/>
  <c r="L59" i="10"/>
  <c r="L70" i="10" s="1"/>
  <c r="L86" i="10" s="1"/>
  <c r="L58" i="10"/>
  <c r="L57" i="10"/>
  <c r="L61" i="10" s="1"/>
  <c r="M41" i="10"/>
  <c r="N41" i="10"/>
  <c r="O41" i="10"/>
  <c r="M42" i="10"/>
  <c r="N42" i="10"/>
  <c r="O42" i="10"/>
  <c r="M43" i="10"/>
  <c r="N43" i="10"/>
  <c r="O43" i="10"/>
  <c r="M44" i="10"/>
  <c r="N44" i="10"/>
  <c r="O44" i="10"/>
  <c r="M45" i="10"/>
  <c r="N45" i="10"/>
  <c r="O45" i="10"/>
  <c r="M46" i="10"/>
  <c r="N46" i="10"/>
  <c r="O46" i="10"/>
  <c r="L46" i="10"/>
  <c r="L45" i="10"/>
  <c r="L44" i="10"/>
  <c r="L43" i="10"/>
  <c r="L42" i="10"/>
  <c r="L41" i="10"/>
  <c r="M34" i="10"/>
  <c r="N34" i="10"/>
  <c r="O34" i="10"/>
  <c r="M35" i="10"/>
  <c r="N35" i="10"/>
  <c r="O35" i="10"/>
  <c r="M36" i="10"/>
  <c r="N36" i="10"/>
  <c r="O36" i="10"/>
  <c r="M37" i="10"/>
  <c r="N37" i="10"/>
  <c r="O37" i="10"/>
  <c r="L37" i="10"/>
  <c r="L36" i="10"/>
  <c r="L35" i="10"/>
  <c r="L34" i="10"/>
  <c r="M25" i="10"/>
  <c r="N25" i="10"/>
  <c r="O25" i="10"/>
  <c r="M26" i="10"/>
  <c r="M27" i="10" s="1"/>
  <c r="N26" i="10"/>
  <c r="N27" i="10" s="1"/>
  <c r="O26" i="10"/>
  <c r="O27" i="10" s="1"/>
  <c r="M28" i="10"/>
  <c r="N28" i="10"/>
  <c r="O28" i="10"/>
  <c r="M29" i="10"/>
  <c r="N29" i="10"/>
  <c r="O29" i="10"/>
  <c r="M30" i="10"/>
  <c r="N30" i="10"/>
  <c r="O30" i="10"/>
  <c r="L30" i="10"/>
  <c r="L29" i="10"/>
  <c r="L28" i="10"/>
  <c r="L26" i="10"/>
  <c r="L27" i="10" s="1"/>
  <c r="L25" i="10"/>
  <c r="M19" i="10"/>
  <c r="N19" i="10"/>
  <c r="O19" i="10"/>
  <c r="M20" i="10"/>
  <c r="N20" i="10"/>
  <c r="O20" i="10"/>
  <c r="M21" i="10"/>
  <c r="N21" i="10"/>
  <c r="O21" i="10"/>
  <c r="L21" i="10"/>
  <c r="L20" i="10"/>
  <c r="L19" i="10"/>
  <c r="M67" i="10"/>
  <c r="N67" i="10"/>
  <c r="O67" i="10"/>
  <c r="L67" i="10"/>
  <c r="M56" i="10"/>
  <c r="N56" i="10"/>
  <c r="O56" i="10"/>
  <c r="L56" i="10"/>
  <c r="M49" i="10"/>
  <c r="N49" i="10"/>
  <c r="O49" i="10"/>
  <c r="L49" i="10"/>
  <c r="M40" i="10"/>
  <c r="N40" i="10"/>
  <c r="O40" i="10"/>
  <c r="L40" i="10"/>
  <c r="M33" i="10"/>
  <c r="N33" i="10"/>
  <c r="O33" i="10"/>
  <c r="L33" i="10"/>
  <c r="M24" i="10"/>
  <c r="N24" i="10"/>
  <c r="O24" i="10"/>
  <c r="L24" i="10"/>
  <c r="N18" i="10"/>
  <c r="O18" i="10"/>
  <c r="M18" i="10"/>
  <c r="L96" i="16" l="1"/>
  <c r="L91" i="16"/>
  <c r="E114" i="16" s="1" a="1"/>
  <c r="D114" i="16"/>
  <c r="D115" i="16"/>
  <c r="D117" i="16"/>
  <c r="D116" i="16"/>
  <c r="L90" i="14"/>
  <c r="L95" i="14"/>
  <c r="O90" i="14"/>
  <c r="O95" i="14"/>
  <c r="M90" i="14"/>
  <c r="M95" i="14"/>
  <c r="N90" i="14"/>
  <c r="N95" i="14"/>
  <c r="N97" i="12"/>
  <c r="N92" i="12"/>
  <c r="M97" i="12"/>
  <c r="M103" i="12" s="1"/>
  <c r="M104" i="12" s="1"/>
  <c r="M92" i="12"/>
  <c r="L97" i="12"/>
  <c r="L103" i="12" s="1"/>
  <c r="L104" i="12" s="1"/>
  <c r="L92" i="12"/>
  <c r="O91" i="12"/>
  <c r="O86" i="12"/>
  <c r="D115" i="12" s="1" a="1"/>
  <c r="M98" i="12"/>
  <c r="L98" i="12"/>
  <c r="O71" i="12"/>
  <c r="O72" i="12" s="1"/>
  <c r="L62" i="10"/>
  <c r="M63" i="10"/>
  <c r="M62" i="10"/>
  <c r="N61" i="10"/>
  <c r="O113" i="10"/>
  <c r="N113" i="10"/>
  <c r="H118" i="10" s="1" a="1"/>
  <c r="O62" i="10"/>
  <c r="O63" i="10"/>
  <c r="N63" i="10"/>
  <c r="N62" i="10"/>
  <c r="N64" i="10"/>
  <c r="M70" i="10"/>
  <c r="M86" i="10" s="1"/>
  <c r="M92" i="10" s="1"/>
  <c r="M100" i="10" s="1"/>
  <c r="M106" i="10" s="1"/>
  <c r="M107" i="10" s="1"/>
  <c r="O69" i="10"/>
  <c r="O72" i="10" s="1"/>
  <c r="N69" i="10"/>
  <c r="N72" i="10" s="1"/>
  <c r="L99" i="10"/>
  <c r="M93" i="10"/>
  <c r="O61" i="10"/>
  <c r="M69" i="10"/>
  <c r="O99" i="10"/>
  <c r="O101" i="10" s="1"/>
  <c r="N99" i="10"/>
  <c r="N101" i="10" s="1"/>
  <c r="N107" i="10"/>
  <c r="O93" i="10"/>
  <c r="N93" i="10"/>
  <c r="L92" i="10"/>
  <c r="L100" i="10" s="1"/>
  <c r="L106" i="10" s="1"/>
  <c r="L87" i="10"/>
  <c r="L107" i="10"/>
  <c r="L64" i="10"/>
  <c r="O107" i="10"/>
  <c r="O87" i="10"/>
  <c r="N87" i="10"/>
  <c r="M61" i="10"/>
  <c r="M64" i="10" s="1"/>
  <c r="L69" i="10"/>
  <c r="L72" i="10" s="1"/>
  <c r="L68" i="10"/>
  <c r="L63" i="10"/>
  <c r="B121" i="10"/>
  <c r="B120" i="10"/>
  <c r="B119" i="10"/>
  <c r="M49" i="8"/>
  <c r="N49" i="8"/>
  <c r="O49" i="8"/>
  <c r="M50" i="8"/>
  <c r="N50" i="8"/>
  <c r="O50" i="8"/>
  <c r="M51" i="8"/>
  <c r="N51" i="8"/>
  <c r="O51" i="8"/>
  <c r="M52" i="8"/>
  <c r="N52" i="8"/>
  <c r="O52" i="8"/>
  <c r="L52" i="8"/>
  <c r="L51" i="8"/>
  <c r="L50" i="8"/>
  <c r="L49" i="8"/>
  <c r="M108" i="8"/>
  <c r="N108" i="8"/>
  <c r="O108" i="8"/>
  <c r="L108" i="8"/>
  <c r="M109" i="8"/>
  <c r="N109" i="8"/>
  <c r="O109" i="8"/>
  <c r="L109" i="8"/>
  <c r="M102" i="8"/>
  <c r="N102" i="8"/>
  <c r="O102" i="8"/>
  <c r="L102" i="8"/>
  <c r="M96" i="8"/>
  <c r="N96" i="8"/>
  <c r="O96" i="8"/>
  <c r="L96" i="8"/>
  <c r="K97" i="6"/>
  <c r="L97" i="6"/>
  <c r="M97" i="6"/>
  <c r="J97" i="6"/>
  <c r="M97" i="4"/>
  <c r="N97" i="4"/>
  <c r="O97" i="4"/>
  <c r="L97" i="4"/>
  <c r="M89" i="2"/>
  <c r="N89" i="2"/>
  <c r="O89" i="2"/>
  <c r="L89" i="2"/>
  <c r="M90" i="8"/>
  <c r="N90" i="8"/>
  <c r="O90" i="8"/>
  <c r="L90" i="8"/>
  <c r="M84" i="8"/>
  <c r="N84" i="8"/>
  <c r="O84" i="8"/>
  <c r="L84" i="8"/>
  <c r="M68" i="8"/>
  <c r="N68" i="8"/>
  <c r="O68" i="8"/>
  <c r="M61" i="8"/>
  <c r="M56" i="8"/>
  <c r="M67" i="8" s="1"/>
  <c r="N56" i="8"/>
  <c r="N67" i="8" s="1"/>
  <c r="O56" i="8"/>
  <c r="O67" i="8" s="1"/>
  <c r="M57" i="8"/>
  <c r="N57" i="8"/>
  <c r="O57" i="8"/>
  <c r="M58" i="8"/>
  <c r="M69" i="8" s="1"/>
  <c r="M85" i="8" s="1"/>
  <c r="M91" i="8" s="1"/>
  <c r="N58" i="8"/>
  <c r="O58" i="8"/>
  <c r="O69" i="8" s="1"/>
  <c r="O85" i="8" s="1"/>
  <c r="M59" i="8"/>
  <c r="N59" i="8"/>
  <c r="O59" i="8"/>
  <c r="L59" i="8"/>
  <c r="L58" i="8"/>
  <c r="L62" i="8" s="1"/>
  <c r="L56" i="8"/>
  <c r="L67" i="8" s="1"/>
  <c r="L57" i="8"/>
  <c r="L68" i="8" s="1"/>
  <c r="M40" i="8"/>
  <c r="N40" i="8"/>
  <c r="O40" i="8"/>
  <c r="M41" i="8"/>
  <c r="N41" i="8"/>
  <c r="O41" i="8"/>
  <c r="M42" i="8"/>
  <c r="N42" i="8"/>
  <c r="O42" i="8"/>
  <c r="M43" i="8"/>
  <c r="N43" i="8"/>
  <c r="O43" i="8"/>
  <c r="M44" i="8"/>
  <c r="N44" i="8"/>
  <c r="O44" i="8"/>
  <c r="M45" i="8"/>
  <c r="N45" i="8"/>
  <c r="O45" i="8"/>
  <c r="L45" i="8"/>
  <c r="L44" i="8"/>
  <c r="L43" i="8"/>
  <c r="L42" i="8"/>
  <c r="L41" i="8"/>
  <c r="L40" i="8"/>
  <c r="M33" i="8"/>
  <c r="N33" i="8"/>
  <c r="O33" i="8"/>
  <c r="M34" i="8"/>
  <c r="N34" i="8"/>
  <c r="O34" i="8"/>
  <c r="M36" i="8"/>
  <c r="N36" i="8"/>
  <c r="O36" i="8"/>
  <c r="L36" i="8"/>
  <c r="M18" i="8"/>
  <c r="N18" i="8"/>
  <c r="O18" i="8"/>
  <c r="M19" i="8"/>
  <c r="N19" i="8"/>
  <c r="O19" i="8"/>
  <c r="L19" i="8"/>
  <c r="L18" i="8"/>
  <c r="L34" i="8"/>
  <c r="L33" i="8"/>
  <c r="M24" i="8"/>
  <c r="N24" i="8"/>
  <c r="O24" i="8"/>
  <c r="M25" i="8"/>
  <c r="M26" i="8" s="1"/>
  <c r="N25" i="8"/>
  <c r="N26" i="8" s="1"/>
  <c r="O25" i="8"/>
  <c r="O26" i="8" s="1"/>
  <c r="M27" i="8"/>
  <c r="N27" i="8"/>
  <c r="O27" i="8"/>
  <c r="M28" i="8"/>
  <c r="N28" i="8"/>
  <c r="O28" i="8"/>
  <c r="M29" i="8"/>
  <c r="N29" i="8"/>
  <c r="O29" i="8"/>
  <c r="L29" i="8"/>
  <c r="L28" i="8"/>
  <c r="L27" i="8"/>
  <c r="L25" i="8"/>
  <c r="L26" i="8" s="1"/>
  <c r="L24" i="8"/>
  <c r="M23" i="8"/>
  <c r="M32" i="8" s="1"/>
  <c r="M39" i="8" s="1"/>
  <c r="M48" i="8" s="1"/>
  <c r="M55" i="8" s="1"/>
  <c r="M66" i="8" s="1"/>
  <c r="M83" i="8" s="1"/>
  <c r="M89" i="8" s="1"/>
  <c r="M95" i="8" s="1"/>
  <c r="M101" i="8" s="1"/>
  <c r="M107" i="8" s="1"/>
  <c r="M20" i="8"/>
  <c r="N20" i="8"/>
  <c r="O20" i="8"/>
  <c r="L20" i="8"/>
  <c r="L23" i="8"/>
  <c r="L32" i="8" s="1"/>
  <c r="L39" i="8" s="1"/>
  <c r="L48" i="8" s="1"/>
  <c r="L55" i="8" s="1"/>
  <c r="L66" i="8" s="1"/>
  <c r="L83" i="8" s="1"/>
  <c r="L89" i="8" s="1"/>
  <c r="L95" i="8" s="1"/>
  <c r="L101" i="8" s="1"/>
  <c r="L107" i="8" s="1"/>
  <c r="M17" i="8"/>
  <c r="N17" i="8" s="1"/>
  <c r="E114" i="16" l="1"/>
  <c r="E117" i="16"/>
  <c r="E116" i="16"/>
  <c r="E115" i="16"/>
  <c r="L102" i="16"/>
  <c r="L103" i="16" s="1"/>
  <c r="G114" i="16" s="1" a="1"/>
  <c r="L97" i="16"/>
  <c r="F114" i="16" s="1" a="1"/>
  <c r="D115" i="12"/>
  <c r="D118" i="12"/>
  <c r="D117" i="12"/>
  <c r="D116" i="12"/>
  <c r="O97" i="12"/>
  <c r="O92" i="12"/>
  <c r="E115" i="12" a="1"/>
  <c r="N103" i="12"/>
  <c r="N104" i="12" s="1"/>
  <c r="N98" i="12"/>
  <c r="O103" i="12"/>
  <c r="O104" i="12" s="1"/>
  <c r="O98" i="12"/>
  <c r="M87" i="10"/>
  <c r="O64" i="10"/>
  <c r="H121" i="10"/>
  <c r="H120" i="10"/>
  <c r="H119" i="10"/>
  <c r="H118" i="10"/>
  <c r="M72" i="10"/>
  <c r="M101" i="10"/>
  <c r="M71" i="10"/>
  <c r="N71" i="10"/>
  <c r="N73" i="10" s="1"/>
  <c r="O71" i="10"/>
  <c r="O73" i="10" s="1"/>
  <c r="L71" i="10"/>
  <c r="L73" i="10" s="1"/>
  <c r="G118" i="10" a="1"/>
  <c r="L93" i="10"/>
  <c r="E118" i="10" s="1" a="1"/>
  <c r="D118" i="10" a="1"/>
  <c r="L101" i="10"/>
  <c r="F118" i="10" s="1" a="1"/>
  <c r="N23" i="8"/>
  <c r="N32" i="8" s="1"/>
  <c r="N39" i="8" s="1"/>
  <c r="N48" i="8" s="1"/>
  <c r="N55" i="8" s="1"/>
  <c r="N66" i="8" s="1"/>
  <c r="N83" i="8" s="1"/>
  <c r="N89" i="8" s="1"/>
  <c r="N95" i="8" s="1"/>
  <c r="N101" i="8" s="1"/>
  <c r="N107" i="8" s="1"/>
  <c r="O17" i="8"/>
  <c r="O23" i="8" s="1"/>
  <c r="O32" i="8" s="1"/>
  <c r="O39" i="8" s="1"/>
  <c r="O48" i="8" s="1"/>
  <c r="O55" i="8" s="1"/>
  <c r="O66" i="8" s="1"/>
  <c r="O83" i="8" s="1"/>
  <c r="O89" i="8" s="1"/>
  <c r="O95" i="8" s="1"/>
  <c r="O101" i="8" s="1"/>
  <c r="O107" i="8" s="1"/>
  <c r="B115" i="8" a="1"/>
  <c r="B115" i="8" s="1"/>
  <c r="N61" i="8"/>
  <c r="O61" i="8"/>
  <c r="O70" i="8"/>
  <c r="O72" i="8" s="1"/>
  <c r="M70" i="8"/>
  <c r="M62" i="8"/>
  <c r="N110" i="8"/>
  <c r="N70" i="8"/>
  <c r="M110" i="8"/>
  <c r="O71" i="8"/>
  <c r="O60" i="8"/>
  <c r="N60" i="8"/>
  <c r="N62" i="8"/>
  <c r="M86" i="8"/>
  <c r="M71" i="8"/>
  <c r="O62" i="8"/>
  <c r="N69" i="8"/>
  <c r="N85" i="8" s="1"/>
  <c r="N91" i="8" s="1"/>
  <c r="N97" i="8" s="1"/>
  <c r="L110" i="8"/>
  <c r="O110" i="8"/>
  <c r="L69" i="8"/>
  <c r="L85" i="8" s="1"/>
  <c r="L91" i="8" s="1"/>
  <c r="L70" i="8"/>
  <c r="O91" i="8"/>
  <c r="O86" i="8"/>
  <c r="M97" i="8"/>
  <c r="M92" i="8"/>
  <c r="M60" i="8"/>
  <c r="M63" i="8" s="1"/>
  <c r="L61" i="8"/>
  <c r="L60" i="8"/>
  <c r="B118" i="8"/>
  <c r="K50" i="6"/>
  <c r="L50" i="6"/>
  <c r="M50" i="6"/>
  <c r="K51" i="6"/>
  <c r="L51" i="6"/>
  <c r="M51" i="6"/>
  <c r="J51" i="6"/>
  <c r="J50" i="6"/>
  <c r="K48" i="6"/>
  <c r="L48" i="6"/>
  <c r="M48" i="6"/>
  <c r="K49" i="6"/>
  <c r="L49" i="6"/>
  <c r="M49" i="6"/>
  <c r="J49" i="6"/>
  <c r="J48" i="6"/>
  <c r="K110" i="6"/>
  <c r="L110" i="6"/>
  <c r="M110" i="6"/>
  <c r="J110" i="6"/>
  <c r="K109" i="6"/>
  <c r="L109" i="6"/>
  <c r="M109" i="6"/>
  <c r="M111" i="6" s="1"/>
  <c r="J109" i="6"/>
  <c r="K91" i="6"/>
  <c r="L91" i="6"/>
  <c r="M91" i="6"/>
  <c r="J91" i="6"/>
  <c r="K86" i="6"/>
  <c r="K92" i="6" s="1"/>
  <c r="K98" i="6" s="1"/>
  <c r="K104" i="6" s="1"/>
  <c r="L86" i="6"/>
  <c r="L92" i="6" s="1"/>
  <c r="L98" i="6" s="1"/>
  <c r="L104" i="6" s="1"/>
  <c r="M86" i="6"/>
  <c r="M92" i="6" s="1"/>
  <c r="M98" i="6" s="1"/>
  <c r="M104" i="6" s="1"/>
  <c r="J86" i="6"/>
  <c r="J92" i="6" s="1"/>
  <c r="J98" i="6" s="1"/>
  <c r="J104" i="6" s="1"/>
  <c r="K85" i="6"/>
  <c r="L85" i="6"/>
  <c r="M85" i="6"/>
  <c r="J85" i="6"/>
  <c r="K55" i="6"/>
  <c r="L55" i="6"/>
  <c r="M55" i="6"/>
  <c r="M66" i="6" s="1"/>
  <c r="K56" i="6"/>
  <c r="K67" i="6" s="1"/>
  <c r="K103" i="6" s="1"/>
  <c r="L56" i="6"/>
  <c r="L67" i="6" s="1"/>
  <c r="M56" i="6"/>
  <c r="M67" i="6" s="1"/>
  <c r="K57" i="6"/>
  <c r="K68" i="6" s="1"/>
  <c r="L57" i="6"/>
  <c r="L68" i="6" s="1"/>
  <c r="M57" i="6"/>
  <c r="M68" i="6" s="1"/>
  <c r="K58" i="6"/>
  <c r="L58" i="6"/>
  <c r="M58" i="6"/>
  <c r="J58" i="6"/>
  <c r="J57" i="6"/>
  <c r="J56" i="6"/>
  <c r="J60" i="6" s="1"/>
  <c r="J55" i="6"/>
  <c r="J66" i="6" s="1"/>
  <c r="K39" i="6"/>
  <c r="L39" i="6"/>
  <c r="M39" i="6"/>
  <c r="K40" i="6"/>
  <c r="L40" i="6"/>
  <c r="M40" i="6"/>
  <c r="K41" i="6"/>
  <c r="L41" i="6"/>
  <c r="M41" i="6"/>
  <c r="K42" i="6"/>
  <c r="L42" i="6"/>
  <c r="M42" i="6"/>
  <c r="K43" i="6"/>
  <c r="L43" i="6"/>
  <c r="M43" i="6"/>
  <c r="K44" i="6"/>
  <c r="L44" i="6"/>
  <c r="M44" i="6"/>
  <c r="J44" i="6"/>
  <c r="J43" i="6"/>
  <c r="J42" i="6"/>
  <c r="J41" i="6"/>
  <c r="J40" i="6"/>
  <c r="J39" i="6"/>
  <c r="K32" i="6"/>
  <c r="L32" i="6"/>
  <c r="M32" i="6"/>
  <c r="K33" i="6"/>
  <c r="L33" i="6"/>
  <c r="M33" i="6"/>
  <c r="K34" i="6"/>
  <c r="L34" i="6"/>
  <c r="M34" i="6"/>
  <c r="K35" i="6"/>
  <c r="L35" i="6"/>
  <c r="M35" i="6"/>
  <c r="J35" i="6"/>
  <c r="J34" i="6"/>
  <c r="J33" i="6"/>
  <c r="J32" i="6"/>
  <c r="J31" i="6"/>
  <c r="J38" i="6" s="1"/>
  <c r="J47" i="6" s="1"/>
  <c r="J54" i="6" s="1"/>
  <c r="J65" i="6" s="1"/>
  <c r="J84" i="6" s="1"/>
  <c r="J90" i="6" s="1"/>
  <c r="J96" i="6" s="1"/>
  <c r="J102" i="6" s="1"/>
  <c r="J108" i="6" s="1"/>
  <c r="K23" i="6"/>
  <c r="L23" i="6"/>
  <c r="M23" i="6"/>
  <c r="K24" i="6"/>
  <c r="K25" i="6" s="1"/>
  <c r="L24" i="6"/>
  <c r="M24" i="6"/>
  <c r="M25" i="6" s="1"/>
  <c r="L25" i="6"/>
  <c r="K26" i="6"/>
  <c r="L26" i="6"/>
  <c r="M26" i="6"/>
  <c r="K27" i="6"/>
  <c r="L27" i="6"/>
  <c r="M27" i="6"/>
  <c r="K28" i="6"/>
  <c r="L28" i="6"/>
  <c r="M28" i="6"/>
  <c r="J23" i="6"/>
  <c r="J24" i="6"/>
  <c r="J25" i="6" s="1"/>
  <c r="J28" i="6"/>
  <c r="J27" i="6"/>
  <c r="J26" i="6"/>
  <c r="J22" i="6"/>
  <c r="K17" i="6"/>
  <c r="L17" i="6"/>
  <c r="M17" i="6"/>
  <c r="K18" i="6"/>
  <c r="L18" i="6"/>
  <c r="M18" i="6"/>
  <c r="K19" i="6"/>
  <c r="L19" i="6"/>
  <c r="M19" i="6"/>
  <c r="J19" i="6"/>
  <c r="J18" i="6"/>
  <c r="J17" i="6"/>
  <c r="K16" i="6"/>
  <c r="K22" i="6" s="1"/>
  <c r="K31" i="6" s="1"/>
  <c r="K38" i="6" s="1"/>
  <c r="K47" i="6" s="1"/>
  <c r="K54" i="6" s="1"/>
  <c r="K65" i="6" s="1"/>
  <c r="K84" i="6" s="1"/>
  <c r="K90" i="6" s="1"/>
  <c r="K96" i="6" s="1"/>
  <c r="K102" i="6" s="1"/>
  <c r="K108" i="6" s="1"/>
  <c r="G115" i="16" l="1"/>
  <c r="G114" i="16"/>
  <c r="G117" i="16"/>
  <c r="G116" i="16"/>
  <c r="F115" i="16"/>
  <c r="O115" i="16" s="1"/>
  <c r="Q115" i="16" s="1"/>
  <c r="F117" i="16"/>
  <c r="O117" i="16" s="1"/>
  <c r="Q117" i="16" s="1"/>
  <c r="F114" i="16"/>
  <c r="O114" i="16" s="1"/>
  <c r="Q114" i="16" s="1"/>
  <c r="F116" i="16"/>
  <c r="O116" i="16" s="1"/>
  <c r="Q116" i="16" s="1"/>
  <c r="G115" i="12" a="1"/>
  <c r="G115" i="12" s="1"/>
  <c r="F115" i="12" a="1"/>
  <c r="F116" i="12" s="1"/>
  <c r="E115" i="12"/>
  <c r="E118" i="12"/>
  <c r="E117" i="12"/>
  <c r="E116" i="12"/>
  <c r="M73" i="10"/>
  <c r="F118" i="10"/>
  <c r="F121" i="10"/>
  <c r="F119" i="10"/>
  <c r="F120" i="10"/>
  <c r="D118" i="10"/>
  <c r="D119" i="10"/>
  <c r="D121" i="10"/>
  <c r="D120" i="10"/>
  <c r="E118" i="10"/>
  <c r="E121" i="10"/>
  <c r="E120" i="10"/>
  <c r="E119" i="10"/>
  <c r="G118" i="10"/>
  <c r="G119" i="10"/>
  <c r="G121" i="10"/>
  <c r="G120" i="10"/>
  <c r="B117" i="8"/>
  <c r="B116" i="8"/>
  <c r="M72" i="8"/>
  <c r="H115" i="8" a="1"/>
  <c r="H115" i="8" s="1"/>
  <c r="N92" i="8"/>
  <c r="N63" i="8"/>
  <c r="L86" i="8"/>
  <c r="N71" i="8"/>
  <c r="N72" i="8" s="1"/>
  <c r="N86" i="8"/>
  <c r="O63" i="8"/>
  <c r="L71" i="8"/>
  <c r="L72" i="8"/>
  <c r="O97" i="8"/>
  <c r="O92" i="8"/>
  <c r="D115" i="8" a="1"/>
  <c r="M103" i="8"/>
  <c r="M104" i="8" s="1"/>
  <c r="M98" i="8"/>
  <c r="N98" i="8"/>
  <c r="N103" i="8"/>
  <c r="N104" i="8" s="1"/>
  <c r="L97" i="8"/>
  <c r="L92" i="8"/>
  <c r="L63" i="8"/>
  <c r="K93" i="6"/>
  <c r="J87" i="6"/>
  <c r="J111" i="6"/>
  <c r="L16" i="6"/>
  <c r="J61" i="6"/>
  <c r="L87" i="6"/>
  <c r="M87" i="6"/>
  <c r="K87" i="6"/>
  <c r="J99" i="6"/>
  <c r="L61" i="6"/>
  <c r="K61" i="6"/>
  <c r="L60" i="6"/>
  <c r="M60" i="6"/>
  <c r="K60" i="6"/>
  <c r="M59" i="6"/>
  <c r="L111" i="6"/>
  <c r="M99" i="6"/>
  <c r="L99" i="6"/>
  <c r="J67" i="6"/>
  <c r="J103" i="6" s="1"/>
  <c r="J105" i="6" s="1"/>
  <c r="K99" i="6"/>
  <c r="K111" i="6"/>
  <c r="L59" i="6"/>
  <c r="K59" i="6"/>
  <c r="M61" i="6"/>
  <c r="M103" i="6"/>
  <c r="M105" i="6" s="1"/>
  <c r="M70" i="6"/>
  <c r="M69" i="6"/>
  <c r="L103" i="6"/>
  <c r="L105" i="6" s="1"/>
  <c r="L70" i="6"/>
  <c r="K105" i="6"/>
  <c r="J93" i="6"/>
  <c r="M93" i="6"/>
  <c r="L93" i="6"/>
  <c r="J59" i="6"/>
  <c r="L66" i="6"/>
  <c r="L69" i="6" s="1"/>
  <c r="K70" i="6"/>
  <c r="J68" i="6"/>
  <c r="K66" i="6"/>
  <c r="K69" i="6" s="1"/>
  <c r="M48" i="4"/>
  <c r="N48" i="4"/>
  <c r="O48" i="4"/>
  <c r="M49" i="4"/>
  <c r="N49" i="4"/>
  <c r="O49" i="4"/>
  <c r="M50" i="4"/>
  <c r="N50" i="4"/>
  <c r="O50" i="4"/>
  <c r="M51" i="4"/>
  <c r="N51" i="4"/>
  <c r="O51" i="4"/>
  <c r="L51" i="4"/>
  <c r="L50" i="4"/>
  <c r="L49" i="4"/>
  <c r="L48" i="4"/>
  <c r="M51" i="2"/>
  <c r="N51" i="2"/>
  <c r="O51" i="2"/>
  <c r="L51" i="2"/>
  <c r="M109" i="4"/>
  <c r="N109" i="4"/>
  <c r="O109" i="4"/>
  <c r="L109" i="4"/>
  <c r="M110" i="4"/>
  <c r="N110" i="4"/>
  <c r="O110" i="4"/>
  <c r="L110" i="4"/>
  <c r="M91" i="4"/>
  <c r="N91" i="4"/>
  <c r="O91" i="4"/>
  <c r="L91" i="4"/>
  <c r="M85" i="4"/>
  <c r="N85" i="4"/>
  <c r="O85" i="4"/>
  <c r="L85" i="4"/>
  <c r="M55" i="4"/>
  <c r="N55" i="4"/>
  <c r="O55" i="4"/>
  <c r="O66" i="4" s="1"/>
  <c r="M56" i="4"/>
  <c r="M67" i="4" s="1"/>
  <c r="N56" i="4"/>
  <c r="N67" i="4" s="1"/>
  <c r="N103" i="4" s="1"/>
  <c r="O56" i="4"/>
  <c r="O67" i="4" s="1"/>
  <c r="M57" i="4"/>
  <c r="M68" i="4" s="1"/>
  <c r="M86" i="4" s="1"/>
  <c r="M92" i="4" s="1"/>
  <c r="N57" i="4"/>
  <c r="N68" i="4" s="1"/>
  <c r="N86" i="4" s="1"/>
  <c r="N92" i="4" s="1"/>
  <c r="O57" i="4"/>
  <c r="O68" i="4" s="1"/>
  <c r="O86" i="4" s="1"/>
  <c r="O92" i="4" s="1"/>
  <c r="M58" i="4"/>
  <c r="N58" i="4"/>
  <c r="O58" i="4"/>
  <c r="L58" i="4"/>
  <c r="L57" i="4"/>
  <c r="L68" i="4" s="1"/>
  <c r="L86" i="4" s="1"/>
  <c r="L56" i="4"/>
  <c r="L67" i="4" s="1"/>
  <c r="L55" i="4"/>
  <c r="L66" i="4" s="1"/>
  <c r="M39" i="4"/>
  <c r="N39" i="4"/>
  <c r="O39" i="4"/>
  <c r="M40" i="4"/>
  <c r="N40" i="4"/>
  <c r="O40" i="4"/>
  <c r="M41" i="4"/>
  <c r="N41" i="4"/>
  <c r="O41" i="4"/>
  <c r="M42" i="4"/>
  <c r="N42" i="4"/>
  <c r="O42" i="4"/>
  <c r="M43" i="4"/>
  <c r="N43" i="4"/>
  <c r="O43" i="4"/>
  <c r="M44" i="4"/>
  <c r="N44" i="4"/>
  <c r="O44" i="4"/>
  <c r="L44" i="4"/>
  <c r="L43" i="4"/>
  <c r="L42" i="4"/>
  <c r="L41" i="4"/>
  <c r="L40" i="4"/>
  <c r="L39" i="4"/>
  <c r="M35" i="4"/>
  <c r="N35" i="4"/>
  <c r="O35" i="4"/>
  <c r="L35" i="4"/>
  <c r="M34" i="4"/>
  <c r="N34" i="4"/>
  <c r="O34" i="4"/>
  <c r="L34" i="4"/>
  <c r="M33" i="4"/>
  <c r="N33" i="4"/>
  <c r="O33" i="4"/>
  <c r="L33" i="4"/>
  <c r="M32" i="4"/>
  <c r="N32" i="4"/>
  <c r="O32" i="4"/>
  <c r="L32" i="4"/>
  <c r="M28" i="4"/>
  <c r="N28" i="4"/>
  <c r="O28" i="4"/>
  <c r="L28" i="4"/>
  <c r="M27" i="4"/>
  <c r="N27" i="4"/>
  <c r="O27" i="4"/>
  <c r="L27" i="4"/>
  <c r="M26" i="4"/>
  <c r="N26" i="4"/>
  <c r="O26" i="4"/>
  <c r="L26" i="4"/>
  <c r="M24" i="4"/>
  <c r="M25" i="4" s="1"/>
  <c r="N24" i="4"/>
  <c r="N25" i="4" s="1"/>
  <c r="O24" i="4"/>
  <c r="O25" i="4" s="1"/>
  <c r="L24" i="4"/>
  <c r="L25" i="4" s="1"/>
  <c r="M23" i="4"/>
  <c r="N23" i="4"/>
  <c r="O23" i="4"/>
  <c r="L23" i="4"/>
  <c r="L22" i="4"/>
  <c r="L31" i="4" s="1"/>
  <c r="L38" i="4" s="1"/>
  <c r="M19" i="4"/>
  <c r="N19" i="4"/>
  <c r="O19" i="4"/>
  <c r="L19" i="4"/>
  <c r="M18" i="4"/>
  <c r="N18" i="4"/>
  <c r="O18" i="4"/>
  <c r="L18" i="4"/>
  <c r="M17" i="4"/>
  <c r="N17" i="4"/>
  <c r="O17" i="4"/>
  <c r="L17" i="4"/>
  <c r="M16" i="4"/>
  <c r="M22" i="4" s="1"/>
  <c r="M31" i="4" s="1"/>
  <c r="M38" i="4" s="1"/>
  <c r="G116" i="12" l="1"/>
  <c r="O116" i="12"/>
  <c r="Q116" i="12" s="1"/>
  <c r="F117" i="12"/>
  <c r="F118" i="12"/>
  <c r="F115" i="12"/>
  <c r="O115" i="12"/>
  <c r="Q115" i="12" s="1"/>
  <c r="G117" i="12"/>
  <c r="O117" i="12" s="1"/>
  <c r="Q117" i="12" s="1"/>
  <c r="G118" i="12"/>
  <c r="O118" i="12" s="1"/>
  <c r="Q118" i="12" s="1"/>
  <c r="P118" i="10"/>
  <c r="R118" i="10" s="1"/>
  <c r="P119" i="10"/>
  <c r="R119" i="10" s="1"/>
  <c r="P121" i="10"/>
  <c r="R121" i="10" s="1"/>
  <c r="P120" i="10"/>
  <c r="R120" i="10" s="1"/>
  <c r="H118" i="8"/>
  <c r="H116" i="8"/>
  <c r="H117" i="8"/>
  <c r="E115" i="8" a="1"/>
  <c r="E115" i="8" s="1"/>
  <c r="L103" i="8"/>
  <c r="L104" i="8" s="1"/>
  <c r="L98" i="8"/>
  <c r="D115" i="8"/>
  <c r="D118" i="8"/>
  <c r="D116" i="8"/>
  <c r="D117" i="8"/>
  <c r="O103" i="8"/>
  <c r="O104" i="8" s="1"/>
  <c r="O98" i="8"/>
  <c r="L22" i="6"/>
  <c r="L31" i="6" s="1"/>
  <c r="L38" i="6" s="1"/>
  <c r="L47" i="6" s="1"/>
  <c r="L54" i="6" s="1"/>
  <c r="L65" i="6" s="1"/>
  <c r="L84" i="6" s="1"/>
  <c r="L90" i="6" s="1"/>
  <c r="L96" i="6" s="1"/>
  <c r="L102" i="6" s="1"/>
  <c r="L108" i="6" s="1"/>
  <c r="M16" i="6"/>
  <c r="M22" i="6" s="1"/>
  <c r="M31" i="6" s="1"/>
  <c r="M38" i="6" s="1"/>
  <c r="M47" i="6" s="1"/>
  <c r="M54" i="6" s="1"/>
  <c r="M65" i="6" s="1"/>
  <c r="M84" i="6" s="1"/>
  <c r="M90" i="6" s="1"/>
  <c r="M96" i="6" s="1"/>
  <c r="M102" i="6" s="1"/>
  <c r="M108" i="6" s="1"/>
  <c r="J62" i="6"/>
  <c r="D116" i="6" a="1"/>
  <c r="D116" i="6" s="1"/>
  <c r="M71" i="6"/>
  <c r="J70" i="6"/>
  <c r="J69" i="6"/>
  <c r="K62" i="6"/>
  <c r="L62" i="6"/>
  <c r="L71" i="6"/>
  <c r="H116" i="6" a="1"/>
  <c r="H116" i="6" s="1"/>
  <c r="M62" i="6"/>
  <c r="G116" i="6" a="1"/>
  <c r="G118" i="6" s="1"/>
  <c r="K71" i="6"/>
  <c r="E116" i="6" a="1"/>
  <c r="F116" i="6" a="1"/>
  <c r="N60" i="4"/>
  <c r="L111" i="4"/>
  <c r="M60" i="4"/>
  <c r="L60" i="4"/>
  <c r="M47" i="4"/>
  <c r="M54" i="4"/>
  <c r="M65" i="4" s="1"/>
  <c r="M84" i="4" s="1"/>
  <c r="M90" i="4" s="1"/>
  <c r="M96" i="4" s="1"/>
  <c r="M102" i="4" s="1"/>
  <c r="M108" i="4" s="1"/>
  <c r="L47" i="4"/>
  <c r="L54" i="4"/>
  <c r="L65" i="4" s="1"/>
  <c r="L84" i="4" s="1"/>
  <c r="L90" i="4" s="1"/>
  <c r="L96" i="4" s="1"/>
  <c r="L102" i="4" s="1"/>
  <c r="L108" i="4" s="1"/>
  <c r="M111" i="4"/>
  <c r="N61" i="4"/>
  <c r="L61" i="4"/>
  <c r="M61" i="4"/>
  <c r="N111" i="4"/>
  <c r="H116" i="4" s="1" a="1"/>
  <c r="O59" i="4"/>
  <c r="O60" i="4"/>
  <c r="O111" i="4"/>
  <c r="O61" i="4"/>
  <c r="O70" i="4"/>
  <c r="M70" i="4"/>
  <c r="N59" i="4"/>
  <c r="M59" i="4"/>
  <c r="L70" i="4"/>
  <c r="O98" i="4"/>
  <c r="O104" i="4" s="1"/>
  <c r="O93" i="4"/>
  <c r="L69" i="4"/>
  <c r="L71" i="4" s="1"/>
  <c r="N93" i="4"/>
  <c r="N98" i="4"/>
  <c r="N104" i="4" s="1"/>
  <c r="N105" i="4" s="1"/>
  <c r="M93" i="4"/>
  <c r="M98" i="4"/>
  <c r="M104" i="4" s="1"/>
  <c r="L92" i="4"/>
  <c r="L87" i="4"/>
  <c r="O87" i="4"/>
  <c r="N87" i="4"/>
  <c r="M87" i="4"/>
  <c r="M66" i="4"/>
  <c r="L103" i="4"/>
  <c r="N70" i="4"/>
  <c r="O69" i="4"/>
  <c r="N66" i="4"/>
  <c r="O103" i="4"/>
  <c r="O105" i="4" s="1"/>
  <c r="M103" i="4"/>
  <c r="L59" i="4"/>
  <c r="L62" i="4" s="1"/>
  <c r="N16" i="4"/>
  <c r="M50" i="2"/>
  <c r="N50" i="2"/>
  <c r="O50" i="2"/>
  <c r="L50" i="2"/>
  <c r="M48" i="2"/>
  <c r="N48" i="2"/>
  <c r="O48" i="2"/>
  <c r="L48" i="2"/>
  <c r="M49" i="2"/>
  <c r="N49" i="2"/>
  <c r="O49" i="2"/>
  <c r="L49" i="2"/>
  <c r="M107" i="2"/>
  <c r="N107" i="2"/>
  <c r="O107" i="2"/>
  <c r="L107" i="2"/>
  <c r="M108" i="2"/>
  <c r="N108" i="2"/>
  <c r="O108" i="2"/>
  <c r="L108" i="2"/>
  <c r="M95" i="2"/>
  <c r="N95" i="2"/>
  <c r="O95" i="2"/>
  <c r="L95" i="2"/>
  <c r="M83" i="2"/>
  <c r="N83" i="2"/>
  <c r="O83" i="2"/>
  <c r="L83" i="2"/>
  <c r="O109" i="2" l="1"/>
  <c r="N109" i="2"/>
  <c r="E118" i="8"/>
  <c r="E117" i="8"/>
  <c r="E116" i="8"/>
  <c r="F115" i="8" a="1"/>
  <c r="G115" i="8" a="1"/>
  <c r="D117" i="6"/>
  <c r="D119" i="6"/>
  <c r="B116" i="6" a="1"/>
  <c r="D118" i="6"/>
  <c r="H119" i="6"/>
  <c r="H117" i="6"/>
  <c r="H118" i="6"/>
  <c r="J71" i="6"/>
  <c r="G116" i="6"/>
  <c r="G119" i="6"/>
  <c r="G117" i="6"/>
  <c r="F116" i="6"/>
  <c r="F118" i="6"/>
  <c r="F117" i="6"/>
  <c r="F119" i="6"/>
  <c r="E116" i="6"/>
  <c r="E118" i="6"/>
  <c r="E119" i="6"/>
  <c r="E117" i="6"/>
  <c r="H116" i="4"/>
  <c r="H119" i="4"/>
  <c r="H117" i="4"/>
  <c r="H118" i="4"/>
  <c r="O71" i="4"/>
  <c r="M62" i="4"/>
  <c r="N62" i="4"/>
  <c r="O62" i="4"/>
  <c r="D116" i="4" a="1"/>
  <c r="D116" i="4" s="1"/>
  <c r="M105" i="4"/>
  <c r="M99" i="4"/>
  <c r="M69" i="4"/>
  <c r="M71" i="4" s="1"/>
  <c r="L98" i="4"/>
  <c r="L104" i="4" s="1"/>
  <c r="L105" i="4" s="1"/>
  <c r="L93" i="4"/>
  <c r="E116" i="4" s="1" a="1"/>
  <c r="N99" i="4"/>
  <c r="N69" i="4"/>
  <c r="N71" i="4" s="1"/>
  <c r="O99" i="4"/>
  <c r="M109" i="2"/>
  <c r="N22" i="4"/>
  <c r="N31" i="4" s="1"/>
  <c r="N38" i="4" s="1"/>
  <c r="O16" i="4"/>
  <c r="O22" i="4" s="1"/>
  <c r="O31" i="4" s="1"/>
  <c r="O38" i="4" s="1"/>
  <c r="L109" i="2"/>
  <c r="I115" i="2" s="1" a="1"/>
  <c r="I115" i="2" s="1"/>
  <c r="M32" i="2"/>
  <c r="N32" i="2"/>
  <c r="O32" i="2"/>
  <c r="M33" i="2"/>
  <c r="N33" i="2"/>
  <c r="O33" i="2"/>
  <c r="M34" i="2"/>
  <c r="N34" i="2"/>
  <c r="O34" i="2"/>
  <c r="M35" i="2"/>
  <c r="N35" i="2"/>
  <c r="O35" i="2"/>
  <c r="L35" i="2"/>
  <c r="L34" i="2"/>
  <c r="L33" i="2"/>
  <c r="L32" i="2"/>
  <c r="M22" i="2"/>
  <c r="N22" i="2"/>
  <c r="O22" i="2"/>
  <c r="M23" i="2"/>
  <c r="M24" i="2" s="1"/>
  <c r="N23" i="2"/>
  <c r="N24" i="2" s="1"/>
  <c r="O23" i="2"/>
  <c r="O24" i="2"/>
  <c r="M25" i="2"/>
  <c r="N25" i="2"/>
  <c r="O25" i="2"/>
  <c r="M26" i="2"/>
  <c r="N26" i="2"/>
  <c r="O26" i="2"/>
  <c r="M27" i="2"/>
  <c r="N27" i="2"/>
  <c r="O27" i="2"/>
  <c r="L27" i="2"/>
  <c r="L26" i="2"/>
  <c r="L25" i="2"/>
  <c r="L23" i="2"/>
  <c r="L22" i="2"/>
  <c r="M18" i="2"/>
  <c r="N18" i="2"/>
  <c r="O18" i="2"/>
  <c r="L18" i="2"/>
  <c r="M17" i="2"/>
  <c r="N17" i="2"/>
  <c r="O17" i="2"/>
  <c r="L17" i="2"/>
  <c r="M16" i="2"/>
  <c r="N16" i="2"/>
  <c r="O16" i="2"/>
  <c r="L16" i="2"/>
  <c r="M14" i="2"/>
  <c r="N14" i="2" s="1"/>
  <c r="O14" i="2" s="1"/>
  <c r="G115" i="8" l="1"/>
  <c r="G118" i="8"/>
  <c r="G117" i="8"/>
  <c r="G116" i="8"/>
  <c r="F115" i="8"/>
  <c r="O115" i="8" s="1"/>
  <c r="Q115" i="8" s="1"/>
  <c r="F117" i="8"/>
  <c r="O117" i="8" s="1"/>
  <c r="Q117" i="8" s="1"/>
  <c r="F118" i="8"/>
  <c r="O118" i="8" s="1"/>
  <c r="Q118" i="8" s="1"/>
  <c r="F116" i="8"/>
  <c r="O116" i="8" s="1"/>
  <c r="Q116" i="8" s="1"/>
  <c r="M116" i="6"/>
  <c r="O116" i="6" s="1"/>
  <c r="M117" i="6"/>
  <c r="O117" i="6" s="1"/>
  <c r="M119" i="6"/>
  <c r="O119" i="6" s="1"/>
  <c r="M118" i="6"/>
  <c r="O118" i="6" s="1"/>
  <c r="B116" i="6"/>
  <c r="B117" i="6"/>
  <c r="B118" i="6"/>
  <c r="B119" i="6"/>
  <c r="O47" i="4"/>
  <c r="O54" i="4"/>
  <c r="O65" i="4" s="1"/>
  <c r="O84" i="4" s="1"/>
  <c r="O90" i="4" s="1"/>
  <c r="O96" i="4" s="1"/>
  <c r="O102" i="4" s="1"/>
  <c r="O108" i="4" s="1"/>
  <c r="D118" i="4"/>
  <c r="D117" i="4"/>
  <c r="N47" i="4"/>
  <c r="N54" i="4"/>
  <c r="N65" i="4" s="1"/>
  <c r="N84" i="4" s="1"/>
  <c r="N90" i="4" s="1"/>
  <c r="N96" i="4" s="1"/>
  <c r="N102" i="4" s="1"/>
  <c r="N108" i="4" s="1"/>
  <c r="B116" i="4" s="1" a="1"/>
  <c r="D119" i="4"/>
  <c r="G116" i="4" a="1"/>
  <c r="G116" i="4" s="1"/>
  <c r="E116" i="4"/>
  <c r="E117" i="4"/>
  <c r="E119" i="4"/>
  <c r="E118" i="4"/>
  <c r="L99" i="4"/>
  <c r="F116" i="4" s="1" a="1"/>
  <c r="I117" i="2"/>
  <c r="I116" i="2"/>
  <c r="I118" i="2"/>
  <c r="M58" i="2"/>
  <c r="N58" i="2"/>
  <c r="O58" i="2"/>
  <c r="L58" i="2"/>
  <c r="M57" i="2"/>
  <c r="N57" i="2"/>
  <c r="O57" i="2"/>
  <c r="L57" i="2"/>
  <c r="L69" i="2" s="1"/>
  <c r="M56" i="2"/>
  <c r="M68" i="2" s="1"/>
  <c r="M101" i="2" s="1"/>
  <c r="N56" i="2"/>
  <c r="N68" i="2" s="1"/>
  <c r="N101" i="2" s="1"/>
  <c r="O56" i="2"/>
  <c r="O68" i="2" s="1"/>
  <c r="O101" i="2" s="1"/>
  <c r="L56" i="2"/>
  <c r="M55" i="2"/>
  <c r="M67" i="2" s="1"/>
  <c r="N55" i="2"/>
  <c r="N67" i="2" s="1"/>
  <c r="O55" i="2"/>
  <c r="O67" i="2" s="1"/>
  <c r="L55" i="2"/>
  <c r="L21" i="2"/>
  <c r="L30" i="2" s="1"/>
  <c r="L38" i="2" s="1"/>
  <c r="L47" i="2" s="1"/>
  <c r="L54" i="2" s="1"/>
  <c r="L66" i="2" s="1"/>
  <c r="L82" i="2" s="1"/>
  <c r="L88" i="2" s="1"/>
  <c r="L94" i="2" s="1"/>
  <c r="L100" i="2" s="1"/>
  <c r="L106" i="2" s="1"/>
  <c r="G118" i="4" l="1"/>
  <c r="G117" i="4"/>
  <c r="B116" i="4"/>
  <c r="B117" i="4"/>
  <c r="B119" i="4"/>
  <c r="B118" i="4"/>
  <c r="G119" i="4"/>
  <c r="F117" i="4"/>
  <c r="N117" i="4" s="1"/>
  <c r="P117" i="4" s="1"/>
  <c r="F116" i="4"/>
  <c r="N116" i="4" s="1"/>
  <c r="P116" i="4" s="1"/>
  <c r="F119" i="4"/>
  <c r="N119" i="4" s="1"/>
  <c r="P119" i="4" s="1"/>
  <c r="F118" i="4"/>
  <c r="N118" i="4" s="1"/>
  <c r="P118" i="4" s="1"/>
  <c r="L59" i="2"/>
  <c r="L84" i="2"/>
  <c r="L90" i="2"/>
  <c r="O61" i="2"/>
  <c r="N61" i="2"/>
  <c r="M61" i="2"/>
  <c r="L67" i="2"/>
  <c r="M69" i="2"/>
  <c r="O69" i="2"/>
  <c r="N69" i="2"/>
  <c r="L60" i="2"/>
  <c r="O70" i="2"/>
  <c r="N70" i="2"/>
  <c r="M70" i="2"/>
  <c r="O60" i="2"/>
  <c r="N60" i="2"/>
  <c r="N59" i="2"/>
  <c r="O59" i="2"/>
  <c r="M59" i="2"/>
  <c r="L68" i="2"/>
  <c r="L61" i="2"/>
  <c r="M60" i="2"/>
  <c r="M40" i="2"/>
  <c r="N40" i="2"/>
  <c r="O40" i="2"/>
  <c r="M41" i="2"/>
  <c r="N41" i="2"/>
  <c r="O41" i="2"/>
  <c r="M42" i="2"/>
  <c r="N42" i="2"/>
  <c r="O42" i="2"/>
  <c r="M43" i="2"/>
  <c r="N43" i="2"/>
  <c r="O43" i="2"/>
  <c r="M44" i="2"/>
  <c r="N44" i="2"/>
  <c r="O44" i="2"/>
  <c r="L42" i="2"/>
  <c r="L44" i="2"/>
  <c r="L43" i="2"/>
  <c r="L41" i="2"/>
  <c r="L40" i="2"/>
  <c r="M39" i="2"/>
  <c r="N39" i="2"/>
  <c r="O39" i="2"/>
  <c r="L39" i="2"/>
  <c r="L24" i="2"/>
  <c r="E25" i="7"/>
  <c r="F25" i="7"/>
  <c r="L91" i="2" l="1"/>
  <c r="O71" i="2"/>
  <c r="O90" i="2"/>
  <c r="O91" i="2" s="1"/>
  <c r="O84" i="2"/>
  <c r="L71" i="2"/>
  <c r="L101" i="2"/>
  <c r="L102" i="2"/>
  <c r="L96" i="2"/>
  <c r="L97" i="2" s="1"/>
  <c r="L85" i="2"/>
  <c r="N71" i="2"/>
  <c r="N72" i="2" s="1"/>
  <c r="N84" i="2"/>
  <c r="N90" i="2"/>
  <c r="N91" i="2" s="1"/>
  <c r="M71" i="2"/>
  <c r="M72" i="2" s="1"/>
  <c r="M84" i="2"/>
  <c r="M90" i="2"/>
  <c r="M91" i="2" s="1"/>
  <c r="F115" i="2" s="1" a="1"/>
  <c r="O62" i="2"/>
  <c r="N62" i="2"/>
  <c r="M21" i="2"/>
  <c r="M30" i="2" s="1"/>
  <c r="M38" i="2" s="1"/>
  <c r="M47" i="2" s="1"/>
  <c r="M54" i="2" s="1"/>
  <c r="M66" i="2" s="1"/>
  <c r="M82" i="2" s="1"/>
  <c r="M88" i="2" s="1"/>
  <c r="M94" i="2" s="1"/>
  <c r="M100" i="2" s="1"/>
  <c r="M106" i="2" s="1"/>
  <c r="O72" i="2"/>
  <c r="L62" i="2"/>
  <c r="M62" i="2"/>
  <c r="L70" i="2"/>
  <c r="L72" i="2" s="1"/>
  <c r="F116" i="2" l="1"/>
  <c r="F118" i="2"/>
  <c r="F115" i="2"/>
  <c r="F117" i="2"/>
  <c r="M96" i="2"/>
  <c r="M97" i="2" s="1"/>
  <c r="M102" i="2"/>
  <c r="M103" i="2" s="1"/>
  <c r="M85" i="2"/>
  <c r="N96" i="2"/>
  <c r="N97" i="2" s="1"/>
  <c r="N85" i="2"/>
  <c r="N102" i="2"/>
  <c r="N103" i="2" s="1"/>
  <c r="L103" i="2"/>
  <c r="O102" i="2"/>
  <c r="O103" i="2" s="1"/>
  <c r="O96" i="2"/>
  <c r="O97" i="2" s="1"/>
  <c r="O85" i="2"/>
  <c r="O21" i="2"/>
  <c r="O30" i="2" s="1"/>
  <c r="O38" i="2" s="1"/>
  <c r="O47" i="2" s="1"/>
  <c r="O54" i="2" s="1"/>
  <c r="O66" i="2" s="1"/>
  <c r="O82" i="2" s="1"/>
  <c r="O88" i="2" s="1"/>
  <c r="O94" i="2" s="1"/>
  <c r="O100" i="2" s="1"/>
  <c r="O106" i="2" s="1"/>
  <c r="N21" i="2"/>
  <c r="N30" i="2" s="1"/>
  <c r="N38" i="2" s="1"/>
  <c r="N47" i="2" s="1"/>
  <c r="N54" i="2" s="1"/>
  <c r="N66" i="2" s="1"/>
  <c r="N82" i="2" s="1"/>
  <c r="N88" i="2" s="1"/>
  <c r="N94" i="2" s="1"/>
  <c r="N100" i="2" s="1"/>
  <c r="N106" i="2" s="1"/>
  <c r="H115" i="2" l="1" a="1"/>
  <c r="H116" i="2" s="1"/>
  <c r="B115" i="2" a="1"/>
  <c r="B115" i="2" s="1"/>
  <c r="G115" i="2" a="1"/>
  <c r="G116" i="2" s="1"/>
  <c r="E115" i="2" a="1"/>
  <c r="E116" i="2" s="1"/>
  <c r="H115" i="2"/>
  <c r="H118" i="2"/>
  <c r="H117" i="2" l="1"/>
  <c r="B117" i="2"/>
  <c r="B116" i="2"/>
  <c r="B118" i="2"/>
  <c r="G115" i="2"/>
  <c r="G117" i="2"/>
  <c r="G118" i="2"/>
  <c r="E117" i="2"/>
  <c r="E118" i="2"/>
  <c r="E115" i="2"/>
  <c r="O118" i="2"/>
  <c r="P118" i="2" s="1"/>
  <c r="O117" i="2"/>
  <c r="P117" i="2" s="1"/>
  <c r="O115" i="2"/>
  <c r="P115" i="2" s="1"/>
  <c r="O116" i="2"/>
  <c r="P116" i="2" s="1"/>
</calcChain>
</file>

<file path=xl/sharedStrings.xml><?xml version="1.0" encoding="utf-8"?>
<sst xmlns="http://schemas.openxmlformats.org/spreadsheetml/2006/main" count="2714" uniqueCount="329">
  <si>
    <t>Period Ending:</t>
  </si>
  <si>
    <t>1/29/2023</t>
  </si>
  <si>
    <t>1/30/2022</t>
  </si>
  <si>
    <t>1/31/2021</t>
  </si>
  <si>
    <t>1/26/2020</t>
  </si>
  <si>
    <t>Total Revenue</t>
  </si>
  <si>
    <t>Cost of Revenue</t>
  </si>
  <si>
    <t>Gross Profit</t>
  </si>
  <si>
    <t>Operating Expenses</t>
  </si>
  <si>
    <t>Research and Development</t>
  </si>
  <si>
    <t>Sales, General and Admin.</t>
  </si>
  <si>
    <t>Non-Recurring Items</t>
  </si>
  <si>
    <t>--</t>
  </si>
  <si>
    <t>Other Operating Items</t>
  </si>
  <si>
    <t>Operating Income</t>
  </si>
  <si>
    <t>Add'l income/expense items</t>
  </si>
  <si>
    <t>Earnings Before Interest and Tax</t>
  </si>
  <si>
    <t>Interest Expense</t>
  </si>
  <si>
    <t>Earnings Before Tax</t>
  </si>
  <si>
    <t>Income Tax</t>
  </si>
  <si>
    <t>Minority Interest</t>
  </si>
  <si>
    <t>Equity Earnings/Loss Unconsolidated Subsidiary</t>
  </si>
  <si>
    <t>Net Income-Cont. Operations</t>
  </si>
  <si>
    <t>Net Income</t>
  </si>
  <si>
    <t>Net Income Applicable to Common Shareholders</t>
  </si>
  <si>
    <t>Current Assets</t>
  </si>
  <si>
    <t>Cash and Cash Equivalents</t>
  </si>
  <si>
    <t>Short-Term Investments</t>
  </si>
  <si>
    <t>Net Receivables</t>
  </si>
  <si>
    <t>Inventory</t>
  </si>
  <si>
    <t>Other Current Assets</t>
  </si>
  <si>
    <t>Total Current Assets</t>
  </si>
  <si>
    <t>Long-Term Assets</t>
  </si>
  <si>
    <t>Long-Term Investments</t>
  </si>
  <si>
    <t>Fixed Assets</t>
  </si>
  <si>
    <t>Goodwill</t>
  </si>
  <si>
    <t>Intangible Assets</t>
  </si>
  <si>
    <t>Other Assets</t>
  </si>
  <si>
    <t>Deferred Asset Charges</t>
  </si>
  <si>
    <t>Total Assets</t>
  </si>
  <si>
    <t>Current Liabilities</t>
  </si>
  <si>
    <t>Accounts Payable</t>
  </si>
  <si>
    <t>Short-Term Debt / Current Portion of Long-Term Debt</t>
  </si>
  <si>
    <t>Other Current Liabilities</t>
  </si>
  <si>
    <t>Total Current Liabilities</t>
  </si>
  <si>
    <t>Long-Term Debt</t>
  </si>
  <si>
    <t>Other Liabilities</t>
  </si>
  <si>
    <t>Deferred Liability Charges</t>
  </si>
  <si>
    <t>Misc. Stocks</t>
  </si>
  <si>
    <t>Total Liabilities</t>
  </si>
  <si>
    <t>Stock Holders Equity</t>
  </si>
  <si>
    <t>Common Stocks</t>
  </si>
  <si>
    <t>Capital Surplus</t>
  </si>
  <si>
    <t>Retained Earnings</t>
  </si>
  <si>
    <t>Treasury Stock</t>
  </si>
  <si>
    <t>Other Equity</t>
  </si>
  <si>
    <t>Total Equity</t>
  </si>
  <si>
    <t>Total Liabilities &amp; Equity</t>
  </si>
  <si>
    <t>Advanced Ratio Analysis</t>
  </si>
  <si>
    <t>NVIDIA</t>
  </si>
  <si>
    <t>NASDAQ-NVDA</t>
  </si>
  <si>
    <t>USD 423</t>
  </si>
  <si>
    <t>Nvidia Corporation is an American multinational technology company incorporated in Delaware and based in Santa Clara, California.</t>
  </si>
  <si>
    <t>It is a software and fabless company which designs graphics processing units (GPUs), application programming interface (APIs) for data science.</t>
  </si>
  <si>
    <t>Liquidity Ratios</t>
  </si>
  <si>
    <t xml:space="preserve">Current Ratio </t>
  </si>
  <si>
    <t xml:space="preserve">Quick Ratio </t>
  </si>
  <si>
    <t>Cash Ratio</t>
  </si>
  <si>
    <t>12/31/2022</t>
  </si>
  <si>
    <t>12/31/2021</t>
  </si>
  <si>
    <t>12/31/2020</t>
  </si>
  <si>
    <t>12/31/2019</t>
  </si>
  <si>
    <t>Cash Flows-Operating Activities</t>
  </si>
  <si>
    <t>Depreciation</t>
  </si>
  <si>
    <t>Net Income Adjustments</t>
  </si>
  <si>
    <t>Changes in Operating Activities</t>
  </si>
  <si>
    <t>Accounts Receivable</t>
  </si>
  <si>
    <t>Changes in Inventories</t>
  </si>
  <si>
    <t>Other Operating Activities</t>
  </si>
  <si>
    <t>Liabilities</t>
  </si>
  <si>
    <t>Net Cash Flow-Operating</t>
  </si>
  <si>
    <t>Cash Flows-Investing Activities</t>
  </si>
  <si>
    <t>Capital Expenditures</t>
  </si>
  <si>
    <t>Investments</t>
  </si>
  <si>
    <t>Other Investing Activities</t>
  </si>
  <si>
    <t>Net Cash Flows-Investing</t>
  </si>
  <si>
    <t>Cash Flows-Financing Activities</t>
  </si>
  <si>
    <t>Sale and Purchase of Stock</t>
  </si>
  <si>
    <t>Net Borrowings</t>
  </si>
  <si>
    <t>Other Financing Activities</t>
  </si>
  <si>
    <t>Net Cash Flows-Financing</t>
  </si>
  <si>
    <t>Effect of Exchange Rate</t>
  </si>
  <si>
    <t>Net Cash Flow</t>
  </si>
  <si>
    <t>11/27/2020</t>
  </si>
  <si>
    <t>11/29/2019</t>
  </si>
  <si>
    <t>$27,241,000</t>
  </si>
  <si>
    <t>12/25/2021</t>
  </si>
  <si>
    <t>12/26/2020</t>
  </si>
  <si>
    <t>12/28/2019</t>
  </si>
  <si>
    <t>9/25/2022</t>
  </si>
  <si>
    <t>9/26/2021</t>
  </si>
  <si>
    <t>9/27/2020</t>
  </si>
  <si>
    <t>9/29/2019</t>
  </si>
  <si>
    <t>$1,491,000</t>
  </si>
  <si>
    <t>1/31/2023</t>
  </si>
  <si>
    <t>1/31/2022</t>
  </si>
  <si>
    <t>1/31/2020</t>
  </si>
  <si>
    <t>6/30/2022</t>
  </si>
  <si>
    <t>6/30/2021</t>
  </si>
  <si>
    <t>6/30/2020</t>
  </si>
  <si>
    <t>6/30/2019</t>
  </si>
  <si>
    <t>10/30/2022</t>
  </si>
  <si>
    <t>10/31/2021</t>
  </si>
  <si>
    <t>Income Statement(In USD Thousands)</t>
  </si>
  <si>
    <t>Balance Sheet(In USD Thousands)</t>
  </si>
  <si>
    <t>Cash Flow Statement(In USD Thousands)</t>
  </si>
  <si>
    <t>Leverage Ratios</t>
  </si>
  <si>
    <t>Debt Ratio</t>
  </si>
  <si>
    <t>Debt to Equity Ratio</t>
  </si>
  <si>
    <t>Financial Leverage Ratio</t>
  </si>
  <si>
    <t>Debt to Capital Ratio</t>
  </si>
  <si>
    <t>Interest Coverage Ratio</t>
  </si>
  <si>
    <t>Turnover Ratios</t>
  </si>
  <si>
    <t>Asset Turnover Ratio</t>
  </si>
  <si>
    <t>Working Capital Turnover Ratio</t>
  </si>
  <si>
    <t>Inventory Turnover Ratio</t>
  </si>
  <si>
    <t>Accounts Receivables Turnover Ratio</t>
  </si>
  <si>
    <t>Valuation Ratios</t>
  </si>
  <si>
    <t>Price to Sales</t>
  </si>
  <si>
    <t>Price to Earnings</t>
  </si>
  <si>
    <t>Price to Book Value</t>
  </si>
  <si>
    <t>Profitability Ratios</t>
  </si>
  <si>
    <t>Return on Equity</t>
  </si>
  <si>
    <t>Return on Asset</t>
  </si>
  <si>
    <t>Return on Capital Employed</t>
  </si>
  <si>
    <t>Return on Invested Capital</t>
  </si>
  <si>
    <t>EBITDA Margin</t>
  </si>
  <si>
    <t>Net Margin</t>
  </si>
  <si>
    <t>DuPont Analysis- Return On Equity</t>
  </si>
  <si>
    <t>Revenue</t>
  </si>
  <si>
    <t>Price to Operating Cash Flow</t>
  </si>
  <si>
    <t>Total Shareholder's Equity</t>
  </si>
  <si>
    <t>Net Margin---(A)</t>
  </si>
  <si>
    <t>Asset Turnover Ratio---(B)</t>
  </si>
  <si>
    <t>Financial Leverage---©</t>
  </si>
  <si>
    <t>Return On Equity---(A*B*C)</t>
  </si>
  <si>
    <t>DuPont Analysis- Return On Asset</t>
  </si>
  <si>
    <t>Return on Assets---(A*B)</t>
  </si>
  <si>
    <t>It also Provides high-performance computing as well as system on a chip units (SoCs) for the mobile computing and automotive market.</t>
  </si>
  <si>
    <t xml:space="preserve">Nvidia is a dominant supplier of artificial intelligence hardware and software. Nvidia's GPUs are used for edge to cloud computing and supercomputers. </t>
  </si>
  <si>
    <t>Altman Z- Score Analysis</t>
  </si>
  <si>
    <t>Working Capital / Total Assets</t>
  </si>
  <si>
    <t>Working Capital</t>
  </si>
  <si>
    <t>EBIT / Total Assets</t>
  </si>
  <si>
    <t>Retained Earnings / Total Assets</t>
  </si>
  <si>
    <t>Earnings Before Interest and Taxes(EBIT)</t>
  </si>
  <si>
    <t>Sales / Total Assets</t>
  </si>
  <si>
    <t>Market Capitalization/ Long Term Debt</t>
  </si>
  <si>
    <t>Market  Capitalization</t>
  </si>
  <si>
    <t>Long Term Debt</t>
  </si>
  <si>
    <t>Market Capitalization</t>
  </si>
  <si>
    <t>Working Capital / Total Assets---(A)</t>
  </si>
  <si>
    <t>Retained Earnings / Total Assets---(B)</t>
  </si>
  <si>
    <t>EBIT / Total Assets---©</t>
  </si>
  <si>
    <t>Revenue/Total Assets---(D)</t>
  </si>
  <si>
    <t>Market Capitalization/ Long Term Debt---€</t>
  </si>
  <si>
    <t>Altman Z Score</t>
  </si>
  <si>
    <t>Years</t>
  </si>
  <si>
    <t>Weights</t>
  </si>
  <si>
    <t>(A)</t>
  </si>
  <si>
    <t>(B)</t>
  </si>
  <si>
    <t>©</t>
  </si>
  <si>
    <t>(D)</t>
  </si>
  <si>
    <t>€</t>
  </si>
  <si>
    <t>Zone</t>
  </si>
  <si>
    <t>Enphase Energy</t>
  </si>
  <si>
    <t>NASDAQ- ENPH</t>
  </si>
  <si>
    <t>USD 170</t>
  </si>
  <si>
    <t>Enphase Energy, Inc. is an American energy technology company headquartered in Fremont, California, that develops and manufactures solar micro-inverters, battery energy storage, and EV charging stations primarily for residential customers. Enphase was established in 2006 and is the first company to successfully commercialize the solar micro-inverter, which converts the direct current (DC) power generated by a solar panel into grid-compatible alternating current (AC) for use or export. The company has shipped more than 48 million microinverters to 2.5 million solar systems in more than 140 countries.</t>
  </si>
  <si>
    <t>Current Ratio</t>
  </si>
  <si>
    <t>Quick Ratio</t>
  </si>
  <si>
    <t>Dupont Analysis- ROE</t>
  </si>
  <si>
    <t>Dupont Analysis- ROA</t>
  </si>
  <si>
    <t>Altman Z-Score Analysis</t>
  </si>
  <si>
    <t>Working Capital/ Total Assets</t>
  </si>
  <si>
    <t>EBIT/ Total Assets</t>
  </si>
  <si>
    <t>EBIT</t>
  </si>
  <si>
    <t>Sales/ Total Assets</t>
  </si>
  <si>
    <t xml:space="preserve">Altman Z Score </t>
  </si>
  <si>
    <t>Working Capital/ Total Assets---(A)</t>
  </si>
  <si>
    <t>EBIT/ Total Assets---(B)</t>
  </si>
  <si>
    <t>Retained Earnings / Total Assets----©</t>
  </si>
  <si>
    <t>Sales/ Total Assets----(D)</t>
  </si>
  <si>
    <t>Operating Cash Flow To Debt Ratio</t>
  </si>
  <si>
    <t>*Notes</t>
  </si>
  <si>
    <t>The ROE Is Leverage Influenced and company Is Struggling with Pricing Power Solutions, which are potrayed by low Net Margins</t>
  </si>
  <si>
    <t>With A Debt to Capital Ratio of 0.6, company shows probability of Overleverage. Management must strive to maintain Debt to capital Ratio Below 50%.</t>
  </si>
  <si>
    <t>Asset Turnover Ratios must be improved. In the current Scenario, Asset Efficiency Needs Improvement.</t>
  </si>
  <si>
    <t>A Sharp Dip In Cash Ratio In FY 21 is Observed. Low Cash can give rise to Liquidity Crisis and the Company needs to restore a Healthy Cash Balance.</t>
  </si>
  <si>
    <t>Profitability Ratios are Declining Sharply signalling Inefficient Capital Mangement and Fund Allocation Must be Improved.</t>
  </si>
  <si>
    <t>Return To Pre-COVID Level Growth is Expected Due to Rising Profitability Ratios Improving Margins.</t>
  </si>
  <si>
    <t>Advanced Micro Devices(AMD)</t>
  </si>
  <si>
    <t>NASDAQ- AMD</t>
  </si>
  <si>
    <t>USD 115</t>
  </si>
  <si>
    <t>Advanced Micro Devices, Inc., commonly abbreviated as AMD, is an American multinational semiconductor company based in Santa Clara, California, that develops computer processors and related technologies for business and consumer markets.AMD's main products include microprocessors, motherboard chipsets, embedded processors, graphics processors, and FPGAs for servers, workstations, personal computers, and embedded system applications. The company has also expanded into new markets, such as the data center and gaming markets, and has announced plans to enter the high-performance computing market.AMD's processors are used in a wide range of computing devices, including personal computers, servers, laptops, and gaming consoles.</t>
  </si>
  <si>
    <t>0</t>
  </si>
  <si>
    <t>Turnover Ratio</t>
  </si>
  <si>
    <t>Dupont Analysis- Return On Equity</t>
  </si>
  <si>
    <t>DuPont Analysis- Return On Assets</t>
  </si>
  <si>
    <t>Altman Z Score Analysis</t>
  </si>
  <si>
    <t>Earnings Before Earnings and Taxes</t>
  </si>
  <si>
    <t>Retained Earnings/Total Assets</t>
  </si>
  <si>
    <t>Total assets</t>
  </si>
  <si>
    <t>Sales</t>
  </si>
  <si>
    <t>Company Has Too Little Debt Affecting its Valuation as it has a Higher Weighted Average Cost of Capital(WACC). Management Must strive to Increase valuation By increasing Debt and Decreasing WACC.</t>
  </si>
  <si>
    <t>A Sharp Decline in Asset Turnover Ratio In FY 22 Indicates Inefficiency in Asset Utilization. Fund allocation And Asset management Must be improved.</t>
  </si>
  <si>
    <t>A Decline of 20 Times in ROE indicates Collective Problems in Pricing Power, Financial Leverage and Asset Efficiency Cascading into a very negative Impact on Return On Equity.</t>
  </si>
  <si>
    <t>Company Has Stable EBITDA Margins Indicating Operational Efficiency.</t>
  </si>
  <si>
    <t>Declining Net Margin with Stable EBITDA margins may Indicate High Depreciation expense due to over allocation of Assets.</t>
  </si>
  <si>
    <t>USD 480</t>
  </si>
  <si>
    <t>NASDAQ - ADBE</t>
  </si>
  <si>
    <t>ADOBE SYSTEMS INCORPORATED</t>
  </si>
  <si>
    <t>Adobe Inc.  originally called Adobe Systems Incorporated, is an American multinational computer software company incorporated in Delaware and headquartered in San Jose, California. It has historically specialized in software for the creation and publication of a wide range of content, including graphics, photography, illustration, animation, multimedia/video, motion pictures, and print. Its flagship products include Adobe Photoshop image editing software.Adobe Illustrator vector-based illustration software; Adobe Acrobat Reader and the Portable Document Format (PDF); and a host of tools primarily for audio-visual content creation, editing and publishing. Adobe offered a bundled solution of its products named Adobe Creative Suite, which evolved into a subscription software as a service (SaaS) offering named Adobe Creative Cloud. The company also expanded into digital marketing software and in 2021 was considered one of the top global leaders in Customer Experience Management (CXM).</t>
  </si>
  <si>
    <t>-</t>
  </si>
  <si>
    <t>Market Capitalization / Long Term Debt</t>
  </si>
  <si>
    <t>Marke Capitalization</t>
  </si>
  <si>
    <t>Year</t>
  </si>
  <si>
    <t>Increase In ROE from 28% in FY 19 to 33.8% In FY 22 can be Attributed to asset utilization Efficiency potrayed by improving Asset Turnover Ratios</t>
  </si>
  <si>
    <t>A Declining P/E shows that the Stock is becoming a good candidate for Value Investors.</t>
  </si>
  <si>
    <t>Asset Turnover Ratio can still be Improved considering that the company has no inventory on its Balance Sheet. Slight improvement from 0.54x in FY 19 to 0.65x in FY 22 shows the right Temperament.</t>
  </si>
  <si>
    <t>With ICR in the range of 60, and D/C ratio in the 20% range, Company can afford to take on more debt improving its valuation and positively impacting the Return on Equity through Financial Leverage.</t>
  </si>
  <si>
    <t>Dividends</t>
  </si>
  <si>
    <t>Retanied Earnings</t>
  </si>
  <si>
    <t xml:space="preserve"> Long Term Debt</t>
  </si>
  <si>
    <t>EBIT/ Total Assets--(B)</t>
  </si>
  <si>
    <t>Retained Earnings/Total Assets---©</t>
  </si>
  <si>
    <t>Sales/ Total Assets---(D)</t>
  </si>
  <si>
    <t>EBIT / Total Assets---(B)</t>
  </si>
  <si>
    <t>Retained Earnings / Total Assets---©</t>
  </si>
  <si>
    <t>Sales / Total Assets---(D)</t>
  </si>
  <si>
    <t>Market Capitalization / Long Term Debt---(€)</t>
  </si>
  <si>
    <t>At a P/E of 9.53 and a P/S of 2.79, the Stock is a Steaming Bargain for Any Value Investor looking For a good Investment.</t>
  </si>
  <si>
    <t>The Abnormally High ROE is a skewed Number because of significantly small proprotion of Equity in total Capital. The Return On Capital Employed (ROCE) Provides a more Holisitic View.</t>
  </si>
  <si>
    <t>The Management Has effectively Lowered the Debt proportions of the Company from a D/C of 0.76 in FY 19 to 0.46 in FY 22. However, Further reduction of Leverage is Crucial.</t>
  </si>
  <si>
    <t>A Steady Increase in Asset Turnover Ratio is A good Sign as it signals good Operational Efficiency of Assets.</t>
  </si>
  <si>
    <t>Tesla, Inc.  is an American multinational automotive and clean energy company headquartered in Austin, Texas. Tesla designs and manufactures electric vehicles (cars and trucks), stationary battery energy storage devices from home to grid-scale, solar panels and solar roof tiles, and related products and services. Tesla is one of the world's most valuable companies and, as of 2023, was the world's most valuable automaker. In 2022, the company led the battery electric vehicle market, with 18% share.Its subsidiary Tesla Energy develops and is a major installer of photovoltaic systems in the United States. Tesla Energy is one of the largest global suppliers of battery energy storage systems with 6.5 gigawatt-hours (GWh) installed in 2022.</t>
  </si>
  <si>
    <t>Qualcomm Incorporated</t>
  </si>
  <si>
    <t>NASDAQ - QCOM</t>
  </si>
  <si>
    <t>USD 118</t>
  </si>
  <si>
    <t>Qualcomm is an American multinational corporation headquartered in San Diego, California, and incorporated in Delaware. It creates semiconductors, software, and services related to wireless technology. It owns patents critical to the 5G, 4G, CDMA2000, TD-SCDMA and WCDMA mobile communications standards.Over the years, Qualcomm has expanded into selling semiconductor products in a predominantly fabless manufacturing model. It also developed semiconductor components or software for vehicles, watches, laptops, wi-fi, smartphones, and other devices.Qualcomm announced its intent to acquire NXP Semiconductors for $47 billion in October 2016. The deal was approved by U.S. antitrust regulators in April 2017 with some standard-essential patents excluded to get the deal approved by antitrust regulators.As the NXP acquisition was ongoing, Broadcom made a $103 billion offer to acquire Qualcomm and Qualcomm rejected the offer. Broadcom attempted a hostile takeover and raised its offer, eventually to $121 billion.</t>
  </si>
  <si>
    <t>TESLA INCORPORATED</t>
  </si>
  <si>
    <t>NASDAQ - TSLA</t>
  </si>
  <si>
    <t>USD 280</t>
  </si>
  <si>
    <t>Advanced Ratio Ananlyis</t>
  </si>
  <si>
    <t>DuPont Analysis - Return On Assets</t>
  </si>
  <si>
    <t xml:space="preserve">Retained Earnings </t>
  </si>
  <si>
    <t>A Steep Decline in the Debt to Capital Ratio has Been Observed from FY 19 to FY 22. The Debt To Capital Ratio stands at single Digit Proportion negatively impacting Valuation Of The Company.</t>
  </si>
  <si>
    <t>Operating Cash Flow To Debt Ratio stands at 4.75 in FY 22 cementing the conclusion that the company has too little debt. The ICR of 92.75 in FY 22 Shows a lot of room for New Debt to Pour In.</t>
  </si>
  <si>
    <t>A Steady Increase in the Asset Turnover Ratio from 0.72 in FY 19 to 0.99 in FY 22 suggests Outstanding Operational Efficiency of Assets. The Company now makes a $ of Revenue per $ of Asset.</t>
  </si>
  <si>
    <t>The Return on Equity Is Propelled by improving Net Margins coupled by Remarkable Asset Management. Decreasing Leverage suggests that the Return Margins are not Leverage Influenced.</t>
  </si>
  <si>
    <t>NASDAQ - ANSS</t>
  </si>
  <si>
    <t>USD 324</t>
  </si>
  <si>
    <t>ANSYS INC.</t>
  </si>
  <si>
    <t>Ansys, Inc. is an American multinational company with its headquarters based in Canonsburg, Pennsylvania. It develops and markets CAE/multiphysics engineering simulation software for product design, testing and operation and offers its products and services to customers worldwide.Current CEO Ajei S. Gopal was appointed in early 2017.Ansys develops and markets engineering simulation software for use across the product life cycle.Ansys also develops software for data management and backup, academic research and teaching. Ansys software is sold on an annual subscription basis.</t>
  </si>
  <si>
    <t>DuPont Analysis - Return On Equity</t>
  </si>
  <si>
    <t>The ROE of the Company Should be improved. ROE has remained Stagnant Over last 4 years and being a Sofware company ROE in the Range of 10% is not Satisfactory.</t>
  </si>
  <si>
    <t>At a Debt to Capital Ratio of 0.13, Company can Take on more debt to improve valuation of  Business. However, Sharply declining ICR narrows down the room for new debt to Pour in.</t>
  </si>
  <si>
    <t>EBITDA Margins have stagnated and coupled with increasing debt, ICR is Declining Rapidly. EBITDA Margins Must be improved so that ICR can Recover and there is room for more Debt.</t>
  </si>
  <si>
    <t>Lockheed Martin Corporation</t>
  </si>
  <si>
    <t>NYSE- LMT</t>
  </si>
  <si>
    <t>USD  461</t>
  </si>
  <si>
    <t>The Lockheed Martin Corporation is an American aerospace, arms, defense, information security, and technology corporation with worldwide interests. It was formed by the merger of Lockheed Corporation with Martin Marietta in March 1995. It is headquartered in North Bethesda, Maryland, in the Washington, D.C. area. As of January 2022, Lockheed Martin employs approximately 115,000 employees worldwide, including about 60,000 engineers and scientists.Lockheed Martin is one of the largest companies in the aerospace, military support, security, and technologies industry. It is the world's largest defense contractor by revenue for fiscal year 2014.</t>
  </si>
  <si>
    <t>The ROE is very highly influenced by leverage and the steady decline of ROE Due to Declining Leverage is Observed. Net margins also continue to decline to Single Digit Values.</t>
  </si>
  <si>
    <t>The Asset Turnover Ratio Is maintained above 1 and shows operational Efficiency of the Assets and their Proper Utilization.</t>
  </si>
  <si>
    <t>A Debt To Capital Ratio Of 60% shows that the company is Significantly Levered. However The ICR remains Healthy signalling No signs Of Leverage Oriented Stress.</t>
  </si>
  <si>
    <t>RAYTHEON TECHNOLOGIES CORPORATION</t>
  </si>
  <si>
    <t>NYSE - RTX</t>
  </si>
  <si>
    <t>USD 97</t>
  </si>
  <si>
    <t>Raytheon Technologies Corporation is an American multinational aerospace and defense conglomerate headquartered in Arlington, Virginia. It is one of the largest aerospace and defense manufacturers in the world by revenue and market capitalization, as well as one of the largest providers of intelligence services.[note 1][6] RTX manufactures aircraft engines, avionics, aerostructures, cybersecurity solutions, guided missiles, air defense systems, satellites, and drones. The company is also a large military contractor, getting a significant portion of its revenue from the U.S. government.The company has three subsidiaries: Collins Aerospace, Pratt &amp; Whitney, and Raytheon (formerly Raytheon Intelligence &amp; Space and Raytheon Missiles &amp; Defense).The company is the result of the merger of equals between the aerospace subsidiaries of United Technologies Corporation (UTC) and the Raytheon Company, which was completed on April 3, 2020.</t>
  </si>
  <si>
    <t>The Return On Equity Is Influenced by Net margin and Financial Leverage but is Stagnated Due to Poor Asset turnover Ratio. Company Needs to Improve its Asset operational Efficiency.</t>
  </si>
  <si>
    <t>With Single Digit ICR and Stagnant EBITDA Margins, we see a potential debt Distress Situation in the Future. The Altman Z Score Table Cements our Projection. Currently The Company lies on the Edge.</t>
  </si>
  <si>
    <t>Single Digit ROCE Shows lack Of Operational Efficiency. Company needs to Improve the EBITDA  Margins in order to improve Profitability and Interest Coverage Ratio.</t>
  </si>
  <si>
    <t>Exxon Mobil Corporation</t>
  </si>
  <si>
    <t>NYSE - XOM</t>
  </si>
  <si>
    <t>USD 103</t>
  </si>
  <si>
    <t>Exxon Mobil Corporation is an American multinational oil and gas corporation and the largest direct descendant of John D. Rockefeller's Standard Oil. The company, is vertically integrated across the entire oil and gas industry, and within it is also a chemicals division which produces plastic, synthetic rubber, and other chemical products. ExxonMobil is headquartered in the Houston suburb of Spring, Texas, though officially incorporated in New Jersey.ExxonMobil is one of the world's largest and most powerful companies. ExxonMobil varied from the first to tenth largest publicly traded company by revenue, and has one of the largest market capitalizations out of any company. As of 2022, in the most recent rankings released in the Fortune 500, ExxonMobil was ranked sixth, and twelfth on the Fortune Global 500. ExxonMobil is the largest investor-owned oil company in the world, the largest oil company headquartered in the Western world, and the largest of the Big Oil companies in both production and market value</t>
  </si>
  <si>
    <t>DuPont Analysis - Return on Assets</t>
  </si>
  <si>
    <t>The Return Of Equity Is Influenced By improving net margins and asset operational Efficiency, as seen by the steadily increasing Asset Turnover Ratios. Financial Leverage has remained stagnant.</t>
  </si>
  <si>
    <t>With A Debt to Capital Ratio at 20% and A ICR of 128, There is a lot more room for new Debt in order to get the optimal Debt to equity mix for Optimal Valuation of the firm.</t>
  </si>
  <si>
    <t>Improving EBITDA Margins Coupled with Increasing Net Margins show Operational Efficiency of the Firm and Greater Asset Utilization.</t>
  </si>
  <si>
    <t>Paypal Holdings Inc.</t>
  </si>
  <si>
    <t>NASDAQ- PYPL</t>
  </si>
  <si>
    <t>USD 67</t>
  </si>
  <si>
    <t>PayPal Holdings, Inc. is an American multinational financial technology company operating an online payments system in the majority of countries that support online money transfers, and serves as an electronic alternative to traditional paper methods such as checks and money orders. The company operates as a payment processor for online vendors, auction sites and many other commercial users, for which it charges a fee.The company was ranked 143rd on the 2022 Fortune 500 of the largest United States corporations by revenue.</t>
  </si>
  <si>
    <t>NA</t>
  </si>
  <si>
    <t>The Declining ROE is due to decling Net Margins and a stagnant Asset Turnover ratio. Increasing Financial Leverage slows down the decline rate of ROE.</t>
  </si>
  <si>
    <t>With A Debt to Capital Ratio at 70%, Company has significant amount of Leverage and Further More Debt can put the Company in financial Distess, as seen in the latest Altman Z Score.</t>
  </si>
  <si>
    <t>The P/E ratio has Steadily Declined, stands at 33.56x. The Stock is a good Consideration for value Investors and $66 for a company which has $6 Billion in Operating Cash Flow is a Bargain.</t>
  </si>
  <si>
    <t>Salesforce Incorporated</t>
  </si>
  <si>
    <t>NYSE - CRM</t>
  </si>
  <si>
    <t>USD 210</t>
  </si>
  <si>
    <t>Salesforce, Inc. is an American cloud-based software company headquartered in San Francisco, California. It provides customer relationship management (CRM) software and applications focused on sales, customer service, marketing automation, e-commerce, analytics, and application development.
Founded by former Oracle executive Marc Benioff, Salesforce quickly grew into one of the largest companies in the world, making its IPO in 2004. Salesforce's continued growth makes it the first cloud computing company to reach US$1 billion in annual revenue by fiscal year 2009, and the world's largest enterprise software firm by 2022.Today, Salesforce is one of the largest technology companies in the world, and as of September 19, 2022, is the 61st largest company in the world by market cap with a value of nearly US$153 billion. Salesforce ranked 136th on the most recent edition of the Fortune 500, making US$26.5 billion in 2022. Since 2020, Salesforce has also been a component of the Dow Jones Industrial Average.</t>
  </si>
  <si>
    <t>Profitabilty Ratios</t>
  </si>
  <si>
    <t>With A P/E at above 900, This can Be one of the Most Overvalued Stocks.</t>
  </si>
  <si>
    <t>The ROE is Significantly Influenced By Leverage. However , Deteorating Net Margins have had a greater negative impact on the ROE whereas the Leverage and Asset Turnover Have Remained Constant.</t>
  </si>
  <si>
    <t>Deteoriationg EBITDA Margins Signify operational Inefficiency. With A debt to Capital Ratio of 0.15 , there is Significant Room For More Debt to Positively Impact Valuation Of the Firm.</t>
  </si>
  <si>
    <t>Microsoft Corporation</t>
  </si>
  <si>
    <t>NADAQ - MSFT</t>
  </si>
  <si>
    <t>USD 328</t>
  </si>
  <si>
    <t>Microsoft Corporation is an American multinational technology corporation headquartered in Redmond, Washington. Microsoft's best-known software products are the Windows line of operating systems, the Microsoft 365 suite of productivity applications, and the Internet Explorer and Edge web browsers. Its flagship hardware products are the Xbox video game consoles and the Microsoft Surface lineup of touchscreen personal computers. Microsoft ranked No. 14 in the 2022 Fortune 500 rankings of the largest United States corporations by total revenue; it was the world's largest software maker by revenue as of 2022. It is considered one of the Big Five American information technology companies.</t>
  </si>
  <si>
    <t>Market Capitalization / Total Assets</t>
  </si>
  <si>
    <t>The ROE has Steadily increased due to improving Net Margins and Asset Turnover Ratios Inspite of Decreasing Financial Leverage signals Greater Operational Efficiency of the Assets.</t>
  </si>
  <si>
    <t>The Debt To Capital Ratio is Healthy at 30% which is an optimal Debt to Equity Mix for Maximizing Valuation Of the Firm.</t>
  </si>
  <si>
    <t>Improving EBITDA and Net Margins Signal operational Efficiency of the Company and The Profitability Ratios are very Healthy for a company This Big!!</t>
  </si>
  <si>
    <t>Broadcomm Incorporated</t>
  </si>
  <si>
    <t>NASDAQ - AVGO</t>
  </si>
  <si>
    <t>USD 877</t>
  </si>
  <si>
    <t>Broadcom Inc. is an American multinational designer, developer, manufacturer, and global supplier of a wide range of semiconductor and infrastructure software products. Broadcom's product offerings serve the data center, networking, software, broadband, wireless, storage, and industrial markets. As of 2022, some 78 percent of Broadcom's revenue was coming from its semiconductor-based products and 22 percent from its infrastructure software products and services.Tan Hock Eng is the company's president and CEO. The company is headquartered in San Jose, California.Avago Technologies Limited took the Broadcom part of the Broadcom Corporation name after acquiring it in January 2016.</t>
  </si>
  <si>
    <t>The ROE is Collectively Influenced By Improving Net Margins, Better Asset Turnover Ratios and Increasing Financial Leverage. An Impressive 5X Increase is seen in 4 Years From FY 19 To FY22.</t>
  </si>
  <si>
    <t>A Declining Inventory Turnover Ratio is Observed suggesting Poor Inventory Management. A Declining Receivables Turnover Ratio From FY 21 to FY 22 Suggests that Credit Policy Needs Improvement.</t>
  </si>
  <si>
    <t>With A Debt To Capital Ratio at the 60% Range and A ICR of 11, Company is in a Tight Spot regarding Debt Payments and Efforts must be made to reduce the Leverage of the company.</t>
  </si>
  <si>
    <t>Amgen Pharmaceuticals</t>
  </si>
  <si>
    <t>NASDAQ - AMGN</t>
  </si>
  <si>
    <t>USD 223</t>
  </si>
  <si>
    <t>Amgen Inc. (formerly Applied Molecular Genetics Inc.) is an American multinational biopharmaceutical company headquartered in Thousand Oaks, California. One of the world's largest independent biotechnology companies, Amgen's Thousand Oaks staff in 2022 numbered approximately 5,000 (8.5% of total city employment) and included hundreds of scientists, making Amgen the largest employer in Ventura County.As of 2022, Amgen has approximately 24,000 staff in total.
In 2019, the company's largest selling products were Enbrel (etanercept), a tumor necrosis factor blocker used in the treatment of rheumatoid arthritis and other autoimmune diseases, and Neulasta (pegfilgrastim), an immunostimulator used to prevent infections in patients undergoing cancer chemotherapy.</t>
  </si>
  <si>
    <t>DuPont Analysis - Return On Asset</t>
  </si>
  <si>
    <t>The ROE is Heavily Influenced by the Financial Leverage Ratio, which stands at a Staggering 17.79x. The Decreasing Net Margins and Stagnant Asset Turnover Ratios Collectively Present A Skewed ROE.</t>
  </si>
  <si>
    <t>With A Debt to Capital Ratio At 90% and ICR Steadily Decreasing to Single Digits, the company may Face Leverage Crisis in the Future. The Mangement must Reduce debt Levels at the Earliest.</t>
  </si>
  <si>
    <t>Decreasing EBITDA and Net Margins show Operational Inefficiency and Coupled with Decreasing Profitability Ratios, the Company May Face a Pricing Power Crisis in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</si>
</sst>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
    <numFmt numFmtId="166" formatCode="0.0%"/>
    <numFmt numFmtId="167" formatCode="#,##0.00\x"/>
    <numFmt numFmtId="168" formatCode="0.000"/>
  </numFmts>
  <fonts count="37" x14ac:knownFonts="1">
    <font>
      <sz val="11"/>
      <color theme="1"/>
      <name val="Calibri"/>
      <family val="2"/>
    </font>
    <font>
      <sz val="11"/>
      <color theme="1"/>
      <name val="Calibri"/>
      <family val="2"/>
    </font>
    <font>
      <b/>
      <sz val="11"/>
      <color theme="1"/>
      <name val="Calibri"/>
      <family val="2"/>
    </font>
    <font>
      <sz val="11"/>
      <color theme="0"/>
      <name val="Calibri"/>
      <family val="2"/>
    </font>
    <font>
      <b/>
      <sz val="14"/>
      <color rgb="FF2B2B2B"/>
      <name val="Calibri"/>
      <family val="2"/>
      <scheme val="minor"/>
    </font>
    <font>
      <b/>
      <sz val="14"/>
      <color theme="1"/>
      <name val="Calibri"/>
      <family val="2"/>
    </font>
    <font>
      <b/>
      <sz val="16"/>
      <color theme="1"/>
      <name val="Calibri"/>
      <family val="2"/>
    </font>
    <font>
      <sz val="11"/>
      <name val="Calibri"/>
      <family val="2"/>
    </font>
    <font>
      <sz val="11"/>
      <color theme="9" tint="-0.499984740745262"/>
      <name val="Calibri"/>
      <family val="2"/>
    </font>
    <font>
      <b/>
      <i/>
      <sz val="10"/>
      <color theme="1"/>
      <name val="Calibri"/>
      <family val="2"/>
    </font>
    <font>
      <b/>
      <sz val="12"/>
      <color theme="0"/>
      <name val="Calibri"/>
      <family val="2"/>
    </font>
    <font>
      <b/>
      <sz val="16"/>
      <color theme="0"/>
      <name val="Calibri"/>
      <family val="2"/>
    </font>
    <font>
      <b/>
      <sz val="11"/>
      <color rgb="FF2B2B2B"/>
      <name val="Calibri"/>
      <family val="2"/>
      <scheme val="minor"/>
    </font>
    <font>
      <sz val="11"/>
      <color rgb="FF2B2B2B"/>
      <name val="Calibri"/>
      <family val="2"/>
      <scheme val="minor"/>
    </font>
    <font>
      <b/>
      <sz val="11"/>
      <color theme="0"/>
      <name val="Calibri"/>
      <family val="2"/>
    </font>
    <font>
      <b/>
      <sz val="14"/>
      <color theme="0"/>
      <name val="Calibri"/>
      <family val="2"/>
    </font>
    <font>
      <b/>
      <sz val="18"/>
      <color theme="0"/>
      <name val="Calibri"/>
      <family val="2"/>
    </font>
    <font>
      <sz val="11"/>
      <color theme="5" tint="-0.249977111117893"/>
      <name val="Calibri"/>
      <family val="2"/>
    </font>
    <font>
      <i/>
      <sz val="10"/>
      <color theme="5" tint="-0.249977111117893"/>
      <name val="Calibri"/>
      <family val="2"/>
    </font>
    <font>
      <sz val="11"/>
      <color theme="1" tint="4.9989318521683403E-2"/>
      <name val="Calibri"/>
      <family val="2"/>
    </font>
    <font>
      <i/>
      <sz val="11"/>
      <color theme="1"/>
      <name val="Calibri"/>
      <family val="2"/>
    </font>
    <font>
      <sz val="11"/>
      <color rgb="FFFF0000"/>
      <name val="Calibri"/>
      <family val="2"/>
    </font>
    <font>
      <sz val="11"/>
      <color rgb="FF3333FF"/>
      <name val="Calibri"/>
      <family val="2"/>
    </font>
    <font>
      <sz val="11"/>
      <color rgb="FF002060"/>
      <name val="Calibri"/>
      <family val="2"/>
    </font>
    <font>
      <sz val="11"/>
      <color rgb="FFCC0000"/>
      <name val="Calibri"/>
      <family val="2"/>
    </font>
    <font>
      <i/>
      <sz val="10"/>
      <color rgb="FFFF0000"/>
      <name val="Calibri"/>
      <family val="2"/>
    </font>
    <font>
      <b/>
      <sz val="22"/>
      <name val="Calibri"/>
      <family val="2"/>
    </font>
    <font>
      <i/>
      <sz val="10"/>
      <color rgb="FF002060"/>
      <name val="Calibri"/>
      <family val="2"/>
    </font>
    <font>
      <b/>
      <sz val="22"/>
      <color theme="0"/>
      <name val="Calibri"/>
      <family val="2"/>
    </font>
    <font>
      <b/>
      <sz val="26"/>
      <color theme="0"/>
      <name val="Calibri"/>
      <family val="2"/>
    </font>
    <font>
      <sz val="11"/>
      <color rgb="FF0070C0"/>
      <name val="Calibri"/>
      <family val="2"/>
    </font>
    <font>
      <i/>
      <sz val="11"/>
      <color rgb="FF002060"/>
      <name val="Calibri"/>
      <family val="2"/>
    </font>
    <font>
      <sz val="11"/>
      <color rgb="FF00B0F0"/>
      <name val="Calibri"/>
      <family val="2"/>
    </font>
    <font>
      <b/>
      <sz val="24"/>
      <color theme="0"/>
      <name val="Calibri"/>
      <family val="2"/>
    </font>
    <font>
      <sz val="11"/>
      <color rgb="FFFF3300"/>
      <name val="Calibri"/>
      <family val="2"/>
    </font>
    <font>
      <b/>
      <sz val="28"/>
      <color theme="0"/>
      <name val="Calibri"/>
      <family val="2"/>
    </font>
    <font>
      <sz val="11"/>
      <color theme="8" tint="-0.499984740745262"/>
      <name val="Calibri"/>
      <family val="2"/>
    </font>
  </fonts>
  <fills count="43">
    <fill>
      <patternFill patternType="none"/>
    </fill>
    <fill>
      <patternFill patternType="gray125"/>
    </fill>
    <fill>
      <patternFill patternType="solid">
        <fgColor rgb="FFFFFFFF"/>
        <bgColor indexed="64"/>
      </patternFill>
    </fill>
    <fill>
      <patternFill patternType="solid">
        <fgColor rgb="FFEFEFEF"/>
        <bgColor indexed="64"/>
      </patternFill>
    </fill>
    <fill>
      <patternFill patternType="solid">
        <fgColor theme="9" tint="0.39997558519241921"/>
        <bgColor indexed="64"/>
      </patternFill>
    </fill>
    <fill>
      <patternFill patternType="solid">
        <fgColor rgb="FF75B50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6600"/>
        <bgColor indexed="64"/>
      </patternFill>
    </fill>
    <fill>
      <patternFill patternType="solid">
        <fgColor rgb="FFFF9966"/>
        <bgColor indexed="64"/>
      </patternFill>
    </fill>
    <fill>
      <patternFill patternType="solid">
        <fgColor theme="2" tint="-0.749992370372631"/>
        <bgColor indexed="64"/>
      </patternFill>
    </fill>
    <fill>
      <patternFill patternType="solid">
        <fgColor theme="1"/>
        <bgColor indexed="64"/>
      </patternFill>
    </fill>
    <fill>
      <patternFill patternType="solid">
        <fgColor theme="1" tint="0.149998474074526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5050"/>
        <bgColor indexed="64"/>
      </patternFill>
    </fill>
    <fill>
      <patternFill patternType="solid">
        <fgColor rgb="FF3333FF"/>
        <bgColor indexed="64"/>
      </patternFill>
    </fill>
    <fill>
      <patternFill patternType="solid">
        <fgColor theme="4" tint="0.39997558519241921"/>
        <bgColor indexed="64"/>
      </patternFill>
    </fill>
    <fill>
      <patternFill patternType="solid">
        <fgColor rgb="FF0000CC"/>
        <bgColor indexed="64"/>
      </patternFill>
    </fill>
    <fill>
      <patternFill patternType="solid">
        <fgColor rgb="FFFF9999"/>
        <bgColor indexed="64"/>
      </patternFill>
    </fill>
    <fill>
      <patternFill patternType="solid">
        <fgColor rgb="FFCC0000"/>
        <bgColor indexed="64"/>
      </patternFill>
    </fill>
    <fill>
      <patternFill patternType="solid">
        <fgColor rgb="FFFF3300"/>
        <bgColor indexed="64"/>
      </patternFill>
    </fill>
    <fill>
      <patternFill patternType="solid">
        <fgColor rgb="FFFF7C80"/>
        <bgColor indexed="64"/>
      </patternFill>
    </fill>
    <fill>
      <patternFill patternType="solid">
        <fgColor rgb="FFFFFF00"/>
        <bgColor indexed="64"/>
      </patternFill>
    </fill>
    <fill>
      <patternFill patternType="solid">
        <fgColor rgb="FFFFC000"/>
        <bgColor indexed="64"/>
      </patternFill>
    </fill>
    <fill>
      <patternFill patternType="solid">
        <fgColor rgb="FFFFCC00"/>
        <bgColor indexed="64"/>
      </patternFill>
    </fill>
    <fill>
      <patternFill patternType="solid">
        <fgColor rgb="FFFFFF99"/>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00FFFF"/>
        <bgColor indexed="64"/>
      </patternFill>
    </fill>
    <fill>
      <patternFill patternType="solid">
        <fgColor rgb="FF66FFFF"/>
        <bgColor indexed="64"/>
      </patternFill>
    </fill>
    <fill>
      <patternFill patternType="solid">
        <fgColor rgb="FFC0000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92D050"/>
        <bgColor indexed="64"/>
      </patternFill>
    </fill>
    <fill>
      <patternFill patternType="solid">
        <fgColor theme="7" tint="0.59999389629810485"/>
        <bgColor indexed="64"/>
      </patternFill>
    </fill>
    <fill>
      <patternFill patternType="solid">
        <fgColor rgb="FFCC3300"/>
        <bgColor indexed="64"/>
      </patternFill>
    </fill>
  </fills>
  <borders count="107">
    <border>
      <left/>
      <right/>
      <top/>
      <bottom/>
      <diagonal/>
    </border>
    <border>
      <left/>
      <right/>
      <top style="medium">
        <color rgb="FF666666"/>
      </top>
      <bottom style="medium">
        <color rgb="FF666666"/>
      </bottom>
      <diagonal/>
    </border>
    <border>
      <left/>
      <right/>
      <top/>
      <bottom style="medium">
        <color rgb="FFE1E1E6"/>
      </bottom>
      <diagonal/>
    </border>
    <border>
      <left/>
      <right/>
      <top/>
      <bottom style="medium">
        <color rgb="FF000000"/>
      </bottom>
      <diagonal/>
    </border>
    <border>
      <left/>
      <right/>
      <top style="mediumDashed">
        <color theme="9" tint="0.39994506668294322"/>
      </top>
      <bottom/>
      <diagonal/>
    </border>
    <border>
      <left/>
      <right/>
      <top/>
      <bottom style="mediumDashed">
        <color theme="9" tint="0.39994506668294322"/>
      </bottom>
      <diagonal/>
    </border>
    <border>
      <left style="thick">
        <color rgb="FF75B503"/>
      </left>
      <right/>
      <top style="thick">
        <color rgb="FF75B503"/>
      </top>
      <bottom/>
      <diagonal/>
    </border>
    <border>
      <left/>
      <right/>
      <top style="thick">
        <color rgb="FF75B503"/>
      </top>
      <bottom/>
      <diagonal/>
    </border>
    <border>
      <left/>
      <right style="thick">
        <color rgb="FF75B503"/>
      </right>
      <top style="thick">
        <color rgb="FF75B503"/>
      </top>
      <bottom/>
      <diagonal/>
    </border>
    <border>
      <left style="thick">
        <color rgb="FF75B503"/>
      </left>
      <right/>
      <top/>
      <bottom/>
      <diagonal/>
    </border>
    <border>
      <left/>
      <right style="thick">
        <color rgb="FF75B503"/>
      </right>
      <top/>
      <bottom/>
      <diagonal/>
    </border>
    <border>
      <left style="thick">
        <color rgb="FF75B503"/>
      </left>
      <right/>
      <top style="mediumDashed">
        <color theme="9" tint="0.39994506668294322"/>
      </top>
      <bottom/>
      <diagonal/>
    </border>
    <border>
      <left/>
      <right style="thick">
        <color rgb="FF75B503"/>
      </right>
      <top style="mediumDashed">
        <color theme="9" tint="0.39994506668294322"/>
      </top>
      <bottom/>
      <diagonal/>
    </border>
    <border>
      <left style="thick">
        <color rgb="FF75B503"/>
      </left>
      <right/>
      <top/>
      <bottom style="mediumDashed">
        <color theme="9" tint="0.39994506668294322"/>
      </bottom>
      <diagonal/>
    </border>
    <border>
      <left/>
      <right style="thick">
        <color rgb="FF75B503"/>
      </right>
      <top/>
      <bottom style="mediumDashed">
        <color theme="9" tint="0.39994506668294322"/>
      </bottom>
      <diagonal/>
    </border>
    <border>
      <left style="thick">
        <color rgb="FF75B503"/>
      </left>
      <right/>
      <top/>
      <bottom style="thick">
        <color rgb="FF75B503"/>
      </bottom>
      <diagonal/>
    </border>
    <border>
      <left/>
      <right/>
      <top/>
      <bottom style="thick">
        <color rgb="FF75B503"/>
      </bottom>
      <diagonal/>
    </border>
    <border>
      <left/>
      <right style="thick">
        <color rgb="FF75B503"/>
      </right>
      <top/>
      <bottom style="thick">
        <color rgb="FF75B503"/>
      </bottom>
      <diagonal/>
    </border>
    <border>
      <left style="mediumDashed">
        <color rgb="FFFF9966"/>
      </left>
      <right/>
      <top style="mediumDashed">
        <color rgb="FFFF9966"/>
      </top>
      <bottom/>
      <diagonal/>
    </border>
    <border>
      <left/>
      <right/>
      <top style="mediumDashed">
        <color rgb="FFFF9966"/>
      </top>
      <bottom/>
      <diagonal/>
    </border>
    <border>
      <left/>
      <right style="mediumDashed">
        <color rgb="FFFF9966"/>
      </right>
      <top style="mediumDashed">
        <color rgb="FFFF9966"/>
      </top>
      <bottom/>
      <diagonal/>
    </border>
    <border>
      <left style="mediumDashed">
        <color rgb="FFFF9966"/>
      </left>
      <right/>
      <top/>
      <bottom/>
      <diagonal/>
    </border>
    <border>
      <left/>
      <right style="mediumDashed">
        <color rgb="FFFF9966"/>
      </right>
      <top/>
      <bottom/>
      <diagonal/>
    </border>
    <border>
      <left style="mediumDashed">
        <color rgb="FFFF9966"/>
      </left>
      <right/>
      <top/>
      <bottom style="mediumDashed">
        <color rgb="FFFF9966"/>
      </bottom>
      <diagonal/>
    </border>
    <border>
      <left/>
      <right/>
      <top/>
      <bottom style="mediumDashed">
        <color rgb="FFFF9966"/>
      </bottom>
      <diagonal/>
    </border>
    <border>
      <left/>
      <right style="mediumDashed">
        <color rgb="FFFF9966"/>
      </right>
      <top/>
      <bottom style="mediumDashed">
        <color rgb="FFFF9966"/>
      </bottom>
      <diagonal/>
    </border>
    <border>
      <left style="mediumDashed">
        <color theme="1" tint="0.34998626667073579"/>
      </left>
      <right/>
      <top/>
      <bottom/>
      <diagonal/>
    </border>
    <border>
      <left/>
      <right style="mediumDashed">
        <color theme="1" tint="0.34998626667073579"/>
      </right>
      <top/>
      <bottom/>
      <diagonal/>
    </border>
    <border>
      <left style="mediumDashed">
        <color theme="1" tint="0.34998626667073579"/>
      </left>
      <right/>
      <top/>
      <bottom style="mediumDashed">
        <color theme="1" tint="0.34998626667073579"/>
      </bottom>
      <diagonal/>
    </border>
    <border>
      <left/>
      <right/>
      <top/>
      <bottom style="mediumDashed">
        <color theme="1" tint="0.34998626667073579"/>
      </bottom>
      <diagonal/>
    </border>
    <border>
      <left/>
      <right style="mediumDashed">
        <color theme="1" tint="0.34998626667073579"/>
      </right>
      <top/>
      <bottom style="mediumDashed">
        <color theme="1" tint="0.34998626667073579"/>
      </bottom>
      <diagonal/>
    </border>
    <border>
      <left style="mediumDashed">
        <color theme="1" tint="0.499984740745262"/>
      </left>
      <right/>
      <top/>
      <bottom/>
      <diagonal/>
    </border>
    <border>
      <left/>
      <right style="mediumDashed">
        <color theme="1" tint="0.499984740745262"/>
      </right>
      <top/>
      <bottom/>
      <diagonal/>
    </border>
    <border>
      <left style="mediumDashed">
        <color theme="1" tint="0.499984740745262"/>
      </left>
      <right/>
      <top/>
      <bottom style="mediumDashed">
        <color theme="1" tint="0.499984740745262"/>
      </bottom>
      <diagonal/>
    </border>
    <border>
      <left/>
      <right/>
      <top/>
      <bottom style="mediumDashed">
        <color theme="1" tint="0.499984740745262"/>
      </bottom>
      <diagonal/>
    </border>
    <border>
      <left/>
      <right style="mediumDashed">
        <color theme="1" tint="0.499984740745262"/>
      </right>
      <top/>
      <bottom style="mediumDashed">
        <color theme="1" tint="0.499984740745262"/>
      </bottom>
      <diagonal/>
    </border>
    <border>
      <left style="mediumDashed">
        <color theme="1" tint="0.499984740745262"/>
      </left>
      <right/>
      <top style="mediumDashed">
        <color theme="1" tint="0.499984740745262"/>
      </top>
      <bottom/>
      <diagonal/>
    </border>
    <border>
      <left/>
      <right/>
      <top style="mediumDashed">
        <color theme="1" tint="0.499984740745262"/>
      </top>
      <bottom/>
      <diagonal/>
    </border>
    <border>
      <left/>
      <right style="mediumDashed">
        <color theme="1" tint="0.499984740745262"/>
      </right>
      <top style="mediumDashed">
        <color theme="1" tint="0.499984740745262"/>
      </top>
      <bottom/>
      <diagonal/>
    </border>
    <border>
      <left style="mediumDashed">
        <color rgb="FFFF6600"/>
      </left>
      <right/>
      <top style="mediumDashed">
        <color rgb="FFFF6600"/>
      </top>
      <bottom/>
      <diagonal/>
    </border>
    <border>
      <left/>
      <right/>
      <top style="mediumDashed">
        <color rgb="FFFF6600"/>
      </top>
      <bottom/>
      <diagonal/>
    </border>
    <border>
      <left/>
      <right style="mediumDashed">
        <color rgb="FFFF6600"/>
      </right>
      <top style="mediumDashed">
        <color rgb="FFFF6600"/>
      </top>
      <bottom/>
      <diagonal/>
    </border>
    <border>
      <left style="mediumDashed">
        <color rgb="FFFF6600"/>
      </left>
      <right/>
      <top/>
      <bottom/>
      <diagonal/>
    </border>
    <border>
      <left/>
      <right style="mediumDashed">
        <color rgb="FFFF6600"/>
      </right>
      <top/>
      <bottom/>
      <diagonal/>
    </border>
    <border>
      <left style="mediumDashed">
        <color rgb="FFFF6600"/>
      </left>
      <right/>
      <top/>
      <bottom style="mediumDashed">
        <color rgb="FFFF6600"/>
      </bottom>
      <diagonal/>
    </border>
    <border>
      <left/>
      <right/>
      <top/>
      <bottom style="mediumDashed">
        <color rgb="FFFF6600"/>
      </bottom>
      <diagonal/>
    </border>
    <border>
      <left/>
      <right style="mediumDashed">
        <color rgb="FFFF6600"/>
      </right>
      <top/>
      <bottom style="mediumDashed">
        <color rgb="FFFF6600"/>
      </bottom>
      <diagonal/>
    </border>
    <border>
      <left style="mediumDashed">
        <color rgb="FF3333FF"/>
      </left>
      <right/>
      <top/>
      <bottom/>
      <diagonal/>
    </border>
    <border>
      <left/>
      <right style="mediumDashed">
        <color rgb="FF3333FF"/>
      </right>
      <top/>
      <bottom/>
      <diagonal/>
    </border>
    <border>
      <left style="mediumDashed">
        <color rgb="FF3333FF"/>
      </left>
      <right/>
      <top/>
      <bottom style="mediumDashed">
        <color rgb="FF3333FF"/>
      </bottom>
      <diagonal/>
    </border>
    <border>
      <left/>
      <right/>
      <top/>
      <bottom style="mediumDashed">
        <color rgb="FF3333FF"/>
      </bottom>
      <diagonal/>
    </border>
    <border>
      <left/>
      <right style="mediumDashed">
        <color rgb="FF3333FF"/>
      </right>
      <top/>
      <bottom style="mediumDashed">
        <color rgb="FF3333FF"/>
      </bottom>
      <diagonal/>
    </border>
    <border>
      <left style="mediumDashed">
        <color rgb="FFFF7C80"/>
      </left>
      <right/>
      <top/>
      <bottom/>
      <diagonal/>
    </border>
    <border>
      <left/>
      <right style="mediumDashed">
        <color rgb="FFFF7C80"/>
      </right>
      <top/>
      <bottom/>
      <diagonal/>
    </border>
    <border>
      <left style="mediumDashed">
        <color rgb="FFFF7C80"/>
      </left>
      <right/>
      <top/>
      <bottom style="mediumDashed">
        <color rgb="FFFF7C80"/>
      </bottom>
      <diagonal/>
    </border>
    <border>
      <left/>
      <right/>
      <top/>
      <bottom style="mediumDashed">
        <color rgb="FFFF7C80"/>
      </bottom>
      <diagonal/>
    </border>
    <border>
      <left/>
      <right style="mediumDashed">
        <color rgb="FFFF7C80"/>
      </right>
      <top/>
      <bottom style="mediumDashed">
        <color rgb="FFFF7C80"/>
      </bottom>
      <diagonal/>
    </border>
    <border>
      <left style="mediumDashed">
        <color rgb="FFCC0000"/>
      </left>
      <right/>
      <top/>
      <bottom/>
      <diagonal/>
    </border>
    <border>
      <left/>
      <right style="mediumDashed">
        <color rgb="FFCC0000"/>
      </right>
      <top/>
      <bottom/>
      <diagonal/>
    </border>
    <border>
      <left style="mediumDashed">
        <color rgb="FFCC0000"/>
      </left>
      <right/>
      <top/>
      <bottom style="mediumDashed">
        <color rgb="FFCC0000"/>
      </bottom>
      <diagonal/>
    </border>
    <border>
      <left/>
      <right/>
      <top/>
      <bottom style="mediumDashed">
        <color rgb="FFCC0000"/>
      </bottom>
      <diagonal/>
    </border>
    <border>
      <left/>
      <right style="mediumDashed">
        <color rgb="FFCC0000"/>
      </right>
      <top/>
      <bottom style="mediumDashed">
        <color rgb="FFCC0000"/>
      </bottom>
      <diagonal/>
    </border>
    <border>
      <left style="mediumDashed">
        <color theme="7" tint="0.39994506668294322"/>
      </left>
      <right/>
      <top/>
      <bottom/>
      <diagonal/>
    </border>
    <border>
      <left/>
      <right style="mediumDashed">
        <color theme="7" tint="0.39994506668294322"/>
      </right>
      <top/>
      <bottom/>
      <diagonal/>
    </border>
    <border>
      <left style="mediumDashed">
        <color theme="7" tint="0.39994506668294322"/>
      </left>
      <right/>
      <top/>
      <bottom style="mediumDashed">
        <color theme="7" tint="0.39994506668294322"/>
      </bottom>
      <diagonal/>
    </border>
    <border>
      <left/>
      <right/>
      <top/>
      <bottom style="mediumDashed">
        <color theme="7" tint="0.39994506668294322"/>
      </bottom>
      <diagonal/>
    </border>
    <border>
      <left/>
      <right style="mediumDashed">
        <color theme="7" tint="0.39994506668294322"/>
      </right>
      <top/>
      <bottom style="mediumDashed">
        <color theme="7" tint="0.39994506668294322"/>
      </bottom>
      <diagonal/>
    </border>
    <border>
      <left style="mediumDashed">
        <color rgb="FFFFCC00"/>
      </left>
      <right/>
      <top/>
      <bottom/>
      <diagonal/>
    </border>
    <border>
      <left/>
      <right style="mediumDashed">
        <color rgb="FFFFCC00"/>
      </right>
      <top/>
      <bottom/>
      <diagonal/>
    </border>
    <border>
      <left style="mediumDashed">
        <color rgb="FFFFCC00"/>
      </left>
      <right/>
      <top/>
      <bottom style="mediumDashed">
        <color rgb="FFFFCC00"/>
      </bottom>
      <diagonal/>
    </border>
    <border>
      <left/>
      <right/>
      <top/>
      <bottom style="mediumDashed">
        <color rgb="FFFFCC00"/>
      </bottom>
      <diagonal/>
    </border>
    <border>
      <left/>
      <right style="mediumDashed">
        <color rgb="FFFFCC00"/>
      </right>
      <top/>
      <bottom style="mediumDashed">
        <color rgb="FFFFCC00"/>
      </bottom>
      <diagonal/>
    </border>
    <border>
      <left style="mediumDashed">
        <color rgb="FFFF0000"/>
      </left>
      <right/>
      <top/>
      <bottom/>
      <diagonal/>
    </border>
    <border>
      <left/>
      <right style="mediumDashed">
        <color rgb="FFFF0000"/>
      </right>
      <top/>
      <bottom/>
      <diagonal/>
    </border>
    <border>
      <left style="mediumDashed">
        <color rgb="FFFF0000"/>
      </left>
      <right/>
      <top/>
      <bottom style="mediumDashed">
        <color rgb="FFFF0000"/>
      </bottom>
      <diagonal/>
    </border>
    <border>
      <left/>
      <right/>
      <top/>
      <bottom style="mediumDashed">
        <color rgb="FFFF0000"/>
      </bottom>
      <diagonal/>
    </border>
    <border>
      <left/>
      <right style="mediumDashed">
        <color rgb="FFFF0000"/>
      </right>
      <top/>
      <bottom style="mediumDashed">
        <color rgb="FFFF0000"/>
      </bottom>
      <diagonal/>
    </border>
    <border>
      <left style="mediumDashed">
        <color rgb="FF00FFFF"/>
      </left>
      <right/>
      <top/>
      <bottom/>
      <diagonal/>
    </border>
    <border>
      <left/>
      <right style="mediumDashed">
        <color rgb="FF00FFFF"/>
      </right>
      <top/>
      <bottom/>
      <diagonal/>
    </border>
    <border>
      <left style="mediumDashed">
        <color rgb="FF00FFFF"/>
      </left>
      <right/>
      <top/>
      <bottom style="mediumDashed">
        <color rgb="FF00FFFF"/>
      </bottom>
      <diagonal/>
    </border>
    <border>
      <left/>
      <right/>
      <top/>
      <bottom style="mediumDashed">
        <color rgb="FF00FFFF"/>
      </bottom>
      <diagonal/>
    </border>
    <border>
      <left/>
      <right style="mediumDashed">
        <color rgb="FF00FFFF"/>
      </right>
      <top/>
      <bottom style="mediumDashed">
        <color rgb="FF00FFFF"/>
      </bottom>
      <diagonal/>
    </border>
    <border>
      <left style="mediumDashed">
        <color rgb="FF00B0F0"/>
      </left>
      <right/>
      <top/>
      <bottom/>
      <diagonal/>
    </border>
    <border>
      <left/>
      <right style="mediumDashed">
        <color rgb="FF00B0F0"/>
      </right>
      <top/>
      <bottom/>
      <diagonal/>
    </border>
    <border>
      <left style="mediumDashed">
        <color rgb="FF00B0F0"/>
      </left>
      <right/>
      <top/>
      <bottom style="mediumDashed">
        <color rgb="FF00B0F0"/>
      </bottom>
      <diagonal/>
    </border>
    <border>
      <left/>
      <right/>
      <top/>
      <bottom style="mediumDashed">
        <color rgb="FF00B0F0"/>
      </bottom>
      <diagonal/>
    </border>
    <border>
      <left/>
      <right style="mediumDashed">
        <color rgb="FF00B0F0"/>
      </right>
      <top/>
      <bottom style="mediumDashed">
        <color rgb="FF00B0F0"/>
      </bottom>
      <diagonal/>
    </border>
    <border>
      <left style="mediumDashed">
        <color rgb="FF0070C0"/>
      </left>
      <right/>
      <top/>
      <bottom/>
      <diagonal/>
    </border>
    <border>
      <left/>
      <right style="mediumDashed">
        <color rgb="FF0070C0"/>
      </right>
      <top/>
      <bottom/>
      <diagonal/>
    </border>
    <border>
      <left style="mediumDashed">
        <color rgb="FF0070C0"/>
      </left>
      <right/>
      <top/>
      <bottom style="mediumDashed">
        <color rgb="FF0070C0"/>
      </bottom>
      <diagonal/>
    </border>
    <border>
      <left/>
      <right/>
      <top/>
      <bottom style="mediumDashed">
        <color rgb="FF0070C0"/>
      </bottom>
      <diagonal/>
    </border>
    <border>
      <left/>
      <right style="mediumDashed">
        <color rgb="FF0070C0"/>
      </right>
      <top/>
      <bottom style="mediumDashed">
        <color rgb="FF0070C0"/>
      </bottom>
      <diagonal/>
    </border>
    <border>
      <left style="mediumDashed">
        <color rgb="FFFF9933"/>
      </left>
      <right/>
      <top/>
      <bottom/>
      <diagonal/>
    </border>
    <border>
      <left/>
      <right style="mediumDashed">
        <color rgb="FFFF9933"/>
      </right>
      <top/>
      <bottom/>
      <diagonal/>
    </border>
    <border>
      <left style="mediumDashed">
        <color rgb="FFFF9933"/>
      </left>
      <right/>
      <top/>
      <bottom style="mediumDashed">
        <color rgb="FFFF9933"/>
      </bottom>
      <diagonal/>
    </border>
    <border>
      <left/>
      <right/>
      <top/>
      <bottom style="mediumDashed">
        <color rgb="FFFF9933"/>
      </bottom>
      <diagonal/>
    </border>
    <border>
      <left/>
      <right style="mediumDashed">
        <color rgb="FFFF9933"/>
      </right>
      <top/>
      <bottom style="mediumDashed">
        <color rgb="FFFF9933"/>
      </bottom>
      <diagonal/>
    </border>
    <border>
      <left style="mediumDashed">
        <color rgb="FFFF5050"/>
      </left>
      <right/>
      <top/>
      <bottom/>
      <diagonal/>
    </border>
    <border>
      <left/>
      <right style="mediumDashed">
        <color rgb="FFFF5050"/>
      </right>
      <top/>
      <bottom/>
      <diagonal/>
    </border>
    <border>
      <left style="mediumDashed">
        <color rgb="FFFF5050"/>
      </left>
      <right/>
      <top/>
      <bottom style="mediumDashed">
        <color rgb="FFFF5050"/>
      </bottom>
      <diagonal/>
    </border>
    <border>
      <left/>
      <right/>
      <top/>
      <bottom style="mediumDashed">
        <color rgb="FFFF5050"/>
      </bottom>
      <diagonal/>
    </border>
    <border>
      <left/>
      <right style="mediumDashed">
        <color rgb="FFFF5050"/>
      </right>
      <top/>
      <bottom style="mediumDashed">
        <color rgb="FFFF5050"/>
      </bottom>
      <diagonal/>
    </border>
    <border>
      <left style="mediumDashed">
        <color theme="8" tint="-0.24994659260841701"/>
      </left>
      <right/>
      <top/>
      <bottom/>
      <diagonal/>
    </border>
    <border>
      <left/>
      <right style="mediumDashed">
        <color theme="8" tint="-0.24994659260841701"/>
      </right>
      <top/>
      <bottom/>
      <diagonal/>
    </border>
    <border>
      <left style="mediumDashed">
        <color theme="8" tint="-0.24994659260841701"/>
      </left>
      <right/>
      <top/>
      <bottom style="mediumDashed">
        <color theme="8" tint="-0.24994659260841701"/>
      </bottom>
      <diagonal/>
    </border>
    <border>
      <left/>
      <right/>
      <top/>
      <bottom style="mediumDashed">
        <color theme="8" tint="-0.24994659260841701"/>
      </bottom>
      <diagonal/>
    </border>
    <border>
      <left/>
      <right style="mediumDashed">
        <color theme="8" tint="-0.24994659260841701"/>
      </right>
      <top/>
      <bottom style="mediumDashed">
        <color theme="8" tint="-0.24994659260841701"/>
      </bottom>
      <diagonal/>
    </border>
  </borders>
  <cellStyleXfs count="2">
    <xf numFmtId="0" fontId="0" fillId="0" borderId="0"/>
    <xf numFmtId="9" fontId="1" fillId="0" borderId="0" applyFont="0" applyFill="0" applyBorder="0" applyAlignment="0" applyProtection="0"/>
  </cellStyleXfs>
  <cellXfs count="537">
    <xf numFmtId="0" fontId="0" fillId="0" borderId="0" xfId="0"/>
    <xf numFmtId="0" fontId="4" fillId="2" borderId="1" xfId="0" applyFont="1" applyFill="1" applyBorder="1" applyAlignment="1">
      <alignment horizontal="right" vertical="center"/>
    </xf>
    <xf numFmtId="0" fontId="5" fillId="0" borderId="0" xfId="0" applyFont="1"/>
    <xf numFmtId="0" fontId="0" fillId="0" borderId="0" xfId="0" applyAlignment="1">
      <alignment wrapText="1"/>
    </xf>
    <xf numFmtId="0" fontId="2" fillId="0" borderId="0" xfId="0" applyFont="1"/>
    <xf numFmtId="0" fontId="6" fillId="0" borderId="0" xfId="0" applyFont="1"/>
    <xf numFmtId="0" fontId="8" fillId="0" borderId="0" xfId="0" applyFont="1" applyAlignment="1">
      <alignment vertical="top"/>
    </xf>
    <xf numFmtId="17" fontId="0" fillId="0" borderId="0" xfId="0" applyNumberFormat="1"/>
    <xf numFmtId="15" fontId="0" fillId="0" borderId="0" xfId="0" applyNumberFormat="1"/>
    <xf numFmtId="14" fontId="0" fillId="0" borderId="0" xfId="0" applyNumberFormat="1"/>
    <xf numFmtId="3" fontId="0" fillId="0" borderId="0" xfId="0" applyNumberFormat="1"/>
    <xf numFmtId="3" fontId="0" fillId="0" borderId="0" xfId="0" applyNumberFormat="1" applyAlignment="1">
      <alignment horizontal="center" vertical="center"/>
    </xf>
    <xf numFmtId="0" fontId="9" fillId="0" borderId="0" xfId="0" applyFont="1"/>
    <xf numFmtId="37" fontId="0" fillId="0" borderId="0" xfId="0" applyNumberFormat="1" applyAlignment="1">
      <alignment horizontal="center" vertical="center"/>
    </xf>
    <xf numFmtId="9" fontId="0" fillId="0" borderId="0" xfId="1" applyFont="1"/>
    <xf numFmtId="1" fontId="0" fillId="0" borderId="0" xfId="1" applyNumberFormat="1" applyFont="1"/>
    <xf numFmtId="164" fontId="0" fillId="0" borderId="0" xfId="1" applyNumberFormat="1" applyFont="1"/>
    <xf numFmtId="164" fontId="0" fillId="0" borderId="0" xfId="1" quotePrefix="1" applyNumberFormat="1" applyFont="1"/>
    <xf numFmtId="1" fontId="0" fillId="0" borderId="0" xfId="0" applyNumberFormat="1"/>
    <xf numFmtId="164" fontId="0" fillId="0" borderId="0" xfId="0" applyNumberFormat="1"/>
    <xf numFmtId="164" fontId="0" fillId="0" borderId="0" xfId="0" quotePrefix="1" applyNumberFormat="1"/>
    <xf numFmtId="9" fontId="0" fillId="0" borderId="0" xfId="0" applyNumberFormat="1"/>
    <xf numFmtId="0" fontId="3" fillId="5" borderId="0" xfId="0" applyFont="1" applyFill="1"/>
    <xf numFmtId="0" fontId="10" fillId="5" borderId="0" xfId="0" applyFont="1" applyFill="1"/>
    <xf numFmtId="0" fontId="11" fillId="5" borderId="0" xfId="0" applyFont="1" applyFill="1"/>
    <xf numFmtId="0" fontId="12" fillId="2" borderId="1" xfId="0" applyFont="1" applyFill="1" applyBorder="1" applyAlignment="1">
      <alignment horizontal="left" vertical="center"/>
    </xf>
    <xf numFmtId="0" fontId="12" fillId="2" borderId="2" xfId="0" applyFont="1" applyFill="1" applyBorder="1" applyAlignment="1">
      <alignment horizontal="left" vertical="center"/>
    </xf>
    <xf numFmtId="0" fontId="12" fillId="2" borderId="3" xfId="0" applyFont="1" applyFill="1" applyBorder="1" applyAlignment="1">
      <alignment horizontal="left" vertical="center"/>
    </xf>
    <xf numFmtId="0" fontId="0" fillId="0" borderId="0" xfId="0" applyFont="1"/>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13" fillId="2" borderId="2" xfId="0" applyFont="1" applyFill="1" applyBorder="1" applyAlignment="1">
      <alignment horizontal="left" vertical="center"/>
    </xf>
    <xf numFmtId="0" fontId="13" fillId="2" borderId="3" xfId="0" applyFont="1" applyFill="1" applyBorder="1" applyAlignment="1">
      <alignment horizontal="left" vertical="center"/>
    </xf>
    <xf numFmtId="0" fontId="12" fillId="3" borderId="2" xfId="0" applyFont="1" applyFill="1" applyBorder="1" applyAlignment="1">
      <alignment horizontal="left" vertical="center"/>
    </xf>
    <xf numFmtId="0" fontId="13" fillId="2" borderId="2" xfId="0" applyFont="1" applyFill="1" applyBorder="1" applyAlignment="1">
      <alignment horizontal="left" vertical="center" wrapText="1"/>
    </xf>
    <xf numFmtId="0" fontId="13" fillId="2" borderId="0" xfId="0" applyFont="1" applyFill="1" applyBorder="1" applyAlignment="1">
      <alignment horizontal="left" vertical="center"/>
    </xf>
    <xf numFmtId="0" fontId="0" fillId="8" borderId="0" xfId="0" applyFill="1"/>
    <xf numFmtId="0" fontId="2" fillId="0" borderId="0" xfId="0" applyFont="1" applyBorder="1"/>
    <xf numFmtId="0" fontId="0" fillId="0" borderId="0" xfId="0" applyBorder="1"/>
    <xf numFmtId="167" fontId="0" fillId="0" borderId="0" xfId="0" applyNumberFormat="1" applyBorder="1"/>
    <xf numFmtId="2" fontId="2" fillId="0" borderId="0" xfId="0" applyNumberFormat="1" applyFont="1" applyBorder="1"/>
    <xf numFmtId="0" fontId="0" fillId="0" borderId="4" xfId="0" applyBorder="1"/>
    <xf numFmtId="0" fontId="2" fillId="0" borderId="4" xfId="0" applyFont="1" applyBorder="1"/>
    <xf numFmtId="0" fontId="0" fillId="0" borderId="5" xfId="0" applyBorder="1"/>
    <xf numFmtId="167" fontId="0" fillId="0" borderId="5" xfId="0" applyNumberFormat="1" applyBorder="1"/>
    <xf numFmtId="2" fontId="2" fillId="0" borderId="5" xfId="0" applyNumberFormat="1" applyFont="1" applyBorder="1"/>
    <xf numFmtId="0" fontId="0" fillId="0" borderId="4" xfId="0" applyBorder="1" applyAlignment="1">
      <alignment horizontal="center"/>
    </xf>
    <xf numFmtId="0" fontId="0" fillId="0" borderId="9" xfId="0" applyBorder="1"/>
    <xf numFmtId="0" fontId="0" fillId="0" borderId="10" xfId="0" applyBorder="1"/>
    <xf numFmtId="17" fontId="2" fillId="0" borderId="0" xfId="0" applyNumberFormat="1" applyFont="1" applyBorder="1"/>
    <xf numFmtId="3" fontId="0" fillId="0" borderId="0" xfId="0" applyNumberFormat="1" applyBorder="1"/>
    <xf numFmtId="164" fontId="0" fillId="0" borderId="0" xfId="0" applyNumberFormat="1" applyBorder="1"/>
    <xf numFmtId="0" fontId="7" fillId="8" borderId="9" xfId="0" applyFont="1" applyFill="1" applyBorder="1" applyAlignment="1">
      <alignment horizontal="center"/>
    </xf>
    <xf numFmtId="0" fontId="7" fillId="8" borderId="0" xfId="0" applyFont="1" applyFill="1" applyBorder="1" applyAlignment="1">
      <alignment horizontal="center"/>
    </xf>
    <xf numFmtId="0" fontId="7" fillId="8" borderId="10" xfId="0" applyFont="1" applyFill="1" applyBorder="1" applyAlignment="1">
      <alignment horizontal="center"/>
    </xf>
    <xf numFmtId="0" fontId="0" fillId="0" borderId="11" xfId="0" applyBorder="1"/>
    <xf numFmtId="0" fontId="0" fillId="0" borderId="12" xfId="0" applyBorder="1"/>
    <xf numFmtId="0" fontId="2" fillId="0" borderId="9" xfId="0" applyFont="1" applyBorder="1"/>
    <xf numFmtId="17" fontId="2" fillId="0" borderId="9" xfId="0" applyNumberFormat="1" applyFont="1" applyBorder="1"/>
    <xf numFmtId="17" fontId="2" fillId="0" borderId="13" xfId="0" applyNumberFormat="1" applyFont="1"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0" xfId="0" applyNumberFormat="1" applyBorder="1"/>
    <xf numFmtId="165" fontId="0" fillId="0" borderId="0" xfId="0" applyNumberFormat="1" applyBorder="1"/>
    <xf numFmtId="2" fontId="0" fillId="0" borderId="0" xfId="0" applyNumberFormat="1" applyBorder="1"/>
    <xf numFmtId="166" fontId="0" fillId="0" borderId="0" xfId="1" applyNumberFormat="1" applyFont="1" applyBorder="1"/>
    <xf numFmtId="37" fontId="0" fillId="0" borderId="0" xfId="0" applyNumberFormat="1" applyBorder="1"/>
    <xf numFmtId="167" fontId="0" fillId="0" borderId="0" xfId="1" applyNumberFormat="1" applyFont="1" applyBorder="1"/>
    <xf numFmtId="0" fontId="0" fillId="6" borderId="9" xfId="0" applyFill="1" applyBorder="1"/>
    <xf numFmtId="0" fontId="0" fillId="6" borderId="0" xfId="0" applyFill="1" applyBorder="1"/>
    <xf numFmtId="10" fontId="0" fillId="6" borderId="0" xfId="0" applyNumberFormat="1" applyFill="1" applyBorder="1"/>
    <xf numFmtId="0" fontId="0" fillId="6" borderId="10" xfId="0" applyFill="1" applyBorder="1"/>
    <xf numFmtId="166" fontId="0" fillId="6" borderId="0" xfId="1" applyNumberFormat="1" applyFont="1" applyFill="1" applyBorder="1"/>
    <xf numFmtId="167" fontId="0" fillId="0" borderId="16" xfId="0" applyNumberFormat="1" applyBorder="1"/>
    <xf numFmtId="0" fontId="0" fillId="12" borderId="0" xfId="0" applyFill="1"/>
    <xf numFmtId="0" fontId="3" fillId="12" borderId="0" xfId="0" applyFont="1" applyFill="1"/>
    <xf numFmtId="0" fontId="16" fillId="12" borderId="0" xfId="0" applyFont="1" applyFill="1" applyAlignment="1"/>
    <xf numFmtId="0" fontId="15" fillId="12" borderId="0" xfId="0" applyFont="1" applyFill="1" applyAlignment="1"/>
    <xf numFmtId="0" fontId="14" fillId="12" borderId="0" xfId="0" applyFont="1" applyFill="1" applyAlignment="1"/>
    <xf numFmtId="0" fontId="3" fillId="8" borderId="0" xfId="0" applyFont="1" applyFill="1"/>
    <xf numFmtId="0" fontId="3" fillId="8" borderId="0" xfId="0" applyFont="1" applyFill="1" applyAlignment="1"/>
    <xf numFmtId="0" fontId="7" fillId="8" borderId="0" xfId="0" applyFont="1" applyFill="1" applyAlignment="1"/>
    <xf numFmtId="0" fontId="0" fillId="0" borderId="18" xfId="0" applyBorder="1"/>
    <xf numFmtId="0" fontId="0" fillId="0" borderId="19" xfId="0" applyBorder="1"/>
    <xf numFmtId="0" fontId="0" fillId="0" borderId="20" xfId="0" applyBorder="1"/>
    <xf numFmtId="0" fontId="0" fillId="0" borderId="21" xfId="0" applyBorder="1"/>
    <xf numFmtId="0" fontId="2" fillId="0" borderId="0" xfId="0" applyFont="1" applyBorder="1" applyAlignment="1">
      <alignment horizontal="center"/>
    </xf>
    <xf numFmtId="0" fontId="0" fillId="0" borderId="22" xfId="0" applyBorder="1"/>
    <xf numFmtId="17" fontId="2" fillId="0" borderId="21" xfId="0" applyNumberFormat="1" applyFont="1" applyBorder="1" applyAlignment="1">
      <alignment horizontal="center"/>
    </xf>
    <xf numFmtId="17" fontId="2" fillId="0" borderId="23" xfId="0" applyNumberFormat="1" applyFont="1" applyBorder="1" applyAlignment="1">
      <alignment horizontal="center"/>
    </xf>
    <xf numFmtId="0" fontId="0" fillId="0" borderId="24" xfId="0" applyBorder="1"/>
    <xf numFmtId="2" fontId="0" fillId="0" borderId="24" xfId="0" applyNumberFormat="1" applyBorder="1"/>
    <xf numFmtId="0" fontId="0" fillId="0" borderId="25" xfId="0" applyBorder="1"/>
    <xf numFmtId="0" fontId="2" fillId="0" borderId="19" xfId="0" applyFont="1" applyBorder="1"/>
    <xf numFmtId="0" fontId="3" fillId="15" borderId="0" xfId="0" applyFont="1" applyFill="1"/>
    <xf numFmtId="0" fontId="11" fillId="15" borderId="0" xfId="0" applyFont="1" applyFill="1"/>
    <xf numFmtId="0" fontId="0" fillId="0" borderId="26" xfId="0" applyBorder="1"/>
    <xf numFmtId="0" fontId="0" fillId="0" borderId="27" xfId="0" applyBorder="1"/>
    <xf numFmtId="0" fontId="2" fillId="0" borderId="26" xfId="0" applyFont="1" applyBorder="1"/>
    <xf numFmtId="17" fontId="2" fillId="0" borderId="26" xfId="0" applyNumberFormat="1" applyFont="1" applyBorder="1"/>
    <xf numFmtId="17" fontId="2" fillId="0" borderId="28" xfId="0" applyNumberFormat="1" applyFont="1" applyBorder="1"/>
    <xf numFmtId="0" fontId="0" fillId="0" borderId="29" xfId="0" applyBorder="1"/>
    <xf numFmtId="167" fontId="0" fillId="0" borderId="29" xfId="0" applyNumberFormat="1" applyBorder="1"/>
    <xf numFmtId="165" fontId="0" fillId="0" borderId="29" xfId="0" applyNumberFormat="1" applyBorder="1"/>
    <xf numFmtId="0" fontId="0" fillId="0" borderId="30" xfId="0" applyBorder="1"/>
    <xf numFmtId="0" fontId="0" fillId="0" borderId="31" xfId="0" applyBorder="1"/>
    <xf numFmtId="0" fontId="0" fillId="0" borderId="32" xfId="0" applyBorder="1"/>
    <xf numFmtId="0" fontId="0" fillId="18" borderId="31" xfId="0" applyFill="1" applyBorder="1"/>
    <xf numFmtId="0" fontId="0" fillId="18" borderId="0" xfId="0" applyFill="1" applyBorder="1"/>
    <xf numFmtId="166" fontId="0" fillId="18" borderId="0" xfId="1" applyNumberFormat="1" applyFont="1" applyFill="1" applyBorder="1"/>
    <xf numFmtId="0" fontId="0" fillId="18" borderId="32" xfId="0" applyFill="1" applyBorder="1"/>
    <xf numFmtId="0" fontId="0" fillId="18" borderId="33" xfId="0" applyFill="1" applyBorder="1"/>
    <xf numFmtId="0" fontId="0" fillId="18" borderId="34" xfId="0" applyFill="1" applyBorder="1"/>
    <xf numFmtId="166" fontId="0" fillId="18" borderId="34" xfId="1" applyNumberFormat="1" applyFont="1" applyFill="1" applyBorder="1"/>
    <xf numFmtId="0" fontId="0" fillId="18" borderId="35" xfId="0" applyFill="1" applyBorder="1"/>
    <xf numFmtId="167" fontId="0" fillId="18" borderId="0" xfId="0" applyNumberFormat="1" applyFill="1" applyBorder="1"/>
    <xf numFmtId="167" fontId="0" fillId="18" borderId="34" xfId="0" applyNumberFormat="1" applyFill="1" applyBorder="1"/>
    <xf numFmtId="0" fontId="0" fillId="0" borderId="42" xfId="0" applyBorder="1"/>
    <xf numFmtId="0" fontId="0" fillId="0" borderId="43" xfId="0" applyBorder="1"/>
    <xf numFmtId="0" fontId="0" fillId="11" borderId="42" xfId="0" applyFill="1" applyBorder="1"/>
    <xf numFmtId="0" fontId="0" fillId="11" borderId="0" xfId="0" applyFill="1" applyBorder="1"/>
    <xf numFmtId="166" fontId="0" fillId="11" borderId="0" xfId="1" applyNumberFormat="1" applyFont="1" applyFill="1" applyBorder="1"/>
    <xf numFmtId="0" fontId="0" fillId="11" borderId="43" xfId="0" applyFill="1" applyBorder="1"/>
    <xf numFmtId="0" fontId="18" fillId="0" borderId="42" xfId="0" applyFont="1" applyBorder="1"/>
    <xf numFmtId="0" fontId="17" fillId="0" borderId="42" xfId="0" applyFont="1" applyBorder="1"/>
    <xf numFmtId="0" fontId="17" fillId="0" borderId="0" xfId="0" applyFont="1" applyBorder="1"/>
    <xf numFmtId="0" fontId="17" fillId="0" borderId="43" xfId="0" applyFont="1" applyBorder="1"/>
    <xf numFmtId="0" fontId="17" fillId="0" borderId="44" xfId="0" applyFont="1" applyBorder="1"/>
    <xf numFmtId="0" fontId="17" fillId="0" borderId="45" xfId="0" applyFont="1" applyBorder="1"/>
    <xf numFmtId="0" fontId="17" fillId="0" borderId="46" xfId="0" applyFont="1" applyBorder="1"/>
    <xf numFmtId="0" fontId="0" fillId="9" borderId="42" xfId="0" applyFill="1" applyBorder="1" applyAlignment="1"/>
    <xf numFmtId="0" fontId="0" fillId="9" borderId="0" xfId="0" applyFill="1" applyBorder="1" applyAlignment="1"/>
    <xf numFmtId="167" fontId="0" fillId="9" borderId="0" xfId="0" applyNumberFormat="1" applyFill="1" applyBorder="1" applyAlignment="1"/>
    <xf numFmtId="0" fontId="0" fillId="9" borderId="43" xfId="0" applyFill="1" applyBorder="1" applyAlignment="1"/>
    <xf numFmtId="0" fontId="0" fillId="9" borderId="42" xfId="0" applyFill="1" applyBorder="1"/>
    <xf numFmtId="0" fontId="0" fillId="9" borderId="0" xfId="0" applyFill="1" applyBorder="1"/>
    <xf numFmtId="167" fontId="0" fillId="9" borderId="0" xfId="0" applyNumberFormat="1" applyFill="1" applyBorder="1"/>
    <xf numFmtId="0" fontId="0" fillId="9" borderId="43" xfId="0" applyFill="1" applyBorder="1"/>
    <xf numFmtId="0" fontId="0" fillId="9" borderId="44" xfId="0" applyFill="1" applyBorder="1"/>
    <xf numFmtId="0" fontId="0" fillId="9" borderId="45" xfId="0" applyFill="1" applyBorder="1"/>
    <xf numFmtId="0" fontId="0" fillId="9" borderId="46" xfId="0" applyFill="1" applyBorder="1"/>
    <xf numFmtId="0" fontId="20" fillId="0" borderId="0" xfId="0" applyFont="1"/>
    <xf numFmtId="0" fontId="3" fillId="19" borderId="0" xfId="0" applyFont="1" applyFill="1"/>
    <xf numFmtId="0" fontId="15" fillId="19" borderId="0" xfId="0" applyFont="1" applyFill="1"/>
    <xf numFmtId="0" fontId="16" fillId="19" borderId="0" xfId="0" applyFont="1" applyFill="1"/>
    <xf numFmtId="17" fontId="2" fillId="0" borderId="0" xfId="0" applyNumberFormat="1" applyFont="1"/>
    <xf numFmtId="167" fontId="0" fillId="0" borderId="0" xfId="0" applyNumberFormat="1"/>
    <xf numFmtId="166" fontId="0" fillId="0" borderId="0" xfId="1" applyNumberFormat="1" applyFont="1"/>
    <xf numFmtId="0" fontId="0" fillId="0" borderId="0" xfId="0" applyAlignment="1">
      <alignment horizontal="right"/>
    </xf>
    <xf numFmtId="167" fontId="0" fillId="0" borderId="0" xfId="0" applyNumberFormat="1" applyAlignment="1">
      <alignment horizontal="right"/>
    </xf>
    <xf numFmtId="0" fontId="0" fillId="13" borderId="0" xfId="0" applyFill="1"/>
    <xf numFmtId="166" fontId="0" fillId="13" borderId="0" xfId="1" applyNumberFormat="1" applyFont="1" applyFill="1"/>
    <xf numFmtId="17" fontId="2" fillId="0" borderId="42" xfId="0" applyNumberFormat="1" applyFont="1" applyBorder="1"/>
    <xf numFmtId="17" fontId="2" fillId="0" borderId="44" xfId="0" applyNumberFormat="1" applyFont="1" applyBorder="1"/>
    <xf numFmtId="0" fontId="0" fillId="0" borderId="45" xfId="0" applyBorder="1"/>
    <xf numFmtId="167" fontId="0" fillId="0" borderId="45" xfId="0" applyNumberFormat="1" applyBorder="1"/>
    <xf numFmtId="0" fontId="0" fillId="0" borderId="46" xfId="0" applyBorder="1"/>
    <xf numFmtId="2" fontId="0" fillId="0" borderId="45" xfId="0" applyNumberFormat="1" applyBorder="1"/>
    <xf numFmtId="0" fontId="21" fillId="0" borderId="0" xfId="0" applyFont="1"/>
    <xf numFmtId="0" fontId="21" fillId="23" borderId="0" xfId="0" applyFont="1" applyFill="1"/>
    <xf numFmtId="0" fontId="0" fillId="0" borderId="0" xfId="0" applyBorder="1" applyAlignment="1">
      <alignment horizontal="center"/>
    </xf>
    <xf numFmtId="0" fontId="0" fillId="24" borderId="0" xfId="0" applyFill="1"/>
    <xf numFmtId="167" fontId="0" fillId="24" borderId="0" xfId="0" applyNumberFormat="1" applyFill="1"/>
    <xf numFmtId="0" fontId="0" fillId="0" borderId="47" xfId="0" applyNumberFormat="1" applyBorder="1"/>
    <xf numFmtId="0" fontId="0" fillId="0" borderId="0" xfId="0" applyNumberFormat="1" applyBorder="1"/>
    <xf numFmtId="0" fontId="0" fillId="0" borderId="0" xfId="0" applyNumberFormat="1" applyBorder="1" applyAlignment="1">
      <alignment horizontal="center"/>
    </xf>
    <xf numFmtId="0" fontId="2" fillId="0" borderId="0" xfId="0" applyNumberFormat="1" applyFont="1" applyBorder="1"/>
    <xf numFmtId="0" fontId="2" fillId="0" borderId="48" xfId="0" applyNumberFormat="1" applyFont="1" applyBorder="1"/>
    <xf numFmtId="0" fontId="2" fillId="0" borderId="0" xfId="0" applyNumberFormat="1" applyFont="1" applyBorder="1" applyAlignment="1">
      <alignment horizontal="center"/>
    </xf>
    <xf numFmtId="0" fontId="0" fillId="0" borderId="48" xfId="0" applyNumberFormat="1" applyBorder="1"/>
    <xf numFmtId="0" fontId="0" fillId="0" borderId="50" xfId="0" applyNumberFormat="1" applyBorder="1"/>
    <xf numFmtId="0" fontId="0" fillId="0" borderId="51" xfId="0" applyNumberFormat="1" applyBorder="1"/>
    <xf numFmtId="17" fontId="2" fillId="0" borderId="47" xfId="0" applyNumberFormat="1" applyFont="1" applyBorder="1"/>
    <xf numFmtId="17" fontId="2" fillId="0" borderId="49" xfId="0" applyNumberFormat="1" applyFont="1" applyBorder="1"/>
    <xf numFmtId="167" fontId="0" fillId="0" borderId="50" xfId="0" applyNumberFormat="1" applyBorder="1"/>
    <xf numFmtId="0" fontId="0" fillId="0" borderId="47" xfId="0" applyBorder="1"/>
    <xf numFmtId="0" fontId="0" fillId="0" borderId="48" xfId="0" applyBorder="1"/>
    <xf numFmtId="0" fontId="0" fillId="22" borderId="47" xfId="0" applyFill="1" applyBorder="1"/>
    <xf numFmtId="0" fontId="0" fillId="22" borderId="0" xfId="0" applyFill="1" applyBorder="1"/>
    <xf numFmtId="167" fontId="0" fillId="22" borderId="0" xfId="0" applyNumberFormat="1" applyFill="1" applyBorder="1"/>
    <xf numFmtId="0" fontId="0" fillId="22" borderId="48" xfId="0" applyFill="1" applyBorder="1"/>
    <xf numFmtId="0" fontId="0" fillId="22" borderId="49" xfId="0" applyFill="1" applyBorder="1"/>
    <xf numFmtId="0" fontId="0" fillId="22" borderId="50" xfId="0" applyFill="1" applyBorder="1"/>
    <xf numFmtId="167" fontId="0" fillId="22" borderId="50" xfId="0" applyNumberFormat="1" applyFill="1" applyBorder="1"/>
    <xf numFmtId="0" fontId="0" fillId="22" borderId="51" xfId="0" applyFill="1" applyBorder="1"/>
    <xf numFmtId="166" fontId="0" fillId="22" borderId="0" xfId="1" applyNumberFormat="1" applyFont="1" applyFill="1" applyBorder="1"/>
    <xf numFmtId="166" fontId="0" fillId="22" borderId="50" xfId="1" applyNumberFormat="1" applyFont="1" applyFill="1" applyBorder="1"/>
    <xf numFmtId="0" fontId="22" fillId="0" borderId="0" xfId="0" applyFont="1"/>
    <xf numFmtId="0" fontId="0" fillId="25" borderId="0" xfId="0" applyFill="1"/>
    <xf numFmtId="0" fontId="14" fillId="23" borderId="0" xfId="0" applyFont="1" applyFill="1"/>
    <xf numFmtId="0" fontId="11" fillId="23" borderId="0" xfId="0" applyFont="1" applyFill="1"/>
    <xf numFmtId="0" fontId="14" fillId="25" borderId="0" xfId="0" applyFont="1" applyFill="1"/>
    <xf numFmtId="0" fontId="15" fillId="25" borderId="0" xfId="0" applyFont="1" applyFill="1"/>
    <xf numFmtId="0" fontId="0" fillId="0" borderId="52" xfId="0" applyNumberFormat="1" applyBorder="1"/>
    <xf numFmtId="0" fontId="0" fillId="0" borderId="53" xfId="0" applyNumberFormat="1" applyBorder="1"/>
    <xf numFmtId="0" fontId="0" fillId="0" borderId="55" xfId="0" applyNumberFormat="1" applyBorder="1"/>
    <xf numFmtId="0" fontId="0" fillId="0" borderId="56" xfId="0" applyNumberFormat="1" applyBorder="1"/>
    <xf numFmtId="0" fontId="0" fillId="27" borderId="52" xfId="0" applyNumberFormat="1" applyFill="1" applyBorder="1"/>
    <xf numFmtId="0" fontId="0" fillId="27" borderId="0" xfId="0" applyNumberFormat="1" applyFill="1" applyBorder="1"/>
    <xf numFmtId="0" fontId="0" fillId="27" borderId="53" xfId="0" applyNumberFormat="1" applyFill="1" applyBorder="1"/>
    <xf numFmtId="0" fontId="0" fillId="27" borderId="54" xfId="0" applyNumberFormat="1" applyFill="1" applyBorder="1"/>
    <xf numFmtId="0" fontId="0" fillId="27" borderId="55" xfId="0" applyNumberFormat="1" applyFill="1" applyBorder="1"/>
    <xf numFmtId="0" fontId="0" fillId="27" borderId="56" xfId="0" applyNumberFormat="1" applyFill="1" applyBorder="1"/>
    <xf numFmtId="0" fontId="0" fillId="0" borderId="57" xfId="0" applyBorder="1"/>
    <xf numFmtId="0" fontId="0" fillId="0" borderId="58" xfId="0" applyBorder="1"/>
    <xf numFmtId="0" fontId="0" fillId="27" borderId="57" xfId="0" applyFill="1" applyBorder="1"/>
    <xf numFmtId="0" fontId="0" fillId="27" borderId="0" xfId="0" applyFill="1" applyBorder="1"/>
    <xf numFmtId="166" fontId="0" fillId="27" borderId="0" xfId="1" applyNumberFormat="1" applyFont="1" applyFill="1" applyBorder="1"/>
    <xf numFmtId="0" fontId="0" fillId="27" borderId="58" xfId="0" applyFill="1" applyBorder="1"/>
    <xf numFmtId="0" fontId="0" fillId="27" borderId="59" xfId="0" applyFill="1" applyBorder="1"/>
    <xf numFmtId="0" fontId="0" fillId="27" borderId="60" xfId="0" applyFill="1" applyBorder="1"/>
    <xf numFmtId="166" fontId="0" fillId="27" borderId="60" xfId="1" applyNumberFormat="1" applyFont="1" applyFill="1" applyBorder="1"/>
    <xf numFmtId="0" fontId="0" fillId="27" borderId="61" xfId="0" applyFill="1" applyBorder="1"/>
    <xf numFmtId="0" fontId="25" fillId="0" borderId="0" xfId="0" applyFont="1"/>
    <xf numFmtId="167" fontId="0" fillId="27" borderId="0" xfId="0" applyNumberFormat="1" applyFill="1" applyBorder="1"/>
    <xf numFmtId="17" fontId="2" fillId="0" borderId="52" xfId="0" applyNumberFormat="1" applyFont="1" applyBorder="1"/>
    <xf numFmtId="17" fontId="2" fillId="0" borderId="54" xfId="0" applyNumberFormat="1" applyFont="1" applyBorder="1"/>
    <xf numFmtId="0" fontId="0" fillId="29" borderId="0" xfId="0" applyFill="1"/>
    <xf numFmtId="0" fontId="2" fillId="29" borderId="0" xfId="0" applyFont="1" applyFill="1"/>
    <xf numFmtId="0" fontId="0" fillId="0" borderId="62" xfId="0" applyBorder="1"/>
    <xf numFmtId="0" fontId="0" fillId="0" borderId="63" xfId="0" applyBorder="1"/>
    <xf numFmtId="17" fontId="2" fillId="0" borderId="62" xfId="0" applyNumberFormat="1" applyFont="1" applyBorder="1"/>
    <xf numFmtId="17" fontId="2" fillId="0" borderId="64" xfId="0" applyNumberFormat="1" applyFont="1" applyBorder="1"/>
    <xf numFmtId="0" fontId="0" fillId="0" borderId="65" xfId="0" applyBorder="1"/>
    <xf numFmtId="167" fontId="0" fillId="0" borderId="65" xfId="0" applyNumberFormat="1" applyBorder="1"/>
    <xf numFmtId="165" fontId="0" fillId="0" borderId="65" xfId="0" applyNumberFormat="1" applyBorder="1"/>
    <xf numFmtId="0" fontId="0" fillId="0" borderId="66" xfId="0" applyBorder="1"/>
    <xf numFmtId="17" fontId="0" fillId="0" borderId="0" xfId="0" applyNumberFormat="1" applyBorder="1"/>
    <xf numFmtId="0" fontId="0" fillId="31" borderId="62" xfId="0" applyFill="1" applyBorder="1"/>
    <xf numFmtId="0" fontId="0" fillId="31" borderId="0" xfId="0" applyFill="1" applyBorder="1"/>
    <xf numFmtId="166" fontId="0" fillId="31" borderId="0" xfId="1" applyNumberFormat="1" applyFont="1" applyFill="1" applyBorder="1"/>
    <xf numFmtId="0" fontId="0" fillId="31" borderId="63" xfId="0" applyFill="1" applyBorder="1"/>
    <xf numFmtId="0" fontId="0" fillId="0" borderId="64" xfId="0" applyBorder="1"/>
    <xf numFmtId="0" fontId="0" fillId="0" borderId="67" xfId="0" applyBorder="1"/>
    <xf numFmtId="0" fontId="0" fillId="0" borderId="68" xfId="0" applyBorder="1"/>
    <xf numFmtId="0" fontId="0" fillId="0" borderId="69" xfId="0" applyBorder="1"/>
    <xf numFmtId="0" fontId="0" fillId="0" borderId="70" xfId="0" applyBorder="1"/>
    <xf numFmtId="167" fontId="0" fillId="0" borderId="70" xfId="0" applyNumberFormat="1" applyBorder="1"/>
    <xf numFmtId="0" fontId="0" fillId="0" borderId="71" xfId="0" applyBorder="1"/>
    <xf numFmtId="0" fontId="0" fillId="33" borderId="0" xfId="0" applyFill="1"/>
    <xf numFmtId="0" fontId="14" fillId="33" borderId="0" xfId="0" applyFont="1" applyFill="1"/>
    <xf numFmtId="0" fontId="2" fillId="0" borderId="48" xfId="0" applyFont="1" applyBorder="1"/>
    <xf numFmtId="0" fontId="0" fillId="0" borderId="50" xfId="0" applyBorder="1"/>
    <xf numFmtId="165" fontId="0" fillId="0" borderId="50" xfId="0" applyNumberFormat="1" applyBorder="1"/>
    <xf numFmtId="0" fontId="0" fillId="0" borderId="51" xfId="0" applyBorder="1"/>
    <xf numFmtId="0" fontId="0" fillId="0" borderId="49" xfId="0" applyBorder="1"/>
    <xf numFmtId="0" fontId="27" fillId="0" borderId="47" xfId="0" applyFont="1" applyBorder="1"/>
    <xf numFmtId="0" fontId="23" fillId="0" borderId="47" xfId="0" applyFont="1" applyBorder="1"/>
    <xf numFmtId="0" fontId="0" fillId="35" borderId="47" xfId="0" applyFill="1" applyBorder="1"/>
    <xf numFmtId="0" fontId="0" fillId="35" borderId="0" xfId="0" applyFill="1" applyBorder="1"/>
    <xf numFmtId="166" fontId="0" fillId="35" borderId="0" xfId="1" applyNumberFormat="1" applyFont="1" applyFill="1" applyBorder="1"/>
    <xf numFmtId="0" fontId="0" fillId="35" borderId="48" xfId="0" applyFill="1" applyBorder="1"/>
    <xf numFmtId="0" fontId="0" fillId="36" borderId="47" xfId="0" applyFill="1" applyBorder="1"/>
    <xf numFmtId="0" fontId="0" fillId="36" borderId="0" xfId="0" applyFill="1" applyBorder="1"/>
    <xf numFmtId="167" fontId="0" fillId="36" borderId="0" xfId="0" applyNumberFormat="1" applyFill="1" applyBorder="1"/>
    <xf numFmtId="0" fontId="0" fillId="36" borderId="48" xfId="0" applyFill="1" applyBorder="1"/>
    <xf numFmtId="164" fontId="0" fillId="36" borderId="0" xfId="0" applyNumberFormat="1" applyFill="1" applyBorder="1"/>
    <xf numFmtId="0" fontId="0" fillId="36" borderId="49" xfId="0" applyFill="1" applyBorder="1"/>
    <xf numFmtId="0" fontId="0" fillId="36" borderId="50" xfId="0" applyFill="1" applyBorder="1"/>
    <xf numFmtId="167" fontId="0" fillId="36" borderId="50" xfId="0" applyNumberFormat="1" applyFill="1" applyBorder="1"/>
    <xf numFmtId="0" fontId="0" fillId="36" borderId="51" xfId="0" applyFill="1" applyBorder="1"/>
    <xf numFmtId="0" fontId="0" fillId="37" borderId="0" xfId="0" applyFill="1"/>
    <xf numFmtId="0" fontId="11" fillId="37" borderId="0" xfId="0" applyFont="1" applyFill="1" applyAlignment="1">
      <alignment vertical="top"/>
    </xf>
    <xf numFmtId="0" fontId="14" fillId="37" borderId="0" xfId="0" applyFont="1" applyFill="1"/>
    <xf numFmtId="0" fontId="0" fillId="0" borderId="72" xfId="0" applyBorder="1"/>
    <xf numFmtId="0" fontId="0" fillId="0" borderId="73" xfId="0" applyBorder="1"/>
    <xf numFmtId="17" fontId="2" fillId="0" borderId="72" xfId="0" applyNumberFormat="1" applyFont="1" applyBorder="1"/>
    <xf numFmtId="168" fontId="0" fillId="0" borderId="0" xfId="0" applyNumberFormat="1" applyBorder="1"/>
    <xf numFmtId="17" fontId="2" fillId="0" borderId="74" xfId="0" applyNumberFormat="1" applyFont="1" applyBorder="1"/>
    <xf numFmtId="0" fontId="0" fillId="0" borderId="75" xfId="0" applyBorder="1"/>
    <xf numFmtId="168" fontId="0" fillId="0" borderId="75" xfId="0" applyNumberFormat="1" applyBorder="1"/>
    <xf numFmtId="0" fontId="0" fillId="0" borderId="76" xfId="0" applyBorder="1"/>
    <xf numFmtId="167" fontId="0" fillId="0" borderId="75" xfId="0" applyNumberFormat="1" applyBorder="1"/>
    <xf numFmtId="0" fontId="0" fillId="10" borderId="72" xfId="0" applyFill="1" applyBorder="1"/>
    <xf numFmtId="0" fontId="0" fillId="10" borderId="0" xfId="0" applyFill="1" applyBorder="1"/>
    <xf numFmtId="166" fontId="0" fillId="10" borderId="0" xfId="1" applyNumberFormat="1" applyFont="1" applyFill="1" applyBorder="1"/>
    <xf numFmtId="0" fontId="0" fillId="10" borderId="73" xfId="0" applyFill="1" applyBorder="1"/>
    <xf numFmtId="0" fontId="0" fillId="0" borderId="74" xfId="0" applyBorder="1"/>
    <xf numFmtId="167" fontId="0" fillId="10" borderId="0" xfId="0" applyNumberFormat="1" applyFill="1" applyBorder="1"/>
    <xf numFmtId="0" fontId="0" fillId="10" borderId="74" xfId="0" applyFill="1" applyBorder="1"/>
    <xf numFmtId="0" fontId="0" fillId="10" borderId="75" xfId="0" applyFill="1" applyBorder="1"/>
    <xf numFmtId="167" fontId="0" fillId="10" borderId="75" xfId="0" applyNumberFormat="1" applyFill="1" applyBorder="1"/>
    <xf numFmtId="0" fontId="0" fillId="10" borderId="76" xfId="0" applyFill="1" applyBorder="1"/>
    <xf numFmtId="0" fontId="21" fillId="0" borderId="72" xfId="0" applyFont="1" applyBorder="1"/>
    <xf numFmtId="0" fontId="25" fillId="0" borderId="72" xfId="0" applyFont="1" applyBorder="1"/>
    <xf numFmtId="0" fontId="0" fillId="19" borderId="0" xfId="0" applyFill="1"/>
    <xf numFmtId="0" fontId="14" fillId="19" borderId="0" xfId="0" applyFont="1" applyFill="1"/>
    <xf numFmtId="165" fontId="0" fillId="0" borderId="75" xfId="0" applyNumberFormat="1" applyBorder="1"/>
    <xf numFmtId="0" fontId="0" fillId="20" borderId="72" xfId="0" applyFill="1" applyBorder="1"/>
    <xf numFmtId="0" fontId="0" fillId="20" borderId="0" xfId="0" applyFill="1" applyBorder="1"/>
    <xf numFmtId="166" fontId="0" fillId="20" borderId="0" xfId="1" applyNumberFormat="1" applyFont="1" applyFill="1" applyBorder="1"/>
    <xf numFmtId="0" fontId="0" fillId="20" borderId="73" xfId="0" applyFill="1" applyBorder="1"/>
    <xf numFmtId="0" fontId="0" fillId="34" borderId="0" xfId="0" applyFill="1"/>
    <xf numFmtId="0" fontId="14" fillId="34" borderId="0" xfId="0" applyFont="1" applyFill="1"/>
    <xf numFmtId="0" fontId="0" fillId="0" borderId="77" xfId="0" applyNumberFormat="1" applyBorder="1"/>
    <xf numFmtId="0" fontId="0" fillId="0" borderId="78" xfId="0" applyNumberFormat="1" applyBorder="1"/>
    <xf numFmtId="0" fontId="0" fillId="0" borderId="80" xfId="0" applyNumberFormat="1" applyBorder="1"/>
    <xf numFmtId="0" fontId="0" fillId="0" borderId="81" xfId="0" applyNumberFormat="1" applyBorder="1"/>
    <xf numFmtId="17" fontId="2" fillId="0" borderId="77" xfId="0" applyNumberFormat="1" applyFont="1" applyBorder="1"/>
    <xf numFmtId="17" fontId="2" fillId="0" borderId="79" xfId="0" applyNumberFormat="1" applyFont="1" applyBorder="1"/>
    <xf numFmtId="167" fontId="0" fillId="0" borderId="80" xfId="0" applyNumberFormat="1" applyBorder="1"/>
    <xf numFmtId="165" fontId="0" fillId="0" borderId="80" xfId="0" applyNumberFormat="1" applyBorder="1"/>
    <xf numFmtId="0" fontId="0" fillId="0" borderId="82" xfId="0" applyBorder="1"/>
    <xf numFmtId="0" fontId="0" fillId="0" borderId="83" xfId="0" applyBorder="1"/>
    <xf numFmtId="167" fontId="0" fillId="0" borderId="0" xfId="0" applyNumberFormat="1" applyBorder="1" applyAlignment="1">
      <alignment horizontal="right"/>
    </xf>
    <xf numFmtId="166" fontId="0" fillId="0" borderId="0" xfId="0" applyNumberFormat="1" applyBorder="1"/>
    <xf numFmtId="0" fontId="0" fillId="36" borderId="82" xfId="0" applyFill="1" applyBorder="1"/>
    <xf numFmtId="166" fontId="0" fillId="36" borderId="0" xfId="0" applyNumberFormat="1" applyFill="1" applyBorder="1"/>
    <xf numFmtId="0" fontId="0" fillId="36" borderId="83" xfId="0" applyFill="1" applyBorder="1"/>
    <xf numFmtId="0" fontId="0" fillId="0" borderId="84" xfId="0" applyBorder="1"/>
    <xf numFmtId="0" fontId="0" fillId="0" borderId="85" xfId="0" applyBorder="1"/>
    <xf numFmtId="167" fontId="0" fillId="0" borderId="85" xfId="0" applyNumberFormat="1" applyBorder="1"/>
    <xf numFmtId="0" fontId="0" fillId="0" borderId="86" xfId="0" applyBorder="1"/>
    <xf numFmtId="0" fontId="23" fillId="0" borderId="82" xfId="0" applyFont="1" applyBorder="1"/>
    <xf numFmtId="0" fontId="31" fillId="0" borderId="82" xfId="0" applyFont="1" applyBorder="1"/>
    <xf numFmtId="0" fontId="0" fillId="32" borderId="0" xfId="0" applyFill="1"/>
    <xf numFmtId="0" fontId="14" fillId="32" borderId="0" xfId="0" applyFont="1" applyFill="1"/>
    <xf numFmtId="0" fontId="0" fillId="0" borderId="87" xfId="0" applyBorder="1"/>
    <xf numFmtId="0" fontId="0" fillId="0" borderId="88" xfId="0" applyBorder="1"/>
    <xf numFmtId="0" fontId="0" fillId="0" borderId="90" xfId="0" applyBorder="1"/>
    <xf numFmtId="167" fontId="0" fillId="0" borderId="90" xfId="0" applyNumberFormat="1" applyBorder="1"/>
    <xf numFmtId="165" fontId="0" fillId="0" borderId="90" xfId="0" applyNumberFormat="1" applyBorder="1"/>
    <xf numFmtId="0" fontId="0" fillId="0" borderId="91" xfId="0" applyBorder="1"/>
    <xf numFmtId="17" fontId="2" fillId="0" borderId="87" xfId="0" applyNumberFormat="1" applyFont="1" applyBorder="1"/>
    <xf numFmtId="17" fontId="2" fillId="0" borderId="89" xfId="0" applyNumberFormat="1" applyFont="1" applyBorder="1"/>
    <xf numFmtId="0" fontId="0" fillId="0" borderId="89" xfId="0" applyBorder="1"/>
    <xf numFmtId="0" fontId="0" fillId="0" borderId="0" xfId="0" applyBorder="1" applyAlignment="1">
      <alignment horizontal="right"/>
    </xf>
    <xf numFmtId="0" fontId="0" fillId="36" borderId="87" xfId="0" applyFill="1" applyBorder="1"/>
    <xf numFmtId="166" fontId="0" fillId="36" borderId="0" xfId="1" applyNumberFormat="1" applyFont="1" applyFill="1" applyBorder="1"/>
    <xf numFmtId="0" fontId="0" fillId="36" borderId="88" xfId="0" applyFill="1" applyBorder="1"/>
    <xf numFmtId="0" fontId="27" fillId="0" borderId="87" xfId="0" applyFont="1" applyBorder="1"/>
    <xf numFmtId="0" fontId="23" fillId="0" borderId="87" xfId="0" applyFont="1" applyBorder="1"/>
    <xf numFmtId="0" fontId="23" fillId="0" borderId="89" xfId="0" applyFont="1" applyBorder="1"/>
    <xf numFmtId="0" fontId="0" fillId="40" borderId="0" xfId="0" applyFill="1"/>
    <xf numFmtId="0" fontId="14" fillId="40" borderId="0" xfId="0" applyFont="1" applyFill="1"/>
    <xf numFmtId="0" fontId="2" fillId="0" borderId="43" xfId="0" applyFont="1" applyBorder="1"/>
    <xf numFmtId="0" fontId="0" fillId="41" borderId="0" xfId="0" applyFill="1" applyBorder="1"/>
    <xf numFmtId="166" fontId="0" fillId="41" borderId="0" xfId="1" applyNumberFormat="1" applyFont="1" applyFill="1" applyBorder="1"/>
    <xf numFmtId="0" fontId="0" fillId="0" borderId="92" xfId="0" applyBorder="1"/>
    <xf numFmtId="0" fontId="0" fillId="0" borderId="93" xfId="0" applyBorder="1"/>
    <xf numFmtId="0" fontId="0" fillId="0" borderId="94" xfId="0" applyBorder="1"/>
    <xf numFmtId="0" fontId="0" fillId="0" borderId="95" xfId="0" applyBorder="1"/>
    <xf numFmtId="167" fontId="0" fillId="0" borderId="95" xfId="0" applyNumberFormat="1" applyBorder="1"/>
    <xf numFmtId="0" fontId="0" fillId="0" borderId="96" xfId="0" applyBorder="1"/>
    <xf numFmtId="0" fontId="0" fillId="41" borderId="92" xfId="0" applyFill="1" applyBorder="1"/>
    <xf numFmtId="0" fontId="0" fillId="41" borderId="93" xfId="0" applyFill="1" applyBorder="1"/>
    <xf numFmtId="0" fontId="23" fillId="0" borderId="92" xfId="0" applyFont="1" applyBorder="1"/>
    <xf numFmtId="0" fontId="23" fillId="0" borderId="94" xfId="0" applyFont="1" applyBorder="1"/>
    <xf numFmtId="0" fontId="0" fillId="20" borderId="0" xfId="0" applyFill="1"/>
    <xf numFmtId="0" fontId="14" fillId="20" borderId="0" xfId="0" applyFont="1" applyFill="1"/>
    <xf numFmtId="0" fontId="0" fillId="0" borderId="97" xfId="0" applyBorder="1"/>
    <xf numFmtId="0" fontId="0" fillId="0" borderId="98" xfId="0" applyBorder="1"/>
    <xf numFmtId="17" fontId="2" fillId="0" borderId="97" xfId="0" applyNumberFormat="1" applyFont="1" applyBorder="1"/>
    <xf numFmtId="17" fontId="2" fillId="0" borderId="99" xfId="0" applyNumberFormat="1" applyFont="1" applyBorder="1"/>
    <xf numFmtId="0" fontId="0" fillId="0" borderId="100" xfId="0" applyBorder="1"/>
    <xf numFmtId="167" fontId="0" fillId="0" borderId="100" xfId="0" applyNumberFormat="1" applyBorder="1"/>
    <xf numFmtId="2" fontId="0" fillId="0" borderId="100" xfId="0" applyNumberFormat="1" applyBorder="1"/>
    <xf numFmtId="0" fontId="0" fillId="0" borderId="101" xfId="0" applyBorder="1"/>
    <xf numFmtId="0" fontId="0" fillId="0" borderId="99" xfId="0" applyBorder="1"/>
    <xf numFmtId="0" fontId="0" fillId="10" borderId="97" xfId="0" applyFill="1" applyBorder="1"/>
    <xf numFmtId="166" fontId="0" fillId="10" borderId="0" xfId="0" applyNumberFormat="1" applyFill="1" applyBorder="1"/>
    <xf numFmtId="0" fontId="0" fillId="10" borderId="98" xfId="0" applyFill="1" applyBorder="1"/>
    <xf numFmtId="0" fontId="0" fillId="8" borderId="9" xfId="0" applyFill="1" applyBorder="1"/>
    <xf numFmtId="0" fontId="0" fillId="8" borderId="0" xfId="0" applyFill="1" applyBorder="1"/>
    <xf numFmtId="166" fontId="0" fillId="8" borderId="0" xfId="1" applyNumberFormat="1" applyFont="1" applyFill="1" applyBorder="1"/>
    <xf numFmtId="0" fontId="0" fillId="8" borderId="10" xfId="0" applyFill="1" applyBorder="1"/>
    <xf numFmtId="0" fontId="3" fillId="33" borderId="0" xfId="0" applyFont="1" applyFill="1"/>
    <xf numFmtId="0" fontId="0" fillId="0" borderId="102" xfId="0" applyBorder="1"/>
    <xf numFmtId="0" fontId="0" fillId="0" borderId="103" xfId="0" applyBorder="1"/>
    <xf numFmtId="17" fontId="0" fillId="0" borderId="102" xfId="0" applyNumberFormat="1" applyBorder="1"/>
    <xf numFmtId="17" fontId="0" fillId="0" borderId="104" xfId="0" applyNumberFormat="1" applyBorder="1"/>
    <xf numFmtId="0" fontId="0" fillId="0" borderId="105" xfId="0" applyBorder="1"/>
    <xf numFmtId="167" fontId="0" fillId="0" borderId="105" xfId="0" applyNumberFormat="1" applyBorder="1"/>
    <xf numFmtId="2" fontId="0" fillId="0" borderId="105" xfId="0" applyNumberFormat="1" applyBorder="1"/>
    <xf numFmtId="0" fontId="0" fillId="0" borderId="106" xfId="0" applyBorder="1"/>
    <xf numFmtId="0" fontId="0" fillId="0" borderId="104" xfId="0" applyBorder="1"/>
    <xf numFmtId="0" fontId="20" fillId="0" borderId="102" xfId="0" applyFont="1" applyBorder="1"/>
    <xf numFmtId="0" fontId="0" fillId="7" borderId="9" xfId="0" applyFill="1" applyBorder="1" applyAlignment="1">
      <alignment horizontal="center"/>
    </xf>
    <xf numFmtId="0" fontId="0" fillId="7" borderId="0" xfId="0" applyFill="1" applyBorder="1" applyAlignment="1">
      <alignment horizontal="center"/>
    </xf>
    <xf numFmtId="0" fontId="0" fillId="7" borderId="10" xfId="0" applyFill="1" applyBorder="1" applyAlignment="1">
      <alignment horizontal="center"/>
    </xf>
    <xf numFmtId="0" fontId="7" fillId="7" borderId="9" xfId="0" applyFont="1" applyFill="1" applyBorder="1" applyAlignment="1">
      <alignment horizontal="center"/>
    </xf>
    <xf numFmtId="0" fontId="7" fillId="7" borderId="0" xfId="0" applyFont="1" applyFill="1" applyBorder="1" applyAlignment="1">
      <alignment horizontal="center"/>
    </xf>
    <xf numFmtId="0" fontId="7" fillId="7" borderId="10" xfId="0" applyFont="1" applyFill="1" applyBorder="1" applyAlignment="1">
      <alignment horizontal="center"/>
    </xf>
    <xf numFmtId="0" fontId="7" fillId="4" borderId="9" xfId="0" applyFont="1" applyFill="1" applyBorder="1" applyAlignment="1">
      <alignment horizontal="center"/>
    </xf>
    <xf numFmtId="0" fontId="7" fillId="4" borderId="0" xfId="0" applyFont="1" applyFill="1" applyBorder="1" applyAlignment="1">
      <alignment horizontal="center"/>
    </xf>
    <xf numFmtId="0" fontId="7" fillId="4" borderId="10" xfId="0" applyFont="1" applyFill="1" applyBorder="1" applyAlignment="1">
      <alignment horizontal="center"/>
    </xf>
    <xf numFmtId="0" fontId="7" fillId="4" borderId="6" xfId="0" applyFont="1" applyFill="1" applyBorder="1" applyAlignment="1">
      <alignment horizontal="center"/>
    </xf>
    <xf numFmtId="0" fontId="7" fillId="4" borderId="7" xfId="0" applyFont="1" applyFill="1" applyBorder="1" applyAlignment="1">
      <alignment horizontal="center"/>
    </xf>
    <xf numFmtId="0" fontId="7" fillId="4" borderId="8" xfId="0" applyFont="1" applyFill="1" applyBorder="1" applyAlignment="1">
      <alignment horizontal="center"/>
    </xf>
    <xf numFmtId="0" fontId="14" fillId="5" borderId="6" xfId="0" applyFont="1" applyFill="1" applyBorder="1" applyAlignment="1">
      <alignment horizontal="center"/>
    </xf>
    <xf numFmtId="0" fontId="14" fillId="5" borderId="7" xfId="0" applyFont="1" applyFill="1" applyBorder="1" applyAlignment="1">
      <alignment horizontal="center"/>
    </xf>
    <xf numFmtId="0" fontId="14" fillId="5" borderId="8" xfId="0" applyFont="1" applyFill="1" applyBorder="1" applyAlignment="1">
      <alignment horizontal="center"/>
    </xf>
    <xf numFmtId="0" fontId="0" fillId="4" borderId="9" xfId="0" applyFill="1" applyBorder="1" applyAlignment="1">
      <alignment horizontal="center"/>
    </xf>
    <xf numFmtId="0" fontId="0" fillId="4" borderId="0" xfId="0" applyFill="1" applyBorder="1" applyAlignment="1">
      <alignment horizontal="center"/>
    </xf>
    <xf numFmtId="0" fontId="0" fillId="4" borderId="10" xfId="0" applyFill="1" applyBorder="1" applyAlignment="1">
      <alignment horizontal="center"/>
    </xf>
    <xf numFmtId="0" fontId="3" fillId="13" borderId="42" xfId="0" applyFont="1" applyFill="1" applyBorder="1" applyAlignment="1">
      <alignment horizontal="center"/>
    </xf>
    <xf numFmtId="0" fontId="3" fillId="13" borderId="0" xfId="0" applyFont="1" applyFill="1" applyBorder="1" applyAlignment="1">
      <alignment horizontal="center"/>
    </xf>
    <xf numFmtId="0" fontId="3" fillId="13" borderId="43" xfId="0" applyFont="1" applyFill="1" applyBorder="1" applyAlignment="1">
      <alignment horizontal="center"/>
    </xf>
    <xf numFmtId="0" fontId="17" fillId="0" borderId="0" xfId="0" applyFont="1" applyAlignment="1">
      <alignment horizontal="center" vertical="top" wrapText="1"/>
    </xf>
    <xf numFmtId="0" fontId="3" fillId="12" borderId="39" xfId="0" applyFont="1" applyFill="1" applyBorder="1" applyAlignment="1">
      <alignment horizontal="center"/>
    </xf>
    <xf numFmtId="0" fontId="3" fillId="12" borderId="40" xfId="0" applyFont="1" applyFill="1" applyBorder="1" applyAlignment="1">
      <alignment horizontal="center"/>
    </xf>
    <xf numFmtId="0" fontId="3" fillId="12" borderId="41" xfId="0" applyFont="1" applyFill="1" applyBorder="1" applyAlignment="1">
      <alignment horizontal="center"/>
    </xf>
    <xf numFmtId="0" fontId="3" fillId="10" borderId="42" xfId="0" applyFont="1" applyFill="1" applyBorder="1" applyAlignment="1">
      <alignment horizontal="center"/>
    </xf>
    <xf numFmtId="0" fontId="3" fillId="10" borderId="0" xfId="0" applyFont="1" applyFill="1" applyBorder="1" applyAlignment="1">
      <alignment horizontal="center"/>
    </xf>
    <xf numFmtId="0" fontId="3" fillId="10" borderId="43" xfId="0" applyFont="1" applyFill="1" applyBorder="1" applyAlignment="1">
      <alignment horizontal="center"/>
    </xf>
    <xf numFmtId="0" fontId="3" fillId="10" borderId="0" xfId="0" applyFont="1" applyFill="1" applyAlignment="1">
      <alignment horizontal="center"/>
    </xf>
    <xf numFmtId="0" fontId="3" fillId="13" borderId="39" xfId="0" applyFont="1" applyFill="1" applyBorder="1" applyAlignment="1">
      <alignment horizontal="center"/>
    </xf>
    <xf numFmtId="0" fontId="3" fillId="13" borderId="40" xfId="0" applyFont="1" applyFill="1" applyBorder="1" applyAlignment="1">
      <alignment horizontal="center"/>
    </xf>
    <xf numFmtId="0" fontId="3" fillId="13" borderId="41" xfId="0" applyFont="1" applyFill="1" applyBorder="1" applyAlignment="1">
      <alignment horizontal="center"/>
    </xf>
    <xf numFmtId="0" fontId="3" fillId="17" borderId="31" xfId="0" applyFont="1" applyFill="1" applyBorder="1" applyAlignment="1">
      <alignment horizontal="center"/>
    </xf>
    <xf numFmtId="0" fontId="3" fillId="17" borderId="0" xfId="0" applyFont="1" applyFill="1" applyBorder="1" applyAlignment="1">
      <alignment horizontal="center"/>
    </xf>
    <xf numFmtId="0" fontId="3" fillId="17" borderId="32" xfId="0" applyFont="1" applyFill="1" applyBorder="1" applyAlignment="1">
      <alignment horizontal="center"/>
    </xf>
    <xf numFmtId="0" fontId="3" fillId="17" borderId="26" xfId="0" applyFont="1" applyFill="1" applyBorder="1" applyAlignment="1">
      <alignment horizontal="center"/>
    </xf>
    <xf numFmtId="0" fontId="3" fillId="17" borderId="27" xfId="0" applyFont="1" applyFill="1" applyBorder="1" applyAlignment="1">
      <alignment horizontal="center"/>
    </xf>
    <xf numFmtId="0" fontId="3" fillId="14" borderId="36" xfId="0" applyFont="1" applyFill="1" applyBorder="1" applyAlignment="1">
      <alignment horizontal="center"/>
    </xf>
    <xf numFmtId="0" fontId="3" fillId="14" borderId="37" xfId="0" applyFont="1" applyFill="1" applyBorder="1" applyAlignment="1">
      <alignment horizontal="center"/>
    </xf>
    <xf numFmtId="0" fontId="3" fillId="14" borderId="38" xfId="0" applyFont="1" applyFill="1" applyBorder="1" applyAlignment="1">
      <alignment horizontal="center"/>
    </xf>
    <xf numFmtId="0" fontId="19" fillId="0" borderId="0" xfId="0" applyFont="1" applyAlignment="1">
      <alignment horizontal="center" vertical="center" wrapText="1"/>
    </xf>
    <xf numFmtId="0" fontId="3" fillId="16" borderId="31" xfId="0" applyFont="1" applyFill="1" applyBorder="1" applyAlignment="1">
      <alignment horizontal="center"/>
    </xf>
    <xf numFmtId="0" fontId="3" fillId="16" borderId="0" xfId="0" applyFont="1" applyFill="1" applyBorder="1" applyAlignment="1">
      <alignment horizontal="center"/>
    </xf>
    <xf numFmtId="0" fontId="3" fillId="16" borderId="32" xfId="0" applyFont="1" applyFill="1" applyBorder="1" applyAlignment="1">
      <alignment horizontal="center"/>
    </xf>
    <xf numFmtId="0" fontId="3" fillId="20" borderId="0" xfId="0" applyFont="1" applyFill="1" applyAlignment="1">
      <alignment horizontal="center"/>
    </xf>
    <xf numFmtId="0" fontId="3" fillId="20" borderId="42" xfId="0" applyFont="1" applyFill="1" applyBorder="1" applyAlignment="1">
      <alignment horizontal="center"/>
    </xf>
    <xf numFmtId="0" fontId="3" fillId="20" borderId="0" xfId="0" applyFont="1" applyFill="1" applyBorder="1" applyAlignment="1">
      <alignment horizontal="center"/>
    </xf>
    <xf numFmtId="0" fontId="3" fillId="20" borderId="43" xfId="0" applyFont="1" applyFill="1" applyBorder="1" applyAlignment="1">
      <alignment horizontal="center"/>
    </xf>
    <xf numFmtId="0" fontId="21" fillId="0" borderId="0" xfId="0" applyFont="1" applyAlignment="1">
      <alignment horizontal="left" wrapText="1"/>
    </xf>
    <xf numFmtId="0" fontId="3" fillId="19" borderId="0" xfId="0" applyFont="1" applyFill="1" applyAlignment="1">
      <alignment horizontal="center"/>
    </xf>
    <xf numFmtId="0" fontId="23" fillId="0" borderId="0" xfId="0" applyFont="1" applyAlignment="1">
      <alignment horizontal="center" vertical="top" wrapText="1"/>
    </xf>
    <xf numFmtId="0" fontId="14" fillId="21" borderId="47" xfId="0" applyFont="1" applyFill="1" applyBorder="1" applyAlignment="1">
      <alignment horizontal="center"/>
    </xf>
    <xf numFmtId="0" fontId="14" fillId="21" borderId="0" xfId="0" applyFont="1" applyFill="1" applyBorder="1" applyAlignment="1">
      <alignment horizontal="center"/>
    </xf>
    <xf numFmtId="0" fontId="14" fillId="21" borderId="48" xfId="0" applyFont="1" applyFill="1" applyBorder="1" applyAlignment="1">
      <alignment horizontal="center"/>
    </xf>
    <xf numFmtId="0" fontId="14" fillId="23" borderId="0" xfId="0" applyFont="1" applyFill="1" applyAlignment="1">
      <alignment horizontal="center"/>
    </xf>
    <xf numFmtId="0" fontId="14" fillId="23" borderId="47" xfId="0" applyNumberFormat="1" applyFont="1" applyFill="1" applyBorder="1" applyAlignment="1">
      <alignment horizontal="center"/>
    </xf>
    <xf numFmtId="0" fontId="14" fillId="23" borderId="0" xfId="0" applyNumberFormat="1" applyFont="1" applyFill="1" applyBorder="1" applyAlignment="1">
      <alignment horizontal="center"/>
    </xf>
    <xf numFmtId="0" fontId="14" fillId="23" borderId="48" xfId="0" applyNumberFormat="1" applyFont="1" applyFill="1" applyBorder="1" applyAlignment="1">
      <alignment horizontal="center"/>
    </xf>
    <xf numFmtId="0" fontId="14" fillId="23" borderId="47" xfId="0" applyFont="1" applyFill="1" applyBorder="1" applyAlignment="1">
      <alignment horizontal="center"/>
    </xf>
    <xf numFmtId="0" fontId="14" fillId="23" borderId="0" xfId="0" applyFont="1" applyFill="1" applyBorder="1" applyAlignment="1">
      <alignment horizontal="center"/>
    </xf>
    <xf numFmtId="0" fontId="14" fillId="23" borderId="48" xfId="0" applyFont="1" applyFill="1" applyBorder="1" applyAlignment="1">
      <alignment horizontal="center"/>
    </xf>
    <xf numFmtId="0" fontId="3" fillId="26" borderId="52" xfId="0" applyNumberFormat="1" applyFont="1" applyFill="1" applyBorder="1" applyAlignment="1">
      <alignment horizontal="center"/>
    </xf>
    <xf numFmtId="0" fontId="3" fillId="26" borderId="0" xfId="0" applyNumberFormat="1" applyFont="1" applyFill="1" applyBorder="1" applyAlignment="1">
      <alignment horizontal="center"/>
    </xf>
    <xf numFmtId="0" fontId="3" fillId="26" borderId="53" xfId="0" applyNumberFormat="1" applyFont="1" applyFill="1" applyBorder="1" applyAlignment="1">
      <alignment horizontal="center"/>
    </xf>
    <xf numFmtId="0" fontId="3" fillId="19" borderId="52" xfId="0" applyNumberFormat="1" applyFont="1" applyFill="1" applyBorder="1" applyAlignment="1">
      <alignment horizontal="center"/>
    </xf>
    <xf numFmtId="0" fontId="3" fillId="19" borderId="0" xfId="0" applyNumberFormat="1" applyFont="1" applyFill="1" applyBorder="1" applyAlignment="1">
      <alignment horizontal="center"/>
    </xf>
    <xf numFmtId="0" fontId="3" fillId="19" borderId="53" xfId="0" applyNumberFormat="1" applyFont="1" applyFill="1" applyBorder="1" applyAlignment="1">
      <alignment horizontal="center"/>
    </xf>
    <xf numFmtId="0" fontId="14" fillId="25" borderId="57" xfId="0" applyFont="1" applyFill="1" applyBorder="1" applyAlignment="1">
      <alignment horizontal="center"/>
    </xf>
    <xf numFmtId="0" fontId="14" fillId="25" borderId="0" xfId="0" applyFont="1" applyFill="1" applyBorder="1" applyAlignment="1">
      <alignment horizontal="center"/>
    </xf>
    <xf numFmtId="0" fontId="14" fillId="25" borderId="58" xfId="0" applyFont="1" applyFill="1" applyBorder="1" applyAlignment="1">
      <alignment horizontal="center"/>
    </xf>
    <xf numFmtId="0" fontId="24" fillId="0" borderId="0" xfId="0" applyFont="1" applyAlignment="1">
      <alignment horizontal="center" vertical="top" wrapText="1"/>
    </xf>
    <xf numFmtId="0" fontId="3" fillId="19" borderId="57" xfId="0" applyFont="1" applyFill="1" applyBorder="1" applyAlignment="1">
      <alignment horizontal="center"/>
    </xf>
    <xf numFmtId="0" fontId="3" fillId="19" borderId="0" xfId="0" applyFont="1" applyFill="1" applyBorder="1" applyAlignment="1">
      <alignment horizontal="center"/>
    </xf>
    <xf numFmtId="0" fontId="3" fillId="19" borderId="58" xfId="0" applyFont="1" applyFill="1" applyBorder="1" applyAlignment="1">
      <alignment horizontal="center"/>
    </xf>
    <xf numFmtId="0" fontId="0" fillId="30" borderId="62" xfId="0" applyFill="1" applyBorder="1" applyAlignment="1">
      <alignment horizontal="center"/>
    </xf>
    <xf numFmtId="0" fontId="0" fillId="30" borderId="0" xfId="0" applyFill="1" applyBorder="1" applyAlignment="1">
      <alignment horizontal="center"/>
    </xf>
    <xf numFmtId="0" fontId="0" fillId="30" borderId="63" xfId="0" applyFill="1" applyBorder="1" applyAlignment="1">
      <alignment horizontal="center"/>
    </xf>
    <xf numFmtId="0" fontId="0" fillId="28" borderId="62" xfId="0" applyFill="1" applyBorder="1" applyAlignment="1">
      <alignment horizontal="center"/>
    </xf>
    <xf numFmtId="0" fontId="0" fillId="28" borderId="0" xfId="0" applyFill="1" applyBorder="1" applyAlignment="1">
      <alignment horizontal="center"/>
    </xf>
    <xf numFmtId="0" fontId="0" fillId="28" borderId="63" xfId="0" applyFill="1" applyBorder="1" applyAlignment="1">
      <alignment horizontal="center"/>
    </xf>
    <xf numFmtId="0" fontId="0" fillId="30" borderId="67" xfId="0" applyFill="1" applyBorder="1" applyAlignment="1">
      <alignment horizontal="center"/>
    </xf>
    <xf numFmtId="0" fontId="0" fillId="30" borderId="68" xfId="0" applyFill="1" applyBorder="1" applyAlignment="1">
      <alignment horizontal="center"/>
    </xf>
    <xf numFmtId="0" fontId="0" fillId="28" borderId="67" xfId="0" applyFill="1" applyBorder="1" applyAlignment="1">
      <alignment horizontal="center"/>
    </xf>
    <xf numFmtId="0" fontId="0" fillId="28" borderId="68" xfId="0" applyFill="1" applyBorder="1" applyAlignment="1">
      <alignment horizontal="center"/>
    </xf>
    <xf numFmtId="0" fontId="26" fillId="29" borderId="0" xfId="0" applyFont="1" applyFill="1" applyAlignment="1">
      <alignment horizontal="left" vertical="top"/>
    </xf>
    <xf numFmtId="0" fontId="0" fillId="0" borderId="0" xfId="0" applyAlignment="1">
      <alignment horizontal="center" wrapText="1"/>
    </xf>
    <xf numFmtId="0" fontId="14" fillId="34" borderId="47" xfId="0" applyFont="1" applyFill="1" applyBorder="1" applyAlignment="1">
      <alignment horizontal="center"/>
    </xf>
    <xf numFmtId="0" fontId="14" fillId="34" borderId="0" xfId="0" applyFont="1" applyFill="1" applyBorder="1" applyAlignment="1">
      <alignment horizontal="center"/>
    </xf>
    <xf numFmtId="0" fontId="14" fillId="34" borderId="48" xfId="0" applyFont="1" applyFill="1" applyBorder="1" applyAlignment="1">
      <alignment horizontal="center"/>
    </xf>
    <xf numFmtId="0" fontId="23" fillId="0" borderId="0" xfId="0" applyFont="1" applyAlignment="1">
      <alignment horizontal="center" wrapText="1"/>
    </xf>
    <xf numFmtId="0" fontId="14" fillId="32" borderId="47" xfId="0" applyFont="1" applyFill="1" applyBorder="1" applyAlignment="1">
      <alignment horizontal="center"/>
    </xf>
    <xf numFmtId="0" fontId="14" fillId="32" borderId="0" xfId="0" applyFont="1" applyFill="1" applyBorder="1" applyAlignment="1">
      <alignment horizontal="center"/>
    </xf>
    <xf numFmtId="0" fontId="14" fillId="32" borderId="48" xfId="0" applyFont="1" applyFill="1" applyBorder="1" applyAlignment="1">
      <alignment horizontal="center"/>
    </xf>
    <xf numFmtId="0" fontId="11" fillId="33" borderId="0" xfId="0" applyFont="1" applyFill="1" applyAlignment="1">
      <alignment horizontal="left" vertical="center"/>
    </xf>
    <xf numFmtId="0" fontId="11" fillId="37" borderId="0" xfId="0" applyFont="1" applyFill="1" applyAlignment="1">
      <alignment horizontal="center" vertical="top"/>
    </xf>
    <xf numFmtId="0" fontId="11" fillId="37" borderId="0" xfId="0" applyFont="1" applyFill="1" applyAlignment="1">
      <alignment horizontal="left" vertical="center"/>
    </xf>
    <xf numFmtId="0" fontId="3" fillId="19" borderId="72" xfId="0" applyFont="1" applyFill="1" applyBorder="1" applyAlignment="1">
      <alignment horizontal="center"/>
    </xf>
    <xf numFmtId="0" fontId="3" fillId="19" borderId="73" xfId="0" applyFont="1" applyFill="1" applyBorder="1" applyAlignment="1">
      <alignment horizontal="center"/>
    </xf>
    <xf numFmtId="0" fontId="3" fillId="37" borderId="72" xfId="0" applyFont="1" applyFill="1" applyBorder="1" applyAlignment="1">
      <alignment horizontal="center"/>
    </xf>
    <xf numFmtId="0" fontId="3" fillId="37" borderId="0" xfId="0" applyFont="1" applyFill="1" applyBorder="1" applyAlignment="1">
      <alignment horizontal="center"/>
    </xf>
    <xf numFmtId="0" fontId="3" fillId="37" borderId="73" xfId="0" applyFont="1" applyFill="1" applyBorder="1" applyAlignment="1">
      <alignment horizontal="center"/>
    </xf>
    <xf numFmtId="0" fontId="21" fillId="0" borderId="0" xfId="0" applyFont="1" applyAlignment="1">
      <alignment horizontal="center" wrapText="1"/>
    </xf>
    <xf numFmtId="0" fontId="14" fillId="37" borderId="72" xfId="0" applyFont="1" applyFill="1" applyBorder="1" applyAlignment="1">
      <alignment horizontal="center"/>
    </xf>
    <xf numFmtId="0" fontId="14" fillId="37" borderId="0" xfId="0" applyFont="1" applyFill="1" applyBorder="1" applyAlignment="1">
      <alignment horizontal="center"/>
    </xf>
    <xf numFmtId="0" fontId="14" fillId="37" borderId="73" xfId="0" applyFont="1" applyFill="1" applyBorder="1" applyAlignment="1">
      <alignment horizontal="center"/>
    </xf>
    <xf numFmtId="0" fontId="14" fillId="19" borderId="72" xfId="0" applyFont="1" applyFill="1" applyBorder="1" applyAlignment="1">
      <alignment horizontal="center"/>
    </xf>
    <xf numFmtId="0" fontId="14" fillId="19" borderId="0" xfId="0" applyFont="1" applyFill="1" applyBorder="1" applyAlignment="1">
      <alignment horizontal="center"/>
    </xf>
    <xf numFmtId="0" fontId="14" fillId="19" borderId="73" xfId="0" applyFont="1" applyFill="1" applyBorder="1" applyAlignment="1">
      <alignment horizontal="center"/>
    </xf>
    <xf numFmtId="0" fontId="28" fillId="19" borderId="0" xfId="0" applyFont="1" applyFill="1" applyAlignment="1">
      <alignment horizontal="center" vertical="center"/>
    </xf>
    <xf numFmtId="0" fontId="14" fillId="34" borderId="77" xfId="0" applyNumberFormat="1" applyFont="1" applyFill="1" applyBorder="1" applyAlignment="1">
      <alignment horizontal="center"/>
    </xf>
    <xf numFmtId="0" fontId="14" fillId="34" borderId="0" xfId="0" applyNumberFormat="1" applyFont="1" applyFill="1" applyBorder="1" applyAlignment="1">
      <alignment horizontal="center"/>
    </xf>
    <xf numFmtId="0" fontId="14" fillId="34" borderId="78" xfId="0" applyNumberFormat="1" applyFont="1" applyFill="1" applyBorder="1" applyAlignment="1">
      <alignment horizontal="center"/>
    </xf>
    <xf numFmtId="0" fontId="3" fillId="38" borderId="82" xfId="0" applyFont="1" applyFill="1" applyBorder="1" applyAlignment="1">
      <alignment horizontal="center"/>
    </xf>
    <xf numFmtId="0" fontId="3" fillId="38" borderId="0" xfId="0" applyFont="1" applyFill="1" applyBorder="1" applyAlignment="1">
      <alignment horizontal="center"/>
    </xf>
    <xf numFmtId="0" fontId="3" fillId="38" borderId="83" xfId="0" applyFont="1" applyFill="1" applyBorder="1" applyAlignment="1">
      <alignment horizontal="center"/>
    </xf>
    <xf numFmtId="0" fontId="14" fillId="34" borderId="82" xfId="0" applyFont="1" applyFill="1" applyBorder="1" applyAlignment="1">
      <alignment horizontal="center"/>
    </xf>
    <xf numFmtId="0" fontId="14" fillId="34" borderId="83" xfId="0" applyFont="1" applyFill="1" applyBorder="1" applyAlignment="1">
      <alignment horizontal="center"/>
    </xf>
    <xf numFmtId="0" fontId="29" fillId="34" borderId="0" xfId="0" applyFont="1" applyFill="1" applyAlignment="1">
      <alignment horizontal="left"/>
    </xf>
    <xf numFmtId="0" fontId="30" fillId="0" borderId="0" xfId="0" applyFont="1" applyAlignment="1">
      <alignment horizontal="center" wrapText="1"/>
    </xf>
    <xf numFmtId="0" fontId="14" fillId="34" borderId="82" xfId="0" applyFont="1" applyFill="1" applyBorder="1" applyAlignment="1">
      <alignment horizontal="center" wrapText="1"/>
    </xf>
    <xf numFmtId="0" fontId="14" fillId="34" borderId="0" xfId="0" applyFont="1" applyFill="1" applyBorder="1" applyAlignment="1">
      <alignment horizontal="center" wrapText="1"/>
    </xf>
    <xf numFmtId="0" fontId="14" fillId="34" borderId="83" xfId="0" applyFont="1" applyFill="1" applyBorder="1" applyAlignment="1">
      <alignment horizontal="center" wrapText="1"/>
    </xf>
    <xf numFmtId="0" fontId="14" fillId="38" borderId="82" xfId="0" applyFont="1" applyFill="1" applyBorder="1" applyAlignment="1">
      <alignment horizontal="center"/>
    </xf>
    <xf numFmtId="0" fontId="14" fillId="38" borderId="0" xfId="0" applyFont="1" applyFill="1" applyBorder="1" applyAlignment="1">
      <alignment horizontal="center"/>
    </xf>
    <xf numFmtId="0" fontId="14" fillId="38" borderId="83" xfId="0" applyFont="1" applyFill="1" applyBorder="1" applyAlignment="1">
      <alignment horizontal="center"/>
    </xf>
    <xf numFmtId="0" fontId="14" fillId="39" borderId="87" xfId="0" applyFont="1" applyFill="1" applyBorder="1" applyAlignment="1">
      <alignment horizontal="center"/>
    </xf>
    <xf numFmtId="0" fontId="14" fillId="39" borderId="0" xfId="0" applyFont="1" applyFill="1" applyBorder="1" applyAlignment="1">
      <alignment horizontal="center"/>
    </xf>
    <xf numFmtId="0" fontId="14" fillId="39" borderId="88" xfId="0" applyFont="1" applyFill="1" applyBorder="1" applyAlignment="1">
      <alignment horizontal="center"/>
    </xf>
    <xf numFmtId="0" fontId="14" fillId="32" borderId="87" xfId="0" applyFont="1" applyFill="1" applyBorder="1" applyAlignment="1">
      <alignment horizontal="center"/>
    </xf>
    <xf numFmtId="0" fontId="14" fillId="32" borderId="88" xfId="0" applyFont="1" applyFill="1" applyBorder="1" applyAlignment="1">
      <alignment horizontal="center"/>
    </xf>
    <xf numFmtId="0" fontId="16" fillId="32" borderId="0" xfId="0" applyFont="1" applyFill="1" applyAlignment="1"/>
    <xf numFmtId="0" fontId="23" fillId="0" borderId="0" xfId="0" applyFont="1" applyAlignment="1">
      <alignment horizontal="center" vertical="center" wrapText="1"/>
    </xf>
    <xf numFmtId="0" fontId="3" fillId="29" borderId="92" xfId="0" applyFont="1" applyFill="1" applyBorder="1" applyAlignment="1">
      <alignment horizontal="center"/>
    </xf>
    <xf numFmtId="0" fontId="3" fillId="29" borderId="0" xfId="0" applyFont="1" applyFill="1" applyBorder="1" applyAlignment="1">
      <alignment horizontal="center"/>
    </xf>
    <xf numFmtId="0" fontId="3" fillId="29" borderId="93" xfId="0" applyFont="1" applyFill="1" applyBorder="1" applyAlignment="1">
      <alignment horizontal="center"/>
    </xf>
    <xf numFmtId="0" fontId="3" fillId="12" borderId="42" xfId="0" applyFont="1" applyFill="1" applyBorder="1" applyAlignment="1">
      <alignment horizontal="center"/>
    </xf>
    <xf numFmtId="0" fontId="3" fillId="12" borderId="0" xfId="0" applyFont="1" applyFill="1" applyBorder="1" applyAlignment="1">
      <alignment horizontal="center"/>
    </xf>
    <xf numFmtId="0" fontId="3" fillId="12" borderId="43" xfId="0" applyFont="1" applyFill="1" applyBorder="1" applyAlignment="1">
      <alignment horizontal="center"/>
    </xf>
    <xf numFmtId="0" fontId="33" fillId="40" borderId="0" xfId="0" applyFont="1" applyFill="1" applyAlignment="1">
      <alignment horizontal="left"/>
    </xf>
    <xf numFmtId="0" fontId="32" fillId="0" borderId="0" xfId="0" applyFont="1" applyAlignment="1">
      <alignment horizontal="center" wrapText="1"/>
    </xf>
    <xf numFmtId="0" fontId="3" fillId="12" borderId="92" xfId="0" applyFont="1" applyFill="1" applyBorder="1" applyAlignment="1">
      <alignment horizontal="center"/>
    </xf>
    <xf numFmtId="0" fontId="3" fillId="12" borderId="93" xfId="0" applyFont="1" applyFill="1" applyBorder="1" applyAlignment="1">
      <alignment horizontal="center"/>
    </xf>
    <xf numFmtId="0" fontId="3" fillId="26" borderId="97" xfId="0" applyFont="1" applyFill="1" applyBorder="1" applyAlignment="1">
      <alignment horizontal="center"/>
    </xf>
    <xf numFmtId="0" fontId="3" fillId="26" borderId="0" xfId="0" applyFont="1" applyFill="1" applyBorder="1" applyAlignment="1">
      <alignment horizontal="center"/>
    </xf>
    <xf numFmtId="0" fontId="3" fillId="26" borderId="98" xfId="0" applyFont="1" applyFill="1" applyBorder="1" applyAlignment="1">
      <alignment horizontal="center"/>
    </xf>
    <xf numFmtId="0" fontId="28" fillId="20" borderId="0" xfId="0" applyFont="1" applyFill="1" applyAlignment="1">
      <alignment horizontal="left" vertical="center"/>
    </xf>
    <xf numFmtId="0" fontId="34" fillId="0" borderId="0" xfId="0" applyFont="1" applyAlignment="1">
      <alignment horizontal="center" wrapText="1"/>
    </xf>
    <xf numFmtId="0" fontId="3" fillId="42" borderId="97" xfId="0" applyFont="1" applyFill="1" applyBorder="1" applyAlignment="1">
      <alignment horizontal="center"/>
    </xf>
    <xf numFmtId="0" fontId="3" fillId="42" borderId="0" xfId="0" applyFont="1" applyFill="1" applyBorder="1" applyAlignment="1">
      <alignment horizontal="center"/>
    </xf>
    <xf numFmtId="0" fontId="3" fillId="42" borderId="98" xfId="0" applyFont="1" applyFill="1" applyBorder="1" applyAlignment="1">
      <alignment horizontal="center"/>
    </xf>
    <xf numFmtId="0" fontId="3" fillId="32" borderId="102" xfId="0" applyFont="1" applyFill="1" applyBorder="1" applyAlignment="1">
      <alignment horizontal="center"/>
    </xf>
    <xf numFmtId="0" fontId="3" fillId="32" borderId="0" xfId="0" applyFont="1" applyFill="1" applyBorder="1" applyAlignment="1">
      <alignment horizontal="center"/>
    </xf>
    <xf numFmtId="0" fontId="3" fillId="32" borderId="103" xfId="0" applyFont="1" applyFill="1" applyBorder="1" applyAlignment="1">
      <alignment horizontal="center"/>
    </xf>
    <xf numFmtId="0" fontId="3" fillId="34" borderId="102" xfId="0" applyFont="1" applyFill="1" applyBorder="1" applyAlignment="1">
      <alignment horizontal="center"/>
    </xf>
    <xf numFmtId="0" fontId="3" fillId="34" borderId="0" xfId="0" applyFont="1" applyFill="1" applyBorder="1" applyAlignment="1">
      <alignment horizontal="center"/>
    </xf>
    <xf numFmtId="0" fontId="3" fillId="34" borderId="103" xfId="0" applyFont="1" applyFill="1" applyBorder="1" applyAlignment="1">
      <alignment horizontal="center"/>
    </xf>
    <xf numFmtId="0" fontId="35" fillId="33" borderId="0" xfId="0" applyFont="1" applyFill="1" applyAlignment="1">
      <alignment horizontal="center" vertical="top"/>
    </xf>
    <xf numFmtId="0" fontId="36" fillId="0" borderId="0" xfId="0" applyFont="1" applyAlignment="1">
      <alignment horizontal="center" wrapText="1"/>
    </xf>
  </cellXfs>
  <cellStyles count="2">
    <cellStyle name="Normal" xfId="0" builtinId="0"/>
    <cellStyle name="Percent" xfId="1" builtinId="5"/>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66FFFF"/>
      <color rgb="FF3333FF"/>
      <color rgb="FFFF9933"/>
      <color rgb="FFFF5050"/>
      <color rgb="FFFF3300"/>
      <color rgb="FFCC3300"/>
      <color rgb="FFFF6600"/>
      <color rgb="FF00FFFF"/>
      <color rgb="FFFF00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usernames" Target="revisions/userNam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manualLayout>
          <c:xMode val="edge"/>
          <c:yMode val="edge"/>
          <c:x val="0.26001610739977798"/>
          <c:y val="3.5822280770036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'Analysis-NVIDIA'!$B$23</c:f>
              <c:strCache>
                <c:ptCount val="1"/>
                <c:pt idx="0">
                  <c:v>Debt to Equity Ratio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'Analysis-NVIDIA'!$L$21:$O$21</c:f>
              <c:numCache>
                <c:formatCode>mmm\-yy</c:formatCode>
                <c:ptCount val="4"/>
                <c:pt idx="0">
                  <c:v>43831</c:v>
                </c:pt>
                <c:pt idx="1">
                  <c:v>44197</c:v>
                </c:pt>
                <c:pt idx="2">
                  <c:v>44563</c:v>
                </c:pt>
                <c:pt idx="3">
                  <c:v>44929</c:v>
                </c:pt>
              </c:numCache>
            </c:numRef>
          </c:cat>
          <c:val>
            <c:numRef>
              <c:f>'Analysis-NVIDIA'!$L$23:$O$23</c:f>
              <c:numCache>
                <c:formatCode>#,##0.00\x</c:formatCode>
                <c:ptCount val="4"/>
                <c:pt idx="0">
                  <c:v>0.16314323172730252</c:v>
                </c:pt>
                <c:pt idx="1">
                  <c:v>0.41218256082400995</c:v>
                </c:pt>
                <c:pt idx="2">
                  <c:v>0.41131820231474525</c:v>
                </c:pt>
                <c:pt idx="3">
                  <c:v>0.49558843491244742</c:v>
                </c:pt>
              </c:numCache>
            </c:numRef>
          </c:val>
          <c:extLst>
            <c:ext xmlns:c16="http://schemas.microsoft.com/office/drawing/2014/chart" uri="{C3380CC4-5D6E-409C-BE32-E72D297353CC}">
              <c16:uniqueId val="{00000000-8DAE-46B8-A2EE-0AD08BD0AE62}"/>
            </c:ext>
          </c:extLst>
        </c:ser>
        <c:ser>
          <c:idx val="1"/>
          <c:order val="1"/>
          <c:tx>
            <c:strRef>
              <c:f>'Analysis-NVIDIA'!$B$24</c:f>
              <c:strCache>
                <c:ptCount val="1"/>
                <c:pt idx="0">
                  <c:v>Debt to Capital Ratio</c:v>
                </c:pt>
              </c:strCache>
            </c:strRef>
          </c:tx>
          <c:spPr>
            <a:solidFill>
              <a:srgbClr val="92D050"/>
            </a:solidFill>
            <a:ln>
              <a:noFill/>
            </a:ln>
            <a:effectLst/>
          </c:spPr>
          <c:invertIfNegative val="0"/>
          <c:dLbls>
            <c:dLbl>
              <c:idx val="0"/>
              <c:layout>
                <c:manualLayout>
                  <c:x val="2.8524857375713121E-2"/>
                  <c:y val="2.5348542458808618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DAE-46B8-A2EE-0AD08BD0AE62}"/>
                </c:ext>
              </c:extLst>
            </c:dLbl>
            <c:dLbl>
              <c:idx val="1"/>
              <c:layout>
                <c:manualLayout>
                  <c:x val="2.0374898125509373E-2"/>
                  <c:y val="3.802281368821287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DAE-46B8-A2EE-0AD08BD0AE62}"/>
                </c:ext>
              </c:extLst>
            </c:dLbl>
            <c:dLbl>
              <c:idx val="2"/>
              <c:layout>
                <c:manualLayout>
                  <c:x val="2.4449877750611249E-2"/>
                  <c:y val="2.534854245880855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DAE-46B8-A2EE-0AD08BD0AE62}"/>
                </c:ext>
              </c:extLst>
            </c:dLbl>
            <c:dLbl>
              <c:idx val="3"/>
              <c:layout>
                <c:manualLayout>
                  <c:x val="1.6299918500407348E-2"/>
                  <c:y val="1.901140684410646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DAE-46B8-A2EE-0AD08BD0AE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'Analysis-NVIDIA'!$L$21:$O$21</c:f>
              <c:numCache>
                <c:formatCode>mmm\-yy</c:formatCode>
                <c:ptCount val="4"/>
                <c:pt idx="0">
                  <c:v>43831</c:v>
                </c:pt>
                <c:pt idx="1">
                  <c:v>44197</c:v>
                </c:pt>
                <c:pt idx="2">
                  <c:v>44563</c:v>
                </c:pt>
                <c:pt idx="3">
                  <c:v>44929</c:v>
                </c:pt>
              </c:numCache>
            </c:numRef>
          </c:cat>
          <c:val>
            <c:numRef>
              <c:f>'Analysis-NVIDIA'!$L$24:$O$24</c:f>
              <c:numCache>
                <c:formatCode>#,##0.00\x</c:formatCode>
                <c:ptCount val="4"/>
                <c:pt idx="0">
                  <c:v>0.1402606551602677</c:v>
                </c:pt>
                <c:pt idx="1">
                  <c:v>0.29187625754527163</c:v>
                </c:pt>
                <c:pt idx="2">
                  <c:v>0.29144256882688108</c:v>
                </c:pt>
                <c:pt idx="3">
                  <c:v>0.33136685423851875</c:v>
                </c:pt>
              </c:numCache>
            </c:numRef>
          </c:val>
          <c:extLst>
            <c:ext xmlns:c16="http://schemas.microsoft.com/office/drawing/2014/chart" uri="{C3380CC4-5D6E-409C-BE32-E72D297353CC}">
              <c16:uniqueId val="{00000001-8DAE-46B8-A2EE-0AD08BD0AE62}"/>
            </c:ext>
          </c:extLst>
        </c:ser>
        <c:dLbls>
          <c:showLegendKey val="0"/>
          <c:showVal val="0"/>
          <c:showCatName val="0"/>
          <c:showSerName val="0"/>
          <c:showPercent val="0"/>
          <c:showBubbleSize val="0"/>
        </c:dLbls>
        <c:gapWidth val="219"/>
        <c:overlap val="-27"/>
        <c:axId val="686760400"/>
        <c:axId val="686771216"/>
      </c:barChart>
      <c:dateAx>
        <c:axId val="68676040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71216"/>
        <c:crosses val="autoZero"/>
        <c:auto val="1"/>
        <c:lblOffset val="100"/>
        <c:baseTimeUnit val="years"/>
      </c:dateAx>
      <c:valAx>
        <c:axId val="686771216"/>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60400"/>
        <c:crosses val="autoZero"/>
        <c:crossBetween val="between"/>
      </c:valAx>
      <c:spPr>
        <a:noFill/>
        <a:ln>
          <a:noFill/>
        </a:ln>
        <a:effectLst/>
      </c:spPr>
    </c:plotArea>
    <c:legend>
      <c:legendPos val="b"/>
      <c:layout>
        <c:manualLayout>
          <c:xMode val="edge"/>
          <c:yMode val="edge"/>
          <c:x val="6.8891076115485186E-3"/>
          <c:y val="0.89409667541557303"/>
          <c:w val="0.9834440069991252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'Analysis-AMD'!$B$24</c:f>
              <c:strCache>
                <c:ptCount val="1"/>
                <c:pt idx="0">
                  <c:v>Debt to Equity Ratio</c:v>
                </c:pt>
              </c:strCache>
            </c:strRef>
          </c:tx>
          <c:spPr>
            <a:solidFill>
              <a:schemeClr val="accent1"/>
            </a:solidFill>
            <a:ln>
              <a:noFill/>
            </a:ln>
            <a:effectLst/>
          </c:spPr>
          <c:invertIfNegative val="0"/>
          <c:dLbls>
            <c:dLbl>
              <c:idx val="1"/>
              <c:layout>
                <c:manualLayout>
                  <c:x val="-2.247191011235955E-2"/>
                  <c:y val="1.984126984126978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CDD-4DFF-8151-8AA90BCC184A}"/>
                </c:ext>
              </c:extLst>
            </c:dLbl>
            <c:dLbl>
              <c:idx val="2"/>
              <c:layout>
                <c:manualLayout>
                  <c:x val="-2.247191011235955E-2"/>
                  <c:y val="1.322751322751322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CDD-4DFF-8151-8AA90BCC184A}"/>
                </c:ext>
              </c:extLst>
            </c:dLbl>
            <c:dLbl>
              <c:idx val="3"/>
              <c:layout>
                <c:manualLayout>
                  <c:x val="-1.1235955056179775E-2"/>
                  <c:y val="2.645502645502645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CDD-4DFF-8151-8AA90BCC18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'Analysis-AMD'!$J$22:$M$22</c:f>
              <c:numCache>
                <c:formatCode>mmm\-yy</c:formatCode>
                <c:ptCount val="4"/>
                <c:pt idx="0">
                  <c:v>43466</c:v>
                </c:pt>
                <c:pt idx="1">
                  <c:v>43832</c:v>
                </c:pt>
                <c:pt idx="2">
                  <c:v>44198</c:v>
                </c:pt>
                <c:pt idx="3">
                  <c:v>44564</c:v>
                </c:pt>
              </c:numCache>
            </c:numRef>
          </c:cat>
          <c:val>
            <c:numRef>
              <c:f>'Analysis-AMD'!$J$24:$M$24</c:f>
              <c:numCache>
                <c:formatCode>#,##0.00\x</c:formatCode>
                <c:ptCount val="4"/>
                <c:pt idx="0">
                  <c:v>0.17191368942341706</c:v>
                </c:pt>
                <c:pt idx="1">
                  <c:v>5.65358917252013E-2</c:v>
                </c:pt>
                <c:pt idx="2">
                  <c:v>4.1750033346672002E-2</c:v>
                </c:pt>
                <c:pt idx="3">
                  <c:v>4.5059360730593606E-2</c:v>
                </c:pt>
              </c:numCache>
            </c:numRef>
          </c:val>
          <c:extLst>
            <c:ext xmlns:c16="http://schemas.microsoft.com/office/drawing/2014/chart" uri="{C3380CC4-5D6E-409C-BE32-E72D297353CC}">
              <c16:uniqueId val="{00000000-0D73-4790-B1D3-D0A830EA9BA8}"/>
            </c:ext>
          </c:extLst>
        </c:ser>
        <c:ser>
          <c:idx val="1"/>
          <c:order val="1"/>
          <c:tx>
            <c:strRef>
              <c:f>'Analysis-AMD'!$B$25</c:f>
              <c:strCache>
                <c:ptCount val="1"/>
                <c:pt idx="0">
                  <c:v>Debt to Capital Ratio</c:v>
                </c:pt>
              </c:strCache>
            </c:strRef>
          </c:tx>
          <c:spPr>
            <a:solidFill>
              <a:schemeClr val="accent2"/>
            </a:solidFill>
            <a:ln>
              <a:noFill/>
            </a:ln>
            <a:effectLst/>
          </c:spPr>
          <c:invertIfNegative val="0"/>
          <c:dLbls>
            <c:dLbl>
              <c:idx val="0"/>
              <c:layout>
                <c:manualLayout>
                  <c:x val="2.2471910112359515E-2"/>
                  <c:y val="6.6137566137566134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CDD-4DFF-8151-8AA90BCC184A}"/>
                </c:ext>
              </c:extLst>
            </c:dLbl>
            <c:dLbl>
              <c:idx val="2"/>
              <c:layout>
                <c:manualLayout>
                  <c:x val="2.247191011235955E-2"/>
                  <c:y val="-6.0625401942952343E-17"/>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CDD-4DFF-8151-8AA90BCC184A}"/>
                </c:ext>
              </c:extLst>
            </c:dLbl>
            <c:dLbl>
              <c:idx val="3"/>
              <c:layout>
                <c:manualLayout>
                  <c:x val="2.6217228464419338E-2"/>
                  <c:y val="1.322751322751322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CDD-4DFF-8151-8AA90BCC18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'Analysis-AMD'!$J$22:$M$22</c:f>
              <c:numCache>
                <c:formatCode>mmm\-yy</c:formatCode>
                <c:ptCount val="4"/>
                <c:pt idx="0">
                  <c:v>43466</c:v>
                </c:pt>
                <c:pt idx="1">
                  <c:v>43832</c:v>
                </c:pt>
                <c:pt idx="2">
                  <c:v>44198</c:v>
                </c:pt>
                <c:pt idx="3">
                  <c:v>44564</c:v>
                </c:pt>
              </c:numCache>
            </c:numRef>
          </c:cat>
          <c:val>
            <c:numRef>
              <c:f>'Analysis-AMD'!$J$25:$M$25</c:f>
              <c:numCache>
                <c:formatCode>#,##0.00\x</c:formatCode>
                <c:ptCount val="4"/>
                <c:pt idx="0">
                  <c:v>0.14669483851494117</c:v>
                </c:pt>
                <c:pt idx="1">
                  <c:v>5.3510621047510948E-2</c:v>
                </c:pt>
                <c:pt idx="2">
                  <c:v>4.0076824583866834E-2</c:v>
                </c:pt>
                <c:pt idx="3">
                  <c:v>4.3116556268241957E-2</c:v>
                </c:pt>
              </c:numCache>
            </c:numRef>
          </c:val>
          <c:extLst>
            <c:ext xmlns:c16="http://schemas.microsoft.com/office/drawing/2014/chart" uri="{C3380CC4-5D6E-409C-BE32-E72D297353CC}">
              <c16:uniqueId val="{00000001-0D73-4790-B1D3-D0A830EA9BA8}"/>
            </c:ext>
          </c:extLst>
        </c:ser>
        <c:dLbls>
          <c:showLegendKey val="0"/>
          <c:showVal val="0"/>
          <c:showCatName val="0"/>
          <c:showSerName val="0"/>
          <c:showPercent val="0"/>
          <c:showBubbleSize val="0"/>
        </c:dLbls>
        <c:gapWidth val="219"/>
        <c:overlap val="-27"/>
        <c:axId val="715887328"/>
        <c:axId val="715893152"/>
      </c:barChart>
      <c:dateAx>
        <c:axId val="71588732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93152"/>
        <c:crosses val="autoZero"/>
        <c:auto val="1"/>
        <c:lblOffset val="100"/>
        <c:baseTimeUnit val="years"/>
      </c:dateAx>
      <c:valAx>
        <c:axId val="715893152"/>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887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Profitability</a:t>
            </a:r>
            <a:r>
              <a:rPr lang="en-IN" baseline="0"/>
              <a:t> Ratios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065048118985127"/>
          <c:y val="0.19486111111111112"/>
          <c:w val="0.86601618547681536"/>
          <c:h val="0.54380322251385238"/>
        </c:manualLayout>
      </c:layout>
      <c:lineChart>
        <c:grouping val="standard"/>
        <c:varyColors val="0"/>
        <c:ser>
          <c:idx val="0"/>
          <c:order val="0"/>
          <c:tx>
            <c:strRef>
              <c:f>'Analysis-AMD'!$B$40</c:f>
              <c:strCache>
                <c:ptCount val="1"/>
                <c:pt idx="0">
                  <c:v>Return on Asset</c:v>
                </c:pt>
              </c:strCache>
            </c:strRef>
          </c:tx>
          <c:spPr>
            <a:ln w="28575" cap="rnd">
              <a:solidFill>
                <a:schemeClr val="accent1"/>
              </a:solidFill>
              <a:round/>
            </a:ln>
            <a:effectLst/>
          </c:spPr>
          <c:marker>
            <c:symbol val="none"/>
          </c:marker>
          <c:dLbls>
            <c:dLbl>
              <c:idx val="0"/>
              <c:layout>
                <c:manualLayout>
                  <c:x val="-4.8368110236220473E-2"/>
                  <c:y val="2.549759405074365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65D-4E89-A209-BDAFBEE47E03}"/>
                </c:ext>
              </c:extLst>
            </c:dLbl>
            <c:dLbl>
              <c:idx val="1"/>
              <c:layout>
                <c:manualLayout>
                  <c:x val="-5.4701443569553802E-2"/>
                  <c:y val="2.549759405074365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565D-4E89-A209-BDAFBEE47E03}"/>
                </c:ext>
              </c:extLst>
            </c:dLbl>
            <c:dLbl>
              <c:idx val="2"/>
              <c:layout>
                <c:manualLayout>
                  <c:x val="-6.3034776902887238E-2"/>
                  <c:y val="3.012722368037328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565D-4E89-A209-BDAFBEE47E03}"/>
                </c:ext>
              </c:extLst>
            </c:dLbl>
            <c:dLbl>
              <c:idx val="3"/>
              <c:layout>
                <c:manualLayout>
                  <c:x val="-9.2812554680664919E-2"/>
                  <c:y val="-6.9098133566637505E-3"/>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565D-4E89-A209-BDAFBEE47E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'Analysis-AMD'!$J$38:$M$38</c:f>
              <c:numCache>
                <c:formatCode>mmm\-yy</c:formatCode>
                <c:ptCount val="4"/>
                <c:pt idx="0">
                  <c:v>43466</c:v>
                </c:pt>
                <c:pt idx="1">
                  <c:v>43832</c:v>
                </c:pt>
                <c:pt idx="2">
                  <c:v>44198</c:v>
                </c:pt>
                <c:pt idx="3">
                  <c:v>44564</c:v>
                </c:pt>
              </c:numCache>
            </c:numRef>
          </c:cat>
          <c:val>
            <c:numRef>
              <c:f>'Analysis-AMD'!$J$40:$M$40</c:f>
              <c:numCache>
                <c:formatCode>0.0%</c:formatCode>
                <c:ptCount val="4"/>
                <c:pt idx="0">
                  <c:v>5.6569343065693431E-2</c:v>
                </c:pt>
                <c:pt idx="1">
                  <c:v>0.27783976790894888</c:v>
                </c:pt>
                <c:pt idx="2">
                  <c:v>0.254609871970368</c:v>
                </c:pt>
                <c:pt idx="3">
                  <c:v>1.9532406037289139E-2</c:v>
                </c:pt>
              </c:numCache>
            </c:numRef>
          </c:val>
          <c:smooth val="0"/>
          <c:extLst>
            <c:ext xmlns:c16="http://schemas.microsoft.com/office/drawing/2014/chart" uri="{C3380CC4-5D6E-409C-BE32-E72D297353CC}">
              <c16:uniqueId val="{00000000-565D-4E89-A209-BDAFBEE47E03}"/>
            </c:ext>
          </c:extLst>
        </c:ser>
        <c:ser>
          <c:idx val="1"/>
          <c:order val="1"/>
          <c:tx>
            <c:strRef>
              <c:f>'Analysis-AMD'!$B$41</c:f>
              <c:strCache>
                <c:ptCount val="1"/>
                <c:pt idx="0">
                  <c:v>Return on Capital Employed</c:v>
                </c:pt>
              </c:strCache>
            </c:strRef>
          </c:tx>
          <c:spPr>
            <a:ln w="28575" cap="rnd">
              <a:solidFill>
                <a:schemeClr val="accent2"/>
              </a:solidFill>
              <a:round/>
            </a:ln>
            <a:effectLst/>
          </c:spPr>
          <c:marker>
            <c:symbol val="none"/>
          </c:marker>
          <c:dLbls>
            <c:dLbl>
              <c:idx val="0"/>
              <c:layout>
                <c:manualLayout>
                  <c:x val="-0.10582748102433141"/>
                  <c:y val="1.160889856613572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65D-4E89-A209-BDAFBEE47E03}"/>
                </c:ext>
              </c:extLst>
            </c:dLbl>
            <c:dLbl>
              <c:idx val="1"/>
              <c:layout>
                <c:manualLayout>
                  <c:x val="-5.4701443569553802E-2"/>
                  <c:y val="-1.61690726159230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565D-4E89-A209-BDAFBEE47E03}"/>
                </c:ext>
              </c:extLst>
            </c:dLbl>
            <c:dLbl>
              <c:idx val="2"/>
              <c:layout>
                <c:manualLayout>
                  <c:x val="-5.7479221347331584E-2"/>
                  <c:y val="-1.616907261592305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565D-4E89-A209-BDAFBEE47E03}"/>
                </c:ext>
              </c:extLst>
            </c:dLbl>
            <c:dLbl>
              <c:idx val="3"/>
              <c:layout>
                <c:manualLayout>
                  <c:x val="-2.4193977442008938E-2"/>
                  <c:y val="-2.688727413896414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565D-4E89-A209-BDAFBEE47E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'Analysis-AMD'!$J$38:$M$38</c:f>
              <c:numCache>
                <c:formatCode>mmm\-yy</c:formatCode>
                <c:ptCount val="4"/>
                <c:pt idx="0">
                  <c:v>43466</c:v>
                </c:pt>
                <c:pt idx="1">
                  <c:v>43832</c:v>
                </c:pt>
                <c:pt idx="2">
                  <c:v>44198</c:v>
                </c:pt>
                <c:pt idx="3">
                  <c:v>44564</c:v>
                </c:pt>
              </c:numCache>
            </c:numRef>
          </c:cat>
          <c:val>
            <c:numRef>
              <c:f>'Analysis-AMD'!$J$41:$M$41</c:f>
              <c:numCache>
                <c:formatCode>0.0%</c:formatCode>
                <c:ptCount val="4"/>
                <c:pt idx="0">
                  <c:v>0.10292785994566858</c:v>
                </c:pt>
                <c:pt idx="1">
                  <c:v>0.40376195881303711</c:v>
                </c:pt>
                <c:pt idx="2">
                  <c:v>0.40486555697823301</c:v>
                </c:pt>
                <c:pt idx="3">
                  <c:v>2.3070066588601289E-2</c:v>
                </c:pt>
              </c:numCache>
            </c:numRef>
          </c:val>
          <c:smooth val="0"/>
          <c:extLst>
            <c:ext xmlns:c16="http://schemas.microsoft.com/office/drawing/2014/chart" uri="{C3380CC4-5D6E-409C-BE32-E72D297353CC}">
              <c16:uniqueId val="{00000001-565D-4E89-A209-BDAFBEE47E03}"/>
            </c:ext>
          </c:extLst>
        </c:ser>
        <c:ser>
          <c:idx val="2"/>
          <c:order val="2"/>
          <c:tx>
            <c:strRef>
              <c:f>'Analysis-AMD'!$B$42</c:f>
              <c:strCache>
                <c:ptCount val="1"/>
                <c:pt idx="0">
                  <c:v>Return on Invested Capital</c:v>
                </c:pt>
              </c:strCache>
            </c:strRef>
          </c:tx>
          <c:spPr>
            <a:ln w="28575" cap="rnd">
              <a:solidFill>
                <a:schemeClr val="accent3"/>
              </a:solidFill>
              <a:round/>
            </a:ln>
            <a:effectLst/>
          </c:spPr>
          <c:marker>
            <c:symbol val="none"/>
          </c:marker>
          <c:dLbls>
            <c:dLbl>
              <c:idx val="0"/>
              <c:layout>
                <c:manualLayout>
                  <c:x val="-9.7494147690998081E-2"/>
                  <c:y val="-5.612367184005536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65D-4E89-A209-BDAFBEE47E03}"/>
                </c:ext>
              </c:extLst>
            </c:dLbl>
            <c:dLbl>
              <c:idx val="1"/>
              <c:layout>
                <c:manualLayout>
                  <c:x val="-5.4701443569553802E-2"/>
                  <c:y val="-3.005796150481189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565D-4E89-A209-BDAFBEE47E03}"/>
                </c:ext>
              </c:extLst>
            </c:dLbl>
            <c:dLbl>
              <c:idx val="2"/>
              <c:layout>
                <c:manualLayout>
                  <c:x val="-5.7479221347331584E-2"/>
                  <c:y val="-2.542833187518231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565D-4E89-A209-BDAFBEE47E03}"/>
                </c:ext>
              </c:extLst>
            </c:dLbl>
            <c:dLbl>
              <c:idx val="3"/>
              <c:layout>
                <c:manualLayout>
                  <c:x val="-1.581255468066502E-2"/>
                  <c:y val="-2.079870224555272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565D-4E89-A209-BDAFBEE47E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'Analysis-AMD'!$J$38:$M$38</c:f>
              <c:numCache>
                <c:formatCode>mmm\-yy</c:formatCode>
                <c:ptCount val="4"/>
                <c:pt idx="0">
                  <c:v>43466</c:v>
                </c:pt>
                <c:pt idx="1">
                  <c:v>43832</c:v>
                </c:pt>
                <c:pt idx="2">
                  <c:v>44198</c:v>
                </c:pt>
                <c:pt idx="3">
                  <c:v>44564</c:v>
                </c:pt>
              </c:numCache>
            </c:numRef>
          </c:cat>
          <c:val>
            <c:numRef>
              <c:f>'Analysis-AMD'!$J$42:$M$42</c:f>
              <c:numCache>
                <c:formatCode>0.0%</c:formatCode>
                <c:ptCount val="4"/>
                <c:pt idx="0">
                  <c:v>0.11586816173972138</c:v>
                </c:pt>
                <c:pt idx="1">
                  <c:v>0.54426229508196722</c:v>
                </c:pt>
                <c:pt idx="2">
                  <c:v>0.58425720620842569</c:v>
                </c:pt>
                <c:pt idx="3">
                  <c:v>0.12425868398757413</c:v>
                </c:pt>
              </c:numCache>
            </c:numRef>
          </c:val>
          <c:smooth val="0"/>
          <c:extLst>
            <c:ext xmlns:c16="http://schemas.microsoft.com/office/drawing/2014/chart" uri="{C3380CC4-5D6E-409C-BE32-E72D297353CC}">
              <c16:uniqueId val="{00000002-565D-4E89-A209-BDAFBEE47E03}"/>
            </c:ext>
          </c:extLst>
        </c:ser>
        <c:dLbls>
          <c:showLegendKey val="0"/>
          <c:showVal val="0"/>
          <c:showCatName val="0"/>
          <c:showSerName val="0"/>
          <c:showPercent val="0"/>
          <c:showBubbleSize val="0"/>
        </c:dLbls>
        <c:smooth val="0"/>
        <c:axId val="711234304"/>
        <c:axId val="711242624"/>
      </c:lineChart>
      <c:dateAx>
        <c:axId val="71123430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42624"/>
        <c:crosses val="autoZero"/>
        <c:auto val="1"/>
        <c:lblOffset val="100"/>
        <c:baseTimeUnit val="years"/>
      </c:dateAx>
      <c:valAx>
        <c:axId val="71124262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34304"/>
        <c:crosses val="autoZero"/>
        <c:crossBetween val="between"/>
      </c:valAx>
      <c:spPr>
        <a:noFill/>
        <a:ln>
          <a:noFill/>
        </a:ln>
        <a:effectLst/>
      </c:spPr>
    </c:plotArea>
    <c:legend>
      <c:legendPos val="b"/>
      <c:layout>
        <c:manualLayout>
          <c:xMode val="edge"/>
          <c:yMode val="edge"/>
          <c:x val="4.1543709063394101E-2"/>
          <c:y val="0.8184241943715368"/>
          <c:w val="0.89439005935068927"/>
          <c:h val="0.17582854394004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77705852806135"/>
          <c:y val="0.24726666666666669"/>
          <c:w val="0.78331458567679035"/>
          <c:h val="0.44557742782152232"/>
        </c:manualLayout>
      </c:layout>
      <c:lineChart>
        <c:grouping val="standard"/>
        <c:varyColors val="0"/>
        <c:ser>
          <c:idx val="0"/>
          <c:order val="0"/>
          <c:tx>
            <c:strRef>
              <c:f>'Analysis-AMD'!$B$43</c:f>
              <c:strCache>
                <c:ptCount val="1"/>
                <c:pt idx="0">
                  <c:v>EBITDA Margin</c:v>
                </c:pt>
              </c:strCache>
            </c:strRef>
          </c:tx>
          <c:spPr>
            <a:ln w="28575" cap="rnd">
              <a:solidFill>
                <a:schemeClr val="accent1"/>
              </a:solidFill>
              <a:round/>
            </a:ln>
            <a:effectLst/>
          </c:spPr>
          <c:marker>
            <c:symbol val="none"/>
          </c:marker>
          <c:dLbls>
            <c:dLbl>
              <c:idx val="1"/>
              <c:layout>
                <c:manualLayout>
                  <c:x val="-5.701940559316878E-2"/>
                  <c:y val="3.671653543307086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25E-4BC5-9EA8-E50758857DB7}"/>
                </c:ext>
              </c:extLst>
            </c:dLbl>
            <c:dLbl>
              <c:idx val="2"/>
              <c:layout>
                <c:manualLayout>
                  <c:x val="-7.9481220507813879E-2"/>
                  <c:y val="-4.995013123359583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25E-4BC5-9EA8-E50758857DB7}"/>
                </c:ext>
              </c:extLst>
            </c:dLbl>
            <c:dLbl>
              <c:idx val="3"/>
              <c:layout>
                <c:manualLayout>
                  <c:x val="-2.9664452320818387E-2"/>
                  <c:y val="-3.661679790026249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25E-4BC5-9EA8-E50758857D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'Analysis-AMD'!$J$38:$M$38</c:f>
              <c:numCache>
                <c:formatCode>mmm\-yy</c:formatCode>
                <c:ptCount val="4"/>
                <c:pt idx="0">
                  <c:v>43466</c:v>
                </c:pt>
                <c:pt idx="1">
                  <c:v>43832</c:v>
                </c:pt>
                <c:pt idx="2">
                  <c:v>44198</c:v>
                </c:pt>
                <c:pt idx="3">
                  <c:v>44564</c:v>
                </c:pt>
              </c:numCache>
            </c:numRef>
          </c:cat>
          <c:val>
            <c:numRef>
              <c:f>'Analysis-AMD'!$J$43:$M$43</c:f>
              <c:numCache>
                <c:formatCode>0.0%</c:formatCode>
                <c:ptCount val="4"/>
                <c:pt idx="0">
                  <c:v>0.11201901649086317</c:v>
                </c:pt>
                <c:pt idx="1">
                  <c:v>0.17310252996005326</c:v>
                </c:pt>
                <c:pt idx="2">
                  <c:v>0.25380309115248872</c:v>
                </c:pt>
                <c:pt idx="3">
                  <c:v>0.24248972501165206</c:v>
                </c:pt>
              </c:numCache>
            </c:numRef>
          </c:val>
          <c:smooth val="0"/>
          <c:extLst>
            <c:ext xmlns:c16="http://schemas.microsoft.com/office/drawing/2014/chart" uri="{C3380CC4-5D6E-409C-BE32-E72D297353CC}">
              <c16:uniqueId val="{00000000-C25E-4BC5-9EA8-E50758857DB7}"/>
            </c:ext>
          </c:extLst>
        </c:ser>
        <c:ser>
          <c:idx val="1"/>
          <c:order val="1"/>
          <c:tx>
            <c:strRef>
              <c:f>'Analysis-AMD'!$B$44</c:f>
              <c:strCache>
                <c:ptCount val="1"/>
                <c:pt idx="0">
                  <c:v>Net Margin</c:v>
                </c:pt>
              </c:strCache>
            </c:strRef>
          </c:tx>
          <c:spPr>
            <a:ln w="28575" cap="rnd">
              <a:solidFill>
                <a:schemeClr val="accent2"/>
              </a:solidFill>
              <a:round/>
            </a:ln>
            <a:effectLst/>
          </c:spPr>
          <c:marker>
            <c:symbol val="none"/>
          </c:marker>
          <c:dLbls>
            <c:dLbl>
              <c:idx val="0"/>
              <c:layout>
                <c:manualLayout>
                  <c:x val="-8.7208084838451799E-2"/>
                  <c:y val="1.671653543307074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25E-4BC5-9EA8-E50758857DB7}"/>
                </c:ext>
              </c:extLst>
            </c:dLbl>
            <c:dLbl>
              <c:idx val="2"/>
              <c:layout>
                <c:manualLayout>
                  <c:x val="-3.6803772169988189E-2"/>
                  <c:y val="-9.950393700787402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4099263535454296"/>
                      <c:h val="9.3233595800524913E-2"/>
                    </c:manualLayout>
                  </c15:layout>
                </c:ext>
                <c:ext xmlns:c16="http://schemas.microsoft.com/office/drawing/2014/chart" uri="{C3380CC4-5D6E-409C-BE32-E72D297353CC}">
                  <c16:uniqueId val="{00000004-C25E-4BC5-9EA8-E50758857DB7}"/>
                </c:ext>
              </c:extLst>
            </c:dLbl>
            <c:dLbl>
              <c:idx val="3"/>
              <c:layout>
                <c:manualLayout>
                  <c:x val="-3.7792092026232571E-2"/>
                  <c:y val="-3.661679790026246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C25E-4BC5-9EA8-E50758857D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'Analysis-AMD'!$J$38:$M$38</c:f>
              <c:numCache>
                <c:formatCode>mmm\-yy</c:formatCode>
                <c:ptCount val="4"/>
                <c:pt idx="0">
                  <c:v>43466</c:v>
                </c:pt>
                <c:pt idx="1">
                  <c:v>43832</c:v>
                </c:pt>
                <c:pt idx="2">
                  <c:v>44198</c:v>
                </c:pt>
                <c:pt idx="3">
                  <c:v>44564</c:v>
                </c:pt>
              </c:numCache>
            </c:numRef>
          </c:cat>
          <c:val>
            <c:numRef>
              <c:f>'Analysis-AMD'!$J$44:$M$44</c:f>
              <c:numCache>
                <c:formatCode>0.0%</c:formatCode>
                <c:ptCount val="4"/>
                <c:pt idx="0">
                  <c:v>5.0661120190164909E-2</c:v>
                </c:pt>
                <c:pt idx="1">
                  <c:v>0.25504455597664655</c:v>
                </c:pt>
                <c:pt idx="2">
                  <c:v>0.19240598758671049</c:v>
                </c:pt>
                <c:pt idx="3">
                  <c:v>5.5929833481632135E-2</c:v>
                </c:pt>
              </c:numCache>
            </c:numRef>
          </c:val>
          <c:smooth val="0"/>
          <c:extLst>
            <c:ext xmlns:c16="http://schemas.microsoft.com/office/drawing/2014/chart" uri="{C3380CC4-5D6E-409C-BE32-E72D297353CC}">
              <c16:uniqueId val="{00000001-C25E-4BC5-9EA8-E50758857DB7}"/>
            </c:ext>
          </c:extLst>
        </c:ser>
        <c:dLbls>
          <c:showLegendKey val="0"/>
          <c:showVal val="0"/>
          <c:showCatName val="0"/>
          <c:showSerName val="0"/>
          <c:showPercent val="0"/>
          <c:showBubbleSize val="0"/>
        </c:dLbls>
        <c:smooth val="0"/>
        <c:axId val="711238880"/>
        <c:axId val="711240544"/>
      </c:lineChart>
      <c:dateAx>
        <c:axId val="7112388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40544"/>
        <c:crosses val="autoZero"/>
        <c:auto val="1"/>
        <c:lblOffset val="100"/>
        <c:baseTimeUnit val="years"/>
      </c:dateAx>
      <c:valAx>
        <c:axId val="7112405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38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r>
              <a:rPr lang="en-IN" baseline="0"/>
              <a:t> Ratio</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dLbl>
              <c:idx val="1"/>
              <c:layout>
                <c:manualLayout>
                  <c:x val="-5.7513998250218773E-2"/>
                  <c:y val="4.401611256926217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7EE-44C3-888F-58E86F9C9A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'Analysis-AMD'!$J$47:$M$47</c:f>
              <c:numCache>
                <c:formatCode>mmm\-yy</c:formatCode>
                <c:ptCount val="4"/>
                <c:pt idx="0">
                  <c:v>43466</c:v>
                </c:pt>
                <c:pt idx="1">
                  <c:v>43832</c:v>
                </c:pt>
                <c:pt idx="2">
                  <c:v>44198</c:v>
                </c:pt>
                <c:pt idx="3">
                  <c:v>44564</c:v>
                </c:pt>
              </c:numCache>
            </c:numRef>
          </c:cat>
          <c:val>
            <c:numRef>
              <c:f>'Analysis-AMD'!$J$49:$M$49</c:f>
              <c:numCache>
                <c:formatCode>#,##0.00\x</c:formatCode>
                <c:ptCount val="4"/>
                <c:pt idx="0">
                  <c:v>157.33137829912025</c:v>
                </c:pt>
                <c:pt idx="1">
                  <c:v>44.345381526104418</c:v>
                </c:pt>
                <c:pt idx="2">
                  <c:v>54.955724225173938</c:v>
                </c:pt>
                <c:pt idx="3">
                  <c:v>79.11363636363636</c:v>
                </c:pt>
              </c:numCache>
            </c:numRef>
          </c:val>
          <c:smooth val="0"/>
          <c:extLst>
            <c:ext xmlns:c16="http://schemas.microsoft.com/office/drawing/2014/chart" uri="{C3380CC4-5D6E-409C-BE32-E72D297353CC}">
              <c16:uniqueId val="{00000000-C7EE-44C3-888F-58E86F9C9A50}"/>
            </c:ext>
          </c:extLst>
        </c:ser>
        <c:dLbls>
          <c:showLegendKey val="0"/>
          <c:showVal val="0"/>
          <c:showCatName val="0"/>
          <c:showSerName val="0"/>
          <c:showPercent val="0"/>
          <c:showBubbleSize val="0"/>
        </c:dLbls>
        <c:smooth val="0"/>
        <c:axId val="766468384"/>
        <c:axId val="766484192"/>
      </c:lineChart>
      <c:dateAx>
        <c:axId val="7664683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84192"/>
        <c:crosses val="autoZero"/>
        <c:auto val="1"/>
        <c:lblOffset val="100"/>
        <c:baseTimeUnit val="years"/>
      </c:dateAx>
      <c:valAx>
        <c:axId val="766484192"/>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68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39596642400831"/>
          <c:y val="0.16985677083333334"/>
          <c:w val="0.82036503986529985"/>
          <c:h val="0.53018629019028873"/>
        </c:manualLayout>
      </c:layout>
      <c:barChart>
        <c:barDir val="col"/>
        <c:grouping val="clustered"/>
        <c:varyColors val="0"/>
        <c:ser>
          <c:idx val="0"/>
          <c:order val="0"/>
          <c:tx>
            <c:strRef>
              <c:f>'Analysis- Adobe'!$B$25</c:f>
              <c:strCache>
                <c:ptCount val="1"/>
                <c:pt idx="0">
                  <c:v>Debt to Equity Ratio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Adobe'!$L$23:$O$23</c:f>
              <c:numCache>
                <c:formatCode>mmm\-yy</c:formatCode>
                <c:ptCount val="4"/>
                <c:pt idx="0">
                  <c:v>43770</c:v>
                </c:pt>
                <c:pt idx="1">
                  <c:v>44136</c:v>
                </c:pt>
                <c:pt idx="2">
                  <c:v>44502</c:v>
                </c:pt>
                <c:pt idx="3">
                  <c:v>44868</c:v>
                </c:pt>
              </c:numCache>
            </c:numRef>
          </c:cat>
          <c:val>
            <c:numRef>
              <c:f>'Analysis- Adobe'!$L$25:$O$25</c:f>
              <c:numCache>
                <c:formatCode>#,##0.00\x</c:formatCode>
                <c:ptCount val="4"/>
                <c:pt idx="0">
                  <c:v>0.3929724596391263</c:v>
                </c:pt>
                <c:pt idx="1">
                  <c:v>0.31038902291917975</c:v>
                </c:pt>
                <c:pt idx="2">
                  <c:v>0.27863756166790565</c:v>
                </c:pt>
                <c:pt idx="3">
                  <c:v>0.29385808839228522</c:v>
                </c:pt>
              </c:numCache>
            </c:numRef>
          </c:val>
          <c:extLst>
            <c:ext xmlns:c16="http://schemas.microsoft.com/office/drawing/2014/chart" uri="{C3380CC4-5D6E-409C-BE32-E72D297353CC}">
              <c16:uniqueId val="{00000000-EC6C-4C20-B21D-D4BD6A85EABE}"/>
            </c:ext>
          </c:extLst>
        </c:ser>
        <c:ser>
          <c:idx val="1"/>
          <c:order val="1"/>
          <c:tx>
            <c:strRef>
              <c:f>'Analysis- Adobe'!$B$26</c:f>
              <c:strCache>
                <c:ptCount val="1"/>
                <c:pt idx="0">
                  <c:v>Debt to Capital Ratio</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Adobe'!$L$23:$O$23</c:f>
              <c:numCache>
                <c:formatCode>mmm\-yy</c:formatCode>
                <c:ptCount val="4"/>
                <c:pt idx="0">
                  <c:v>43770</c:v>
                </c:pt>
                <c:pt idx="1">
                  <c:v>44136</c:v>
                </c:pt>
                <c:pt idx="2">
                  <c:v>44502</c:v>
                </c:pt>
                <c:pt idx="3">
                  <c:v>44868</c:v>
                </c:pt>
              </c:numCache>
            </c:numRef>
          </c:cat>
          <c:val>
            <c:numRef>
              <c:f>'Analysis- Adobe'!$L$26:$O$26</c:f>
              <c:numCache>
                <c:formatCode>#,##0.00\x</c:formatCode>
                <c:ptCount val="4"/>
                <c:pt idx="0">
                  <c:v>0.28211071720752662</c:v>
                </c:pt>
                <c:pt idx="1">
                  <c:v>0.23686784419768714</c:v>
                </c:pt>
                <c:pt idx="2">
                  <c:v>0.21791754756871035</c:v>
                </c:pt>
                <c:pt idx="3">
                  <c:v>0.22711771177117709</c:v>
                </c:pt>
              </c:numCache>
            </c:numRef>
          </c:val>
          <c:extLst>
            <c:ext xmlns:c16="http://schemas.microsoft.com/office/drawing/2014/chart" uri="{C3380CC4-5D6E-409C-BE32-E72D297353CC}">
              <c16:uniqueId val="{00000001-EC6C-4C20-B21D-D4BD6A85EABE}"/>
            </c:ext>
          </c:extLst>
        </c:ser>
        <c:dLbls>
          <c:showLegendKey val="0"/>
          <c:showVal val="0"/>
          <c:showCatName val="0"/>
          <c:showSerName val="0"/>
          <c:showPercent val="0"/>
          <c:showBubbleSize val="0"/>
        </c:dLbls>
        <c:gapWidth val="219"/>
        <c:overlap val="-27"/>
        <c:axId val="1335986400"/>
        <c:axId val="1335986816"/>
      </c:barChart>
      <c:dateAx>
        <c:axId val="133598640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86816"/>
        <c:crosses val="autoZero"/>
        <c:auto val="1"/>
        <c:lblOffset val="100"/>
        <c:baseTimeUnit val="years"/>
      </c:dateAx>
      <c:valAx>
        <c:axId val="1335986816"/>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86400"/>
        <c:crosses val="autoZero"/>
        <c:crossBetween val="between"/>
      </c:valAx>
      <c:spPr>
        <a:noFill/>
        <a:ln>
          <a:solidFill>
            <a:schemeClr val="accent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Pt>
            <c:idx val="1"/>
            <c:marker>
              <c:symbol val="none"/>
            </c:marker>
            <c:bubble3D val="0"/>
            <c:spPr>
              <a:ln w="28575" cap="rnd">
                <a:solidFill>
                  <a:srgbClr val="F35A0D"/>
                </a:solidFill>
                <a:round/>
              </a:ln>
              <a:effectLst/>
            </c:spPr>
            <c:extLst>
              <c:ext xmlns:c16="http://schemas.microsoft.com/office/drawing/2014/chart" uri="{C3380CC4-5D6E-409C-BE32-E72D297353CC}">
                <c16:uniqueId val="{00000001-00E5-4724-945B-4EE13079B98A}"/>
              </c:ext>
            </c:extLst>
          </c:dPt>
          <c:dPt>
            <c:idx val="2"/>
            <c:marker>
              <c:symbol val="none"/>
            </c:marker>
            <c:bubble3D val="0"/>
            <c:spPr>
              <a:ln w="28575" cap="rnd">
                <a:solidFill>
                  <a:srgbClr val="FF5050"/>
                </a:solidFill>
                <a:round/>
              </a:ln>
              <a:effectLst/>
            </c:spPr>
            <c:extLst>
              <c:ext xmlns:c16="http://schemas.microsoft.com/office/drawing/2014/chart" uri="{C3380CC4-5D6E-409C-BE32-E72D297353CC}">
                <c16:uniqueId val="{00000002-00E5-4724-945B-4EE13079B98A}"/>
              </c:ext>
            </c:extLst>
          </c:dPt>
          <c:dPt>
            <c:idx val="3"/>
            <c:marker>
              <c:symbol val="none"/>
            </c:marker>
            <c:bubble3D val="0"/>
            <c:spPr>
              <a:ln w="28575" cap="rnd">
                <a:solidFill>
                  <a:srgbClr val="FF5050"/>
                </a:solidFill>
                <a:round/>
              </a:ln>
              <a:effectLst/>
            </c:spPr>
            <c:extLst>
              <c:ext xmlns:c16="http://schemas.microsoft.com/office/drawing/2014/chart" uri="{C3380CC4-5D6E-409C-BE32-E72D297353CC}">
                <c16:uniqueId val="{00000003-00E5-4724-945B-4EE13079B9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Adobe'!$L$39:$O$39</c:f>
              <c:numCache>
                <c:formatCode>mmm\-yy</c:formatCode>
                <c:ptCount val="4"/>
                <c:pt idx="0">
                  <c:v>43770</c:v>
                </c:pt>
                <c:pt idx="1">
                  <c:v>44136</c:v>
                </c:pt>
                <c:pt idx="2">
                  <c:v>44502</c:v>
                </c:pt>
                <c:pt idx="3">
                  <c:v>44868</c:v>
                </c:pt>
              </c:numCache>
            </c:numRef>
          </c:cat>
          <c:val>
            <c:numRef>
              <c:f>'Analysis- Adobe'!$L$40:$O$40</c:f>
              <c:numCache>
                <c:formatCode>0.0%</c:formatCode>
                <c:ptCount val="4"/>
                <c:pt idx="0">
                  <c:v>0.28024691358024689</c:v>
                </c:pt>
                <c:pt idx="1">
                  <c:v>0.39656212303980698</c:v>
                </c:pt>
                <c:pt idx="2">
                  <c:v>0.3258768669324863</c:v>
                </c:pt>
                <c:pt idx="3">
                  <c:v>0.33848124688634262</c:v>
                </c:pt>
              </c:numCache>
            </c:numRef>
          </c:val>
          <c:smooth val="0"/>
          <c:extLst>
            <c:ext xmlns:c16="http://schemas.microsoft.com/office/drawing/2014/chart" uri="{C3380CC4-5D6E-409C-BE32-E72D297353CC}">
              <c16:uniqueId val="{00000000-00E5-4724-945B-4EE13079B98A}"/>
            </c:ext>
          </c:extLst>
        </c:ser>
        <c:dLbls>
          <c:showLegendKey val="0"/>
          <c:showVal val="0"/>
          <c:showCatName val="0"/>
          <c:showSerName val="0"/>
          <c:showPercent val="0"/>
          <c:showBubbleSize val="0"/>
        </c:dLbls>
        <c:smooth val="0"/>
        <c:axId val="1527138752"/>
        <c:axId val="1527139584"/>
      </c:lineChart>
      <c:dateAx>
        <c:axId val="15271387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39584"/>
        <c:crosses val="autoZero"/>
        <c:auto val="1"/>
        <c:lblOffset val="100"/>
        <c:baseTimeUnit val="years"/>
      </c:dateAx>
      <c:valAx>
        <c:axId val="152713958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387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ROA</a:t>
            </a:r>
            <a:r>
              <a:rPr lang="en-IN" baseline="0"/>
              <a:t> vs ROCE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Adobe'!$B$41</c:f>
              <c:strCache>
                <c:ptCount val="1"/>
                <c:pt idx="0">
                  <c:v>Return on Asset</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Adobe'!$L$39:$O$39</c:f>
              <c:numCache>
                <c:formatCode>mmm\-yy</c:formatCode>
                <c:ptCount val="4"/>
                <c:pt idx="0">
                  <c:v>43770</c:v>
                </c:pt>
                <c:pt idx="1">
                  <c:v>44136</c:v>
                </c:pt>
                <c:pt idx="2">
                  <c:v>44502</c:v>
                </c:pt>
                <c:pt idx="3">
                  <c:v>44868</c:v>
                </c:pt>
              </c:numCache>
            </c:numRef>
          </c:cat>
          <c:val>
            <c:numRef>
              <c:f>'Analysis- Adobe'!$L$41:$O$41</c:f>
              <c:numCache>
                <c:formatCode>0.0%</c:formatCode>
                <c:ptCount val="4"/>
                <c:pt idx="0">
                  <c:v>0.14213466910702244</c:v>
                </c:pt>
                <c:pt idx="1">
                  <c:v>0.2166035249547027</c:v>
                </c:pt>
                <c:pt idx="2">
                  <c:v>0.1770125913145626</c:v>
                </c:pt>
                <c:pt idx="3">
                  <c:v>0.17507822565801584</c:v>
                </c:pt>
              </c:numCache>
            </c:numRef>
          </c:val>
          <c:extLst>
            <c:ext xmlns:c16="http://schemas.microsoft.com/office/drawing/2014/chart" uri="{C3380CC4-5D6E-409C-BE32-E72D297353CC}">
              <c16:uniqueId val="{00000000-9E9C-4A0B-9246-8E8E524059DA}"/>
            </c:ext>
          </c:extLst>
        </c:ser>
        <c:ser>
          <c:idx val="1"/>
          <c:order val="1"/>
          <c:tx>
            <c:strRef>
              <c:f>'Analysis- Adobe'!$B$42</c:f>
              <c:strCache>
                <c:ptCount val="1"/>
                <c:pt idx="0">
                  <c:v>Return on Capital Employed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Adobe'!$L$39:$O$39</c:f>
              <c:numCache>
                <c:formatCode>mmm\-yy</c:formatCode>
                <c:ptCount val="4"/>
                <c:pt idx="0">
                  <c:v>43770</c:v>
                </c:pt>
                <c:pt idx="1">
                  <c:v>44136</c:v>
                </c:pt>
                <c:pt idx="2">
                  <c:v>44502</c:v>
                </c:pt>
                <c:pt idx="3">
                  <c:v>44868</c:v>
                </c:pt>
              </c:numCache>
            </c:numRef>
          </c:cat>
          <c:val>
            <c:numRef>
              <c:f>'Analysis- Adobe'!$L$42:$O$42</c:f>
              <c:numCache>
                <c:formatCode>0.0%</c:formatCode>
                <c:ptCount val="4"/>
                <c:pt idx="0">
                  <c:v>0.20118625579492774</c:v>
                </c:pt>
                <c:pt idx="1">
                  <c:v>0.30262930786490994</c:v>
                </c:pt>
                <c:pt idx="2">
                  <c:v>0.25486257928118394</c:v>
                </c:pt>
                <c:pt idx="3">
                  <c:v>0.26160616061606162</c:v>
                </c:pt>
              </c:numCache>
            </c:numRef>
          </c:val>
          <c:extLst>
            <c:ext xmlns:c16="http://schemas.microsoft.com/office/drawing/2014/chart" uri="{C3380CC4-5D6E-409C-BE32-E72D297353CC}">
              <c16:uniqueId val="{00000001-9E9C-4A0B-9246-8E8E524059DA}"/>
            </c:ext>
          </c:extLst>
        </c:ser>
        <c:dLbls>
          <c:showLegendKey val="0"/>
          <c:showVal val="0"/>
          <c:showCatName val="0"/>
          <c:showSerName val="0"/>
          <c:showPercent val="0"/>
          <c:showBubbleSize val="0"/>
        </c:dLbls>
        <c:gapWidth val="219"/>
        <c:overlap val="-27"/>
        <c:axId val="1527100480"/>
        <c:axId val="1527100896"/>
      </c:barChart>
      <c:dateAx>
        <c:axId val="15271004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00896"/>
        <c:crosses val="autoZero"/>
        <c:auto val="1"/>
        <c:lblOffset val="100"/>
        <c:baseTimeUnit val="years"/>
      </c:dateAx>
      <c:valAx>
        <c:axId val="152710089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0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r>
              <a:rPr lang="en-IN" baseline="0"/>
              <a:t> Ratio</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FF5050"/>
              </a:solidFill>
              <a:round/>
            </a:ln>
            <a:effectLst/>
          </c:spPr>
          <c:marker>
            <c:symbol val="none"/>
          </c:marker>
          <c:dLbls>
            <c:dLbl>
              <c:idx val="3"/>
              <c:layout>
                <c:manualLayout>
                  <c:x val="-4.4337270341207352E-2"/>
                  <c:y val="-6.06145553008406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089-41D1-BADD-C64F7C9244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Adobe'!$L$48:$O$48</c:f>
              <c:numCache>
                <c:formatCode>mmm\-yy</c:formatCode>
                <c:ptCount val="4"/>
                <c:pt idx="0">
                  <c:v>43770</c:v>
                </c:pt>
                <c:pt idx="1">
                  <c:v>44136</c:v>
                </c:pt>
                <c:pt idx="2">
                  <c:v>44502</c:v>
                </c:pt>
                <c:pt idx="3">
                  <c:v>44868</c:v>
                </c:pt>
              </c:numCache>
            </c:numRef>
          </c:cat>
          <c:val>
            <c:numRef>
              <c:f>'Analysis- Adobe'!$L$50:$O$50</c:f>
              <c:numCache>
                <c:formatCode>#,##0.00\x</c:formatCode>
                <c:ptCount val="4"/>
                <c:pt idx="0">
                  <c:v>53.907150118603866</c:v>
                </c:pt>
                <c:pt idx="1">
                  <c:v>45.610266159695819</c:v>
                </c:pt>
                <c:pt idx="2">
                  <c:v>55.858564910825386</c:v>
                </c:pt>
                <c:pt idx="3">
                  <c:v>32.895290159798151</c:v>
                </c:pt>
              </c:numCache>
            </c:numRef>
          </c:val>
          <c:smooth val="0"/>
          <c:extLst>
            <c:ext xmlns:c16="http://schemas.microsoft.com/office/drawing/2014/chart" uri="{C3380CC4-5D6E-409C-BE32-E72D297353CC}">
              <c16:uniqueId val="{00000000-5089-41D1-BADD-C64F7C9244C6}"/>
            </c:ext>
          </c:extLst>
        </c:ser>
        <c:dLbls>
          <c:showLegendKey val="0"/>
          <c:showVal val="0"/>
          <c:showCatName val="0"/>
          <c:showSerName val="0"/>
          <c:showPercent val="0"/>
          <c:showBubbleSize val="0"/>
        </c:dLbls>
        <c:smooth val="0"/>
        <c:axId val="1527128352"/>
        <c:axId val="1527131680"/>
      </c:lineChart>
      <c:dateAx>
        <c:axId val="15271283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31680"/>
        <c:crosses val="autoZero"/>
        <c:auto val="1"/>
        <c:lblOffset val="100"/>
        <c:baseTimeUnit val="years"/>
      </c:dateAx>
      <c:valAx>
        <c:axId val="1527131680"/>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1283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Qualcomm'!$B$26</c:f>
              <c:strCache>
                <c:ptCount val="1"/>
                <c:pt idx="0">
                  <c:v>Debt to Equity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Qualcomm'!$L$24:$O$24</c:f>
              <c:numCache>
                <c:formatCode>mmm\-yy</c:formatCode>
                <c:ptCount val="4"/>
                <c:pt idx="0">
                  <c:v>43709</c:v>
                </c:pt>
                <c:pt idx="1">
                  <c:v>44075</c:v>
                </c:pt>
                <c:pt idx="2">
                  <c:v>44441</c:v>
                </c:pt>
                <c:pt idx="3">
                  <c:v>44807</c:v>
                </c:pt>
              </c:numCache>
            </c:numRef>
          </c:cat>
          <c:val>
            <c:numRef>
              <c:f>'Analysis- Qualcomm'!$L$26:$O$26</c:f>
              <c:numCache>
                <c:formatCode>#,##0.00\x</c:formatCode>
                <c:ptCount val="4"/>
                <c:pt idx="0">
                  <c:v>3.2456712161336321</c:v>
                </c:pt>
                <c:pt idx="1">
                  <c:v>2.5877900279743296</c:v>
                </c:pt>
                <c:pt idx="2">
                  <c:v>1.5824120603015075</c:v>
                </c:pt>
                <c:pt idx="3">
                  <c:v>0.85949036806750678</c:v>
                </c:pt>
              </c:numCache>
            </c:numRef>
          </c:val>
          <c:extLst>
            <c:ext xmlns:c16="http://schemas.microsoft.com/office/drawing/2014/chart" uri="{C3380CC4-5D6E-409C-BE32-E72D297353CC}">
              <c16:uniqueId val="{00000000-5B42-4A21-AA4E-05F281F5226C}"/>
            </c:ext>
          </c:extLst>
        </c:ser>
        <c:ser>
          <c:idx val="1"/>
          <c:order val="1"/>
          <c:tx>
            <c:strRef>
              <c:f>'Analysis- Qualcomm'!$B$27</c:f>
              <c:strCache>
                <c:ptCount val="1"/>
                <c:pt idx="0">
                  <c:v>Debt to Capital Ratio</c:v>
                </c:pt>
              </c:strCache>
            </c:strRef>
          </c:tx>
          <c:spPr>
            <a:solidFill>
              <a:srgbClr val="3333FF"/>
            </a:solidFill>
            <a:ln>
              <a:noFill/>
            </a:ln>
            <a:effectLst/>
          </c:spPr>
          <c:invertIfNegative val="0"/>
          <c:dLbls>
            <c:dLbl>
              <c:idx val="0"/>
              <c:layout>
                <c:manualLayout>
                  <c:x val="2.9686174724342623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B42-4A21-AA4E-05F281F5226C}"/>
                </c:ext>
              </c:extLst>
            </c:dLbl>
            <c:dLbl>
              <c:idx val="1"/>
              <c:layout>
                <c:manualLayout>
                  <c:x val="2.1204410517387615E-2"/>
                  <c:y val="6.060606060606060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B42-4A21-AA4E-05F281F5226C}"/>
                </c:ext>
              </c:extLst>
            </c:dLbl>
            <c:dLbl>
              <c:idx val="2"/>
              <c:layout>
                <c:manualLayout>
                  <c:x val="1.6963528413910016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B42-4A21-AA4E-05F281F5226C}"/>
                </c:ext>
              </c:extLst>
            </c:dLbl>
            <c:dLbl>
              <c:idx val="3"/>
              <c:layout>
                <c:manualLayout>
                  <c:x val="2.1204410517387615E-2"/>
                  <c:y val="6.060606060606060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B42-4A21-AA4E-05F281F522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Qualcomm'!$L$24:$O$24</c:f>
              <c:numCache>
                <c:formatCode>mmm\-yy</c:formatCode>
                <c:ptCount val="4"/>
                <c:pt idx="0">
                  <c:v>43709</c:v>
                </c:pt>
                <c:pt idx="1">
                  <c:v>44075</c:v>
                </c:pt>
                <c:pt idx="2">
                  <c:v>44441</c:v>
                </c:pt>
                <c:pt idx="3">
                  <c:v>44807</c:v>
                </c:pt>
              </c:numCache>
            </c:numRef>
          </c:cat>
          <c:val>
            <c:numRef>
              <c:f>'Analysis- Qualcomm'!$L$27:$O$27</c:f>
              <c:numCache>
                <c:formatCode>#,##0.00\x</c:formatCode>
                <c:ptCount val="4"/>
                <c:pt idx="0">
                  <c:v>0.76446598215142514</c:v>
                </c:pt>
                <c:pt idx="1">
                  <c:v>0.72127688850158234</c:v>
                </c:pt>
                <c:pt idx="2">
                  <c:v>0.61276512940260752</c:v>
                </c:pt>
                <c:pt idx="3">
                  <c:v>0.46221824152858637</c:v>
                </c:pt>
              </c:numCache>
            </c:numRef>
          </c:val>
          <c:extLst>
            <c:ext xmlns:c16="http://schemas.microsoft.com/office/drawing/2014/chart" uri="{C3380CC4-5D6E-409C-BE32-E72D297353CC}">
              <c16:uniqueId val="{00000001-5B42-4A21-AA4E-05F281F5226C}"/>
            </c:ext>
          </c:extLst>
        </c:ser>
        <c:dLbls>
          <c:showLegendKey val="0"/>
          <c:showVal val="0"/>
          <c:showCatName val="0"/>
          <c:showSerName val="0"/>
          <c:showPercent val="0"/>
          <c:showBubbleSize val="0"/>
        </c:dLbls>
        <c:gapWidth val="219"/>
        <c:overlap val="-27"/>
        <c:axId val="1430805136"/>
        <c:axId val="1430805552"/>
      </c:barChart>
      <c:dateAx>
        <c:axId val="14308051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05552"/>
        <c:crosses val="autoZero"/>
        <c:auto val="1"/>
        <c:lblOffset val="100"/>
        <c:baseTimeUnit val="years"/>
      </c:dateAx>
      <c:valAx>
        <c:axId val="1430805552"/>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805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ROCE</a:t>
            </a:r>
          </a:p>
        </c:rich>
      </c:tx>
      <c:layout>
        <c:manualLayout>
          <c:xMode val="edge"/>
          <c:yMode val="edge"/>
          <c:x val="0.42649981252343455"/>
          <c:y val="5.07893386020474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3333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Qualcomm'!$L$40:$O$40</c:f>
              <c:numCache>
                <c:formatCode>mmm\-yy</c:formatCode>
                <c:ptCount val="4"/>
                <c:pt idx="0">
                  <c:v>43709</c:v>
                </c:pt>
                <c:pt idx="1">
                  <c:v>44075</c:v>
                </c:pt>
                <c:pt idx="2">
                  <c:v>44441</c:v>
                </c:pt>
                <c:pt idx="3">
                  <c:v>44807</c:v>
                </c:pt>
              </c:numCache>
            </c:numRef>
          </c:cat>
          <c:val>
            <c:numRef>
              <c:f>'Analysis- Qualcomm'!$L$43:$O$43</c:f>
              <c:numCache>
                <c:formatCode>0.0%</c:formatCode>
                <c:ptCount val="4"/>
                <c:pt idx="0">
                  <c:v>0.21044045676998369</c:v>
                </c:pt>
                <c:pt idx="1">
                  <c:v>0.2384075585928542</c:v>
                </c:pt>
                <c:pt idx="2">
                  <c:v>0.35193617435298696</c:v>
                </c:pt>
                <c:pt idx="3">
                  <c:v>0.38620689655172413</c:v>
                </c:pt>
              </c:numCache>
            </c:numRef>
          </c:val>
          <c:smooth val="0"/>
          <c:extLst>
            <c:ext xmlns:c16="http://schemas.microsoft.com/office/drawing/2014/chart" uri="{C3380CC4-5D6E-409C-BE32-E72D297353CC}">
              <c16:uniqueId val="{00000000-9972-426D-89AE-77FD9059424A}"/>
            </c:ext>
          </c:extLst>
        </c:ser>
        <c:dLbls>
          <c:showLegendKey val="0"/>
          <c:showVal val="0"/>
          <c:showCatName val="0"/>
          <c:showSerName val="0"/>
          <c:showPercent val="0"/>
          <c:showBubbleSize val="0"/>
        </c:dLbls>
        <c:smooth val="0"/>
        <c:axId val="1433264432"/>
        <c:axId val="1433264848"/>
      </c:lineChart>
      <c:dateAx>
        <c:axId val="1433264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64848"/>
        <c:crosses val="autoZero"/>
        <c:auto val="1"/>
        <c:lblOffset val="100"/>
        <c:baseTimeUnit val="years"/>
      </c:dateAx>
      <c:valAx>
        <c:axId val="14332648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644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r>
              <a:rPr lang="en-IN" baseline="0"/>
              <a:t> vs ROA</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50355838771988"/>
          <c:y val="0.2046909492273731"/>
          <c:w val="0.80344672686085383"/>
          <c:h val="0.5410409170707966"/>
        </c:manualLayout>
      </c:layout>
      <c:lineChart>
        <c:grouping val="standard"/>
        <c:varyColors val="0"/>
        <c:ser>
          <c:idx val="0"/>
          <c:order val="0"/>
          <c:tx>
            <c:strRef>
              <c:f>'Analysis-NVIDIA'!$B$39</c:f>
              <c:strCache>
                <c:ptCount val="1"/>
                <c:pt idx="0">
                  <c:v>Return on Equity</c:v>
                </c:pt>
              </c:strCache>
            </c:strRef>
          </c:tx>
          <c:spPr>
            <a:ln w="28575" cap="rnd">
              <a:solidFill>
                <a:schemeClr val="accent6">
                  <a:lumMod val="75000"/>
                </a:schemeClr>
              </a:solidFill>
              <a:round/>
            </a:ln>
            <a:effectLst/>
          </c:spPr>
          <c:marker>
            <c:symbol val="none"/>
          </c:marker>
          <c:dLbls>
            <c:dLbl>
              <c:idx val="0"/>
              <c:layout>
                <c:manualLayout>
                  <c:x val="-0.12099641273447177"/>
                  <c:y val="-3.583068258851749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373D-44DB-84E7-FD4BFE4E793F}"/>
                </c:ext>
              </c:extLst>
            </c:dLbl>
            <c:dLbl>
              <c:idx val="1"/>
              <c:layout>
                <c:manualLayout>
                  <c:x val="-7.2096657233249262E-2"/>
                  <c:y val="-3.583068258851749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73D-44DB-84E7-FD4BFE4E793F}"/>
                </c:ext>
              </c:extLst>
            </c:dLbl>
            <c:dLbl>
              <c:idx val="2"/>
              <c:layout>
                <c:manualLayout>
                  <c:x val="-7.617163685835121E-2"/>
                  <c:y val="-4.686821018233652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373D-44DB-84E7-FD4BFE4E793F}"/>
                </c:ext>
              </c:extLst>
            </c:dLbl>
            <c:dLbl>
              <c:idx val="3"/>
              <c:layout>
                <c:manualLayout>
                  <c:x val="-5.5796738732841918E-2"/>
                  <c:y val="-4.686821018233652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73D-44DB-84E7-FD4BFE4E79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'Analysis-NVIDIA'!$L$38:$O$38</c:f>
              <c:numCache>
                <c:formatCode>mmm\-yy</c:formatCode>
                <c:ptCount val="4"/>
                <c:pt idx="0">
                  <c:v>43831</c:v>
                </c:pt>
                <c:pt idx="1">
                  <c:v>44197</c:v>
                </c:pt>
                <c:pt idx="2">
                  <c:v>44563</c:v>
                </c:pt>
                <c:pt idx="3">
                  <c:v>44929</c:v>
                </c:pt>
              </c:numCache>
            </c:numRef>
          </c:cat>
          <c:val>
            <c:numRef>
              <c:f>'Analysis-NVIDIA'!$L$39:$O$39</c:f>
              <c:numCache>
                <c:formatCode>0.0%</c:formatCode>
                <c:ptCount val="4"/>
                <c:pt idx="0">
                  <c:v>0.19763811592235644</c:v>
                </c:pt>
                <c:pt idx="1">
                  <c:v>0.36645122501127309</c:v>
                </c:pt>
                <c:pt idx="2">
                  <c:v>0.25643757769490322</c:v>
                </c:pt>
                <c:pt idx="3">
                  <c:v>0.22910521140609635</c:v>
                </c:pt>
              </c:numCache>
            </c:numRef>
          </c:val>
          <c:smooth val="0"/>
          <c:extLst>
            <c:ext xmlns:c16="http://schemas.microsoft.com/office/drawing/2014/chart" uri="{C3380CC4-5D6E-409C-BE32-E72D297353CC}">
              <c16:uniqueId val="{00000000-373D-44DB-84E7-FD4BFE4E793F}"/>
            </c:ext>
          </c:extLst>
        </c:ser>
        <c:ser>
          <c:idx val="1"/>
          <c:order val="1"/>
          <c:tx>
            <c:strRef>
              <c:f>'Analysis-NVIDIA'!$B$40</c:f>
              <c:strCache>
                <c:ptCount val="1"/>
                <c:pt idx="0">
                  <c:v>Return on Asset</c:v>
                </c:pt>
              </c:strCache>
            </c:strRef>
          </c:tx>
          <c:spPr>
            <a:ln w="28575" cap="rnd">
              <a:solidFill>
                <a:srgbClr val="92D050"/>
              </a:solidFill>
              <a:round/>
            </a:ln>
            <a:effectLst/>
          </c:spPr>
          <c:marker>
            <c:symbol val="none"/>
          </c:marker>
          <c:dLbls>
            <c:dLbl>
              <c:idx val="0"/>
              <c:layout>
                <c:manualLayout>
                  <c:x val="-0.12099641273447177"/>
                  <c:y val="-3.031191879160800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73D-44DB-84E7-FD4BFE4E793F}"/>
                </c:ext>
              </c:extLst>
            </c:dLbl>
            <c:dLbl>
              <c:idx val="1"/>
              <c:layout>
                <c:manualLayout>
                  <c:x val="-7.6171636858351141E-2"/>
                  <c:y val="-3.031191879160800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373D-44DB-84E7-FD4BFE4E793F}"/>
                </c:ext>
              </c:extLst>
            </c:dLbl>
            <c:dLbl>
              <c:idx val="2"/>
              <c:layout>
                <c:manualLayout>
                  <c:x val="-6.8021677608147313E-2"/>
                  <c:y val="-4.6868210182336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373D-44DB-84E7-FD4BFE4E793F}"/>
                </c:ext>
              </c:extLst>
            </c:dLbl>
            <c:dLbl>
              <c:idx val="3"/>
              <c:layout>
                <c:manualLayout>
                  <c:x val="-5.5796738732841918E-2"/>
                  <c:y val="-3.031191879160800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73D-44DB-84E7-FD4BFE4E79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'Analysis-NVIDIA'!$L$38:$O$38</c:f>
              <c:numCache>
                <c:formatCode>mmm\-yy</c:formatCode>
                <c:ptCount val="4"/>
                <c:pt idx="0">
                  <c:v>43831</c:v>
                </c:pt>
                <c:pt idx="1">
                  <c:v>44197</c:v>
                </c:pt>
                <c:pt idx="2">
                  <c:v>44563</c:v>
                </c:pt>
                <c:pt idx="3">
                  <c:v>44929</c:v>
                </c:pt>
              </c:numCache>
            </c:numRef>
          </c:cat>
          <c:val>
            <c:numRef>
              <c:f>'Analysis-NVIDIA'!$L$40:$O$40</c:f>
              <c:numCache>
                <c:formatCode>0.0%</c:formatCode>
                <c:ptCount val="4"/>
                <c:pt idx="0">
                  <c:v>0.10606575688407557</c:v>
                </c:pt>
                <c:pt idx="1">
                  <c:v>0.22069839545567702</c:v>
                </c:pt>
                <c:pt idx="2">
                  <c:v>0.15046368656871939</c:v>
                </c:pt>
                <c:pt idx="3">
                  <c:v>0.16147848686110308</c:v>
                </c:pt>
              </c:numCache>
            </c:numRef>
          </c:val>
          <c:smooth val="0"/>
          <c:extLst>
            <c:ext xmlns:c16="http://schemas.microsoft.com/office/drawing/2014/chart" uri="{C3380CC4-5D6E-409C-BE32-E72D297353CC}">
              <c16:uniqueId val="{00000001-373D-44DB-84E7-FD4BFE4E793F}"/>
            </c:ext>
          </c:extLst>
        </c:ser>
        <c:dLbls>
          <c:showLegendKey val="0"/>
          <c:showVal val="0"/>
          <c:showCatName val="0"/>
          <c:showSerName val="0"/>
          <c:showPercent val="0"/>
          <c:showBubbleSize val="0"/>
        </c:dLbls>
        <c:smooth val="0"/>
        <c:axId val="686967936"/>
        <c:axId val="686972928"/>
      </c:lineChart>
      <c:dateAx>
        <c:axId val="6869679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72928"/>
        <c:crosses val="autoZero"/>
        <c:auto val="1"/>
        <c:lblOffset val="100"/>
        <c:baseTimeUnit val="years"/>
      </c:dateAx>
      <c:valAx>
        <c:axId val="68697292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67936"/>
        <c:crosses val="autoZero"/>
        <c:crossBetween val="between"/>
      </c:valAx>
      <c:spPr>
        <a:noFill/>
        <a:ln>
          <a:noFill/>
        </a:ln>
        <a:effectLst/>
      </c:spPr>
    </c:plotArea>
    <c:legend>
      <c:legendPos val="b"/>
      <c:layout>
        <c:manualLayout>
          <c:xMode val="edge"/>
          <c:yMode val="edge"/>
          <c:x val="9.8442694663167241E-3"/>
          <c:y val="0.89409667541557303"/>
          <c:w val="0.98586701662292209"/>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022857902255889"/>
          <c:y val="0.20005393743257824"/>
          <c:w val="0.79648028173693475"/>
          <c:h val="0.55143804839928989"/>
        </c:manualLayout>
      </c:layout>
      <c:lineChart>
        <c:grouping val="standard"/>
        <c:varyColors val="0"/>
        <c:ser>
          <c:idx val="0"/>
          <c:order val="0"/>
          <c:tx>
            <c:strRef>
              <c:f>'Analysis- Qualcomm'!$B$45</c:f>
              <c:strCache>
                <c:ptCount val="1"/>
                <c:pt idx="0">
                  <c:v>EBITDA Margin</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Qualcomm'!$L$40:$O$40</c:f>
              <c:numCache>
                <c:formatCode>mmm\-yy</c:formatCode>
                <c:ptCount val="4"/>
                <c:pt idx="0">
                  <c:v>43709</c:v>
                </c:pt>
                <c:pt idx="1">
                  <c:v>44075</c:v>
                </c:pt>
                <c:pt idx="2">
                  <c:v>44441</c:v>
                </c:pt>
                <c:pt idx="3">
                  <c:v>44807</c:v>
                </c:pt>
              </c:numCache>
            </c:numRef>
          </c:cat>
          <c:val>
            <c:numRef>
              <c:f>'Analysis- Qualcomm'!$L$45:$O$45</c:f>
              <c:numCache>
                <c:formatCode>0.0%</c:formatCode>
                <c:ptCount val="4"/>
                <c:pt idx="0">
                  <c:v>0.39175215259753637</c:v>
                </c:pt>
                <c:pt idx="1">
                  <c:v>0.32782287195614296</c:v>
                </c:pt>
                <c:pt idx="2">
                  <c:v>0.36986831913245544</c:v>
                </c:pt>
                <c:pt idx="3">
                  <c:v>0.39027149321266968</c:v>
                </c:pt>
              </c:numCache>
            </c:numRef>
          </c:val>
          <c:smooth val="0"/>
          <c:extLst>
            <c:ext xmlns:c16="http://schemas.microsoft.com/office/drawing/2014/chart" uri="{C3380CC4-5D6E-409C-BE32-E72D297353CC}">
              <c16:uniqueId val="{00000000-C63D-4597-8F19-3B0A3B3531CB}"/>
            </c:ext>
          </c:extLst>
        </c:ser>
        <c:ser>
          <c:idx val="1"/>
          <c:order val="1"/>
          <c:tx>
            <c:strRef>
              <c:f>'Analysis- Qualcomm'!$B$46</c:f>
              <c:strCache>
                <c:ptCount val="1"/>
                <c:pt idx="0">
                  <c:v>Net Margin</c:v>
                </c:pt>
              </c:strCache>
            </c:strRef>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Qualcomm'!$L$40:$O$40</c:f>
              <c:numCache>
                <c:formatCode>mmm\-yy</c:formatCode>
                <c:ptCount val="4"/>
                <c:pt idx="0">
                  <c:v>43709</c:v>
                </c:pt>
                <c:pt idx="1">
                  <c:v>44075</c:v>
                </c:pt>
                <c:pt idx="2">
                  <c:v>44441</c:v>
                </c:pt>
                <c:pt idx="3">
                  <c:v>44807</c:v>
                </c:pt>
              </c:numCache>
            </c:numRef>
          </c:cat>
          <c:val>
            <c:numRef>
              <c:f>'Analysis- Qualcomm'!$L$46:$O$46</c:f>
              <c:numCache>
                <c:formatCode>0.0%</c:formatCode>
                <c:ptCount val="4"/>
                <c:pt idx="0">
                  <c:v>0.18069459893709058</c:v>
                </c:pt>
                <c:pt idx="1">
                  <c:v>0.22090008924397603</c:v>
                </c:pt>
                <c:pt idx="2">
                  <c:v>0.2694095215396532</c:v>
                </c:pt>
                <c:pt idx="3">
                  <c:v>0.29266968325791853</c:v>
                </c:pt>
              </c:numCache>
            </c:numRef>
          </c:val>
          <c:smooth val="0"/>
          <c:extLst>
            <c:ext xmlns:c16="http://schemas.microsoft.com/office/drawing/2014/chart" uri="{C3380CC4-5D6E-409C-BE32-E72D297353CC}">
              <c16:uniqueId val="{00000001-C63D-4597-8F19-3B0A3B3531CB}"/>
            </c:ext>
          </c:extLst>
        </c:ser>
        <c:dLbls>
          <c:showLegendKey val="0"/>
          <c:showVal val="0"/>
          <c:showCatName val="0"/>
          <c:showSerName val="0"/>
          <c:showPercent val="0"/>
          <c:showBubbleSize val="0"/>
        </c:dLbls>
        <c:smooth val="0"/>
        <c:axId val="1521625088"/>
        <c:axId val="1521625920"/>
      </c:lineChart>
      <c:dateAx>
        <c:axId val="15216250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25920"/>
        <c:crosses val="autoZero"/>
        <c:auto val="1"/>
        <c:lblOffset val="100"/>
        <c:baseTimeUnit val="years"/>
      </c:dateAx>
      <c:valAx>
        <c:axId val="15216259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625088"/>
        <c:crosses val="autoZero"/>
        <c:crossBetween val="between"/>
      </c:valAx>
      <c:spPr>
        <a:solidFill>
          <a:schemeClr val="bg1"/>
        </a:soli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r>
              <a:rPr lang="en-IN" baseline="0"/>
              <a:t> vs P/S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Qualcomm'!$B$50</c:f>
              <c:strCache>
                <c:ptCount val="1"/>
                <c:pt idx="0">
                  <c:v>Price to Sales</c:v>
                </c:pt>
              </c:strCache>
            </c:strRef>
          </c:tx>
          <c:spPr>
            <a:ln w="28575" cap="rnd">
              <a:solidFill>
                <a:schemeClr val="accent1"/>
              </a:solidFill>
              <a:round/>
            </a:ln>
            <a:effectLst/>
          </c:spPr>
          <c:marker>
            <c:symbol val="none"/>
          </c:marker>
          <c:dLbls>
            <c:dLbl>
              <c:idx val="0"/>
              <c:layout>
                <c:manualLayout>
                  <c:x val="-0.10126467400530158"/>
                  <c:y val="-4.983873054600580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5CF-4421-8546-BD8828BF7789}"/>
                </c:ext>
              </c:extLst>
            </c:dLbl>
            <c:dLbl>
              <c:idx val="1"/>
              <c:layout>
                <c:manualLayout>
                  <c:x val="-7.224311513299643E-2"/>
                  <c:y val="-5.570727514694465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15CF-4421-8546-BD8828BF7789}"/>
                </c:ext>
              </c:extLst>
            </c:dLbl>
            <c:dLbl>
              <c:idx val="2"/>
              <c:layout>
                <c:manualLayout>
                  <c:x val="-6.809717815123871E-2"/>
                  <c:y val="-4.397018594506672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5CF-4421-8546-BD8828BF7789}"/>
                </c:ext>
              </c:extLst>
            </c:dLbl>
            <c:dLbl>
              <c:idx val="3"/>
              <c:layout>
                <c:manualLayout>
                  <c:x val="-6.3951241169480685E-2"/>
                  <c:y val="-4.397018594506672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5CF-4421-8546-BD8828BF77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Qualcomm'!$L$49:$O$49</c:f>
              <c:numCache>
                <c:formatCode>mmm\-yy</c:formatCode>
                <c:ptCount val="4"/>
                <c:pt idx="0">
                  <c:v>43709</c:v>
                </c:pt>
                <c:pt idx="1">
                  <c:v>44075</c:v>
                </c:pt>
                <c:pt idx="2">
                  <c:v>44441</c:v>
                </c:pt>
                <c:pt idx="3">
                  <c:v>44807</c:v>
                </c:pt>
              </c:numCache>
            </c:numRef>
          </c:cat>
          <c:val>
            <c:numRef>
              <c:f>'Analysis- Qualcomm'!$L$50:$O$50</c:f>
              <c:numCache>
                <c:formatCode>#,##0.00\x</c:formatCode>
                <c:ptCount val="4"/>
                <c:pt idx="0">
                  <c:v>4.1544102500720967</c:v>
                </c:pt>
                <c:pt idx="1">
                  <c:v>7.3218307764225914</c:v>
                </c:pt>
                <c:pt idx="2">
                  <c:v>6.128820830602395</c:v>
                </c:pt>
                <c:pt idx="3">
                  <c:v>2.7882352941176469</c:v>
                </c:pt>
              </c:numCache>
            </c:numRef>
          </c:val>
          <c:smooth val="0"/>
          <c:extLst>
            <c:ext xmlns:c16="http://schemas.microsoft.com/office/drawing/2014/chart" uri="{C3380CC4-5D6E-409C-BE32-E72D297353CC}">
              <c16:uniqueId val="{00000000-15CF-4421-8546-BD8828BF7789}"/>
            </c:ext>
          </c:extLst>
        </c:ser>
        <c:ser>
          <c:idx val="1"/>
          <c:order val="1"/>
          <c:tx>
            <c:strRef>
              <c:f>'Analysis- Qualcomm'!$B$51</c:f>
              <c:strCache>
                <c:ptCount val="1"/>
                <c:pt idx="0">
                  <c:v>Price to Earnings</c:v>
                </c:pt>
              </c:strCache>
            </c:strRef>
          </c:tx>
          <c:spPr>
            <a:ln w="28575" cap="rnd">
              <a:solidFill>
                <a:srgbClr val="0000CC"/>
              </a:solidFill>
              <a:round/>
            </a:ln>
            <a:effectLst/>
          </c:spPr>
          <c:marker>
            <c:symbol val="none"/>
          </c:marker>
          <c:dLbls>
            <c:dLbl>
              <c:idx val="0"/>
              <c:layout>
                <c:manualLayout>
                  <c:x val="-0.13144709523249895"/>
                  <c:y val="-3.81016413441277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15CF-4421-8546-BD8828BF7789}"/>
                </c:ext>
              </c:extLst>
            </c:dLbl>
            <c:dLbl>
              <c:idx val="1"/>
              <c:layout>
                <c:manualLayout>
                  <c:x val="-8.5841788433162272E-2"/>
                  <c:y val="-3.81016413441277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15CF-4421-8546-BD8828BF77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Qualcomm'!$L$49:$O$49</c:f>
              <c:numCache>
                <c:formatCode>mmm\-yy</c:formatCode>
                <c:ptCount val="4"/>
                <c:pt idx="0">
                  <c:v>43709</c:v>
                </c:pt>
                <c:pt idx="1">
                  <c:v>44075</c:v>
                </c:pt>
                <c:pt idx="2">
                  <c:v>44441</c:v>
                </c:pt>
                <c:pt idx="3">
                  <c:v>44807</c:v>
                </c:pt>
              </c:numCache>
            </c:numRef>
          </c:cat>
          <c:val>
            <c:numRef>
              <c:f>'Analysis- Qualcomm'!$L$51:$O$51</c:f>
              <c:numCache>
                <c:formatCode>#,##0.00\x</c:formatCode>
                <c:ptCount val="4"/>
                <c:pt idx="0">
                  <c:v>22.991336069311444</c:v>
                </c:pt>
                <c:pt idx="1">
                  <c:v>33.145440554059256</c:v>
                </c:pt>
                <c:pt idx="2">
                  <c:v>22.749087692137564</c:v>
                </c:pt>
                <c:pt idx="3">
                  <c:v>9.5269016697588125</c:v>
                </c:pt>
              </c:numCache>
            </c:numRef>
          </c:val>
          <c:smooth val="0"/>
          <c:extLst>
            <c:ext xmlns:c16="http://schemas.microsoft.com/office/drawing/2014/chart" uri="{C3380CC4-5D6E-409C-BE32-E72D297353CC}">
              <c16:uniqueId val="{00000001-15CF-4421-8546-BD8828BF7789}"/>
            </c:ext>
          </c:extLst>
        </c:ser>
        <c:dLbls>
          <c:showLegendKey val="0"/>
          <c:showVal val="0"/>
          <c:showCatName val="0"/>
          <c:showSerName val="0"/>
          <c:showPercent val="0"/>
          <c:showBubbleSize val="0"/>
        </c:dLbls>
        <c:smooth val="0"/>
        <c:axId val="1439415584"/>
        <c:axId val="1439416000"/>
      </c:lineChart>
      <c:dateAx>
        <c:axId val="14394155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16000"/>
        <c:crosses val="autoZero"/>
        <c:auto val="1"/>
        <c:lblOffset val="100"/>
        <c:baseTimeUnit val="years"/>
      </c:dateAx>
      <c:valAx>
        <c:axId val="1439416000"/>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15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Tesla'!$B$25</c:f>
              <c:strCache>
                <c:ptCount val="1"/>
                <c:pt idx="0">
                  <c:v>Debt to Equity Ratio</c:v>
                </c:pt>
              </c:strCache>
            </c:strRef>
          </c:tx>
          <c:spPr>
            <a:solidFill>
              <a:srgbClr val="FF5050"/>
            </a:solidFill>
            <a:ln>
              <a:noFill/>
            </a:ln>
            <a:effectLst/>
          </c:spPr>
          <c:invertIfNegative val="0"/>
          <c:dLbls>
            <c:dLbl>
              <c:idx val="2"/>
              <c:layout>
                <c:manualLayout>
                  <c:x val="-1.5432098765432169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DFBF-4A56-8AFB-2C600996B1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Tesla'!$L$23:$O$23</c:f>
              <c:numCache>
                <c:formatCode>mmm\-yy</c:formatCode>
                <c:ptCount val="4"/>
                <c:pt idx="0">
                  <c:v>43800</c:v>
                </c:pt>
                <c:pt idx="1">
                  <c:v>44166</c:v>
                </c:pt>
                <c:pt idx="2">
                  <c:v>44532</c:v>
                </c:pt>
                <c:pt idx="3">
                  <c:v>44898</c:v>
                </c:pt>
              </c:numCache>
            </c:numRef>
          </c:cat>
          <c:val>
            <c:numRef>
              <c:f>'Analysis- Tesla'!$L$25:$O$25</c:f>
              <c:numCache>
                <c:formatCode>#,##0.00\x</c:formatCode>
                <c:ptCount val="4"/>
                <c:pt idx="0">
                  <c:v>2.0276518585675429</c:v>
                </c:pt>
                <c:pt idx="1">
                  <c:v>0.52589426321709787</c:v>
                </c:pt>
                <c:pt idx="2">
                  <c:v>0.22637384477789924</c:v>
                </c:pt>
                <c:pt idx="3">
                  <c:v>6.9322655690765927E-2</c:v>
                </c:pt>
              </c:numCache>
            </c:numRef>
          </c:val>
          <c:extLst>
            <c:ext xmlns:c16="http://schemas.microsoft.com/office/drawing/2014/chart" uri="{C3380CC4-5D6E-409C-BE32-E72D297353CC}">
              <c16:uniqueId val="{00000000-DFBF-4A56-8AFB-2C600996B104}"/>
            </c:ext>
          </c:extLst>
        </c:ser>
        <c:ser>
          <c:idx val="1"/>
          <c:order val="1"/>
          <c:tx>
            <c:strRef>
              <c:f>'Analysis- Tesla'!$B$26</c:f>
              <c:strCache>
                <c:ptCount val="1"/>
                <c:pt idx="0">
                  <c:v>Debt to Capital Ratio</c:v>
                </c:pt>
              </c:strCache>
            </c:strRef>
          </c:tx>
          <c:spPr>
            <a:solidFill>
              <a:srgbClr val="FF0000"/>
            </a:solidFill>
            <a:ln>
              <a:noFill/>
            </a:ln>
            <a:effectLst/>
          </c:spPr>
          <c:invertIfNegative val="0"/>
          <c:dLbls>
            <c:dLbl>
              <c:idx val="0"/>
              <c:layout>
                <c:manualLayout>
                  <c:x val="1.5432098765432098E-2"/>
                  <c:y val="2.9868578255674922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FBF-4A56-8AFB-2C600996B104}"/>
                </c:ext>
              </c:extLst>
            </c:dLbl>
            <c:dLbl>
              <c:idx val="1"/>
              <c:layout>
                <c:manualLayout>
                  <c:x val="3.8580246913579538E-3"/>
                  <c:y val="2.3894862604540025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FBF-4A56-8AFB-2C600996B104}"/>
                </c:ext>
              </c:extLst>
            </c:dLbl>
            <c:dLbl>
              <c:idx val="2"/>
              <c:layout>
                <c:manualLayout>
                  <c:x val="1.5432098765432098E-2"/>
                  <c:y val="1.792114695340501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FBF-4A56-8AFB-2C600996B104}"/>
                </c:ext>
              </c:extLst>
            </c:dLbl>
            <c:dLbl>
              <c:idx val="3"/>
              <c:layout>
                <c:manualLayout>
                  <c:x val="2.7006172839506171E-2"/>
                  <c:y val="2.3894862604540025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DFBF-4A56-8AFB-2C600996B1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Tesla'!$L$23:$O$23</c:f>
              <c:numCache>
                <c:formatCode>mmm\-yy</c:formatCode>
                <c:ptCount val="4"/>
                <c:pt idx="0">
                  <c:v>43800</c:v>
                </c:pt>
                <c:pt idx="1">
                  <c:v>44166</c:v>
                </c:pt>
                <c:pt idx="2">
                  <c:v>44532</c:v>
                </c:pt>
                <c:pt idx="3">
                  <c:v>44898</c:v>
                </c:pt>
              </c:numCache>
            </c:numRef>
          </c:cat>
          <c:val>
            <c:numRef>
              <c:f>'Analysis- Tesla'!$L$26:$O$26</c:f>
              <c:numCache>
                <c:formatCode>#,##0.00\x</c:formatCode>
                <c:ptCount val="4"/>
                <c:pt idx="0">
                  <c:v>0.66971103458601589</c:v>
                </c:pt>
                <c:pt idx="1">
                  <c:v>0.34464659570076367</c:v>
                </c:pt>
                <c:pt idx="2">
                  <c:v>0.18458795883639897</c:v>
                </c:pt>
                <c:pt idx="3">
                  <c:v>6.4828567244733584E-2</c:v>
                </c:pt>
              </c:numCache>
            </c:numRef>
          </c:val>
          <c:extLst>
            <c:ext xmlns:c16="http://schemas.microsoft.com/office/drawing/2014/chart" uri="{C3380CC4-5D6E-409C-BE32-E72D297353CC}">
              <c16:uniqueId val="{00000001-DFBF-4A56-8AFB-2C600996B104}"/>
            </c:ext>
          </c:extLst>
        </c:ser>
        <c:dLbls>
          <c:showLegendKey val="0"/>
          <c:showVal val="0"/>
          <c:showCatName val="0"/>
          <c:showSerName val="0"/>
          <c:showPercent val="0"/>
          <c:showBubbleSize val="0"/>
        </c:dLbls>
        <c:gapWidth val="219"/>
        <c:overlap val="-27"/>
        <c:axId val="648434304"/>
        <c:axId val="648437632"/>
      </c:barChart>
      <c:dateAx>
        <c:axId val="64843430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37632"/>
        <c:crosses val="autoZero"/>
        <c:auto val="1"/>
        <c:lblOffset val="100"/>
        <c:baseTimeUnit val="years"/>
      </c:dateAx>
      <c:valAx>
        <c:axId val="648437632"/>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34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p>
        </c:rich>
      </c:tx>
      <c:layout>
        <c:manualLayout>
          <c:xMode val="edge"/>
          <c:yMode val="edge"/>
          <c:x val="0.4493918515867335"/>
          <c:y val="4.6228123698559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53489620615605"/>
          <c:y val="0.22195571955719559"/>
          <c:w val="0.80685904318778334"/>
          <c:h val="0.70424354243542431"/>
        </c:manualLayout>
      </c:layout>
      <c:lineChart>
        <c:grouping val="standard"/>
        <c:varyColors val="0"/>
        <c:ser>
          <c:idx val="0"/>
          <c:order val="0"/>
          <c:spPr>
            <a:ln w="28575" cap="rnd">
              <a:solidFill>
                <a:srgbClr val="CC0000"/>
              </a:solidFill>
              <a:round/>
            </a:ln>
            <a:effectLst/>
          </c:spPr>
          <c:marker>
            <c:symbol val="none"/>
          </c:marker>
          <c:dLbls>
            <c:dLbl>
              <c:idx val="0"/>
              <c:layout>
                <c:manualLayout>
                  <c:x val="-7.9810606060606054E-2"/>
                  <c:y val="3.387134265043426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E89-45A6-98B6-B45AEE8DBA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Tesla'!$L$39:$O$39</c:f>
              <c:numCache>
                <c:formatCode>mmm\-yy</c:formatCode>
                <c:ptCount val="4"/>
                <c:pt idx="0">
                  <c:v>43800</c:v>
                </c:pt>
                <c:pt idx="1">
                  <c:v>44166</c:v>
                </c:pt>
                <c:pt idx="2">
                  <c:v>44532</c:v>
                </c:pt>
                <c:pt idx="3">
                  <c:v>44898</c:v>
                </c:pt>
              </c:numCache>
            </c:numRef>
          </c:cat>
          <c:val>
            <c:numRef>
              <c:f>'Analysis- Tesla'!$L$40:$O$40</c:f>
              <c:numCache>
                <c:formatCode>0.0%</c:formatCode>
                <c:ptCount val="4"/>
                <c:pt idx="0">
                  <c:v>-0.13025083106678756</c:v>
                </c:pt>
                <c:pt idx="1">
                  <c:v>3.2440944881889762E-2</c:v>
                </c:pt>
                <c:pt idx="2">
                  <c:v>0.18281493259134121</c:v>
                </c:pt>
                <c:pt idx="3">
                  <c:v>0.28086972083035078</c:v>
                </c:pt>
              </c:numCache>
            </c:numRef>
          </c:val>
          <c:smooth val="0"/>
          <c:extLst>
            <c:ext xmlns:c16="http://schemas.microsoft.com/office/drawing/2014/chart" uri="{C3380CC4-5D6E-409C-BE32-E72D297353CC}">
              <c16:uniqueId val="{00000000-1E89-45A6-98B6-B45AEE8DBAD4}"/>
            </c:ext>
          </c:extLst>
        </c:ser>
        <c:dLbls>
          <c:showLegendKey val="0"/>
          <c:showVal val="0"/>
          <c:showCatName val="0"/>
          <c:showSerName val="0"/>
          <c:showPercent val="0"/>
          <c:showBubbleSize val="0"/>
        </c:dLbls>
        <c:smooth val="0"/>
        <c:axId val="648427648"/>
        <c:axId val="648417248"/>
      </c:lineChart>
      <c:dateAx>
        <c:axId val="6484276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17248"/>
        <c:crosses val="autoZero"/>
        <c:auto val="1"/>
        <c:lblOffset val="100"/>
        <c:baseTimeUnit val="years"/>
      </c:dateAx>
      <c:valAx>
        <c:axId val="6484172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276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ROIC</a:t>
            </a:r>
            <a:r>
              <a:rPr lang="en-IN" baseline="0"/>
              <a:t> vs ROCE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Tesla'!$B$42</c:f>
              <c:strCache>
                <c:ptCount val="1"/>
                <c:pt idx="0">
                  <c:v>Return on Capital Employed</c:v>
                </c:pt>
              </c:strCache>
            </c:strRef>
          </c:tx>
          <c:spPr>
            <a:solidFill>
              <a:srgbClr val="CC0000"/>
            </a:solidFill>
            <a:ln>
              <a:noFill/>
            </a:ln>
            <a:effectLst/>
          </c:spPr>
          <c:invertIfNegative val="0"/>
          <c:dLbls>
            <c:dLbl>
              <c:idx val="0"/>
              <c:layout>
                <c:manualLayout>
                  <c:x val="-1.5432098765432134E-2"/>
                  <c:y val="-1.80505415162453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5B-4D06-8744-F63D8AA566A2}"/>
                </c:ext>
              </c:extLst>
            </c:dLbl>
            <c:dLbl>
              <c:idx val="1"/>
              <c:layout>
                <c:manualLayout>
                  <c:x val="-1.5432098765432169E-2"/>
                  <c:y val="2.40673886883273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5B-4D06-8744-F63D8AA566A2}"/>
                </c:ext>
              </c:extLst>
            </c:dLbl>
            <c:dLbl>
              <c:idx val="2"/>
              <c:layout>
                <c:manualLayout>
                  <c:x val="-2.3148148148148147E-2"/>
                  <c:y val="3.00842358604091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C5B-4D06-8744-F63D8AA566A2}"/>
                </c:ext>
              </c:extLst>
            </c:dLbl>
            <c:dLbl>
              <c:idx val="3"/>
              <c:layout>
                <c:manualLayout>
                  <c:x val="-1.5432098765432098E-2"/>
                  <c:y val="2.4067388688327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5B-4D06-8744-F63D8AA566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Tesla'!$L$39:$O$39</c:f>
              <c:numCache>
                <c:formatCode>mmm\-yy</c:formatCode>
                <c:ptCount val="4"/>
                <c:pt idx="0">
                  <c:v>43800</c:v>
                </c:pt>
                <c:pt idx="1">
                  <c:v>44166</c:v>
                </c:pt>
                <c:pt idx="2">
                  <c:v>44532</c:v>
                </c:pt>
                <c:pt idx="3">
                  <c:v>44898</c:v>
                </c:pt>
              </c:numCache>
            </c:numRef>
          </c:cat>
          <c:val>
            <c:numRef>
              <c:f>'Analysis- Tesla'!$L$42:$O$42</c:f>
              <c:numCache>
                <c:formatCode>0.0%</c:formatCode>
                <c:ptCount val="4"/>
                <c:pt idx="0">
                  <c:v>-4.3020412237360882E-2</c:v>
                </c:pt>
                <c:pt idx="1">
                  <c:v>2.1260283667030342E-2</c:v>
                </c:pt>
                <c:pt idx="2">
                  <c:v>0.14906949733949168</c:v>
                </c:pt>
                <c:pt idx="3">
                  <c:v>0.26266133924649082</c:v>
                </c:pt>
              </c:numCache>
            </c:numRef>
          </c:val>
          <c:extLst>
            <c:ext xmlns:c16="http://schemas.microsoft.com/office/drawing/2014/chart" uri="{C3380CC4-5D6E-409C-BE32-E72D297353CC}">
              <c16:uniqueId val="{00000000-8C5B-4D06-8744-F63D8AA566A2}"/>
            </c:ext>
          </c:extLst>
        </c:ser>
        <c:ser>
          <c:idx val="1"/>
          <c:order val="1"/>
          <c:tx>
            <c:strRef>
              <c:f>'Analysis- Tesla'!$B$43</c:f>
              <c:strCache>
                <c:ptCount val="1"/>
                <c:pt idx="0">
                  <c:v>Return on Invested Capital</c:v>
                </c:pt>
              </c:strCache>
            </c:strRef>
          </c:tx>
          <c:spPr>
            <a:solidFill>
              <a:srgbClr val="FF0000"/>
            </a:solidFill>
            <a:ln>
              <a:noFill/>
            </a:ln>
            <a:effectLst/>
          </c:spPr>
          <c:invertIfNegative val="0"/>
          <c:dLbls>
            <c:dLbl>
              <c:idx val="0"/>
              <c:layout>
                <c:manualLayout>
                  <c:x val="2.7006172839506137E-2"/>
                  <c:y val="6.016847172081829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5B-4D06-8744-F63D8AA566A2}"/>
                </c:ext>
              </c:extLst>
            </c:dLbl>
            <c:dLbl>
              <c:idx val="1"/>
              <c:layout>
                <c:manualLayout>
                  <c:x val="7.7160493827159787E-3"/>
                  <c:y val="1.1030759053880138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5B-4D06-8744-F63D8AA566A2}"/>
                </c:ext>
              </c:extLst>
            </c:dLbl>
            <c:dLbl>
              <c:idx val="2"/>
              <c:layout>
                <c:manualLayout>
                  <c:x val="1.5432098765432098E-2"/>
                  <c:y val="6.016847172081829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C5B-4D06-8744-F63D8AA566A2}"/>
                </c:ext>
              </c:extLst>
            </c:dLbl>
            <c:dLbl>
              <c:idx val="3"/>
              <c:layout>
                <c:manualLayout>
                  <c:x val="1.9290123456789984E-2"/>
                  <c:y val="6.016847172081801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C5B-4D06-8744-F63D8AA566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Tesla'!$L$39:$O$39</c:f>
              <c:numCache>
                <c:formatCode>mmm\-yy</c:formatCode>
                <c:ptCount val="4"/>
                <c:pt idx="0">
                  <c:v>43800</c:v>
                </c:pt>
                <c:pt idx="1">
                  <c:v>44166</c:v>
                </c:pt>
                <c:pt idx="2">
                  <c:v>44532</c:v>
                </c:pt>
                <c:pt idx="3">
                  <c:v>44898</c:v>
                </c:pt>
              </c:numCache>
            </c:numRef>
          </c:cat>
          <c:val>
            <c:numRef>
              <c:f>'Analysis- Tesla'!$L$43:$O$43</c:f>
              <c:numCache>
                <c:formatCode>0.0%</c:formatCode>
                <c:ptCount val="4"/>
                <c:pt idx="0">
                  <c:v>-5.562366909724463E-2</c:v>
                </c:pt>
                <c:pt idx="1">
                  <c:v>2.4141972208270551E-2</c:v>
                </c:pt>
                <c:pt idx="2">
                  <c:v>0.16823142108150949</c:v>
                </c:pt>
                <c:pt idx="3">
                  <c:v>0.27684437976804693</c:v>
                </c:pt>
              </c:numCache>
            </c:numRef>
          </c:val>
          <c:extLst>
            <c:ext xmlns:c16="http://schemas.microsoft.com/office/drawing/2014/chart" uri="{C3380CC4-5D6E-409C-BE32-E72D297353CC}">
              <c16:uniqueId val="{00000001-8C5B-4D06-8744-F63D8AA566A2}"/>
            </c:ext>
          </c:extLst>
        </c:ser>
        <c:dLbls>
          <c:showLegendKey val="0"/>
          <c:showVal val="0"/>
          <c:showCatName val="0"/>
          <c:showSerName val="0"/>
          <c:showPercent val="0"/>
          <c:showBubbleSize val="0"/>
        </c:dLbls>
        <c:gapWidth val="219"/>
        <c:overlap val="-27"/>
        <c:axId val="803047152"/>
        <c:axId val="803054544"/>
      </c:barChart>
      <c:dateAx>
        <c:axId val="8030471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54544"/>
        <c:crosses val="autoZero"/>
        <c:auto val="1"/>
        <c:lblOffset val="100"/>
        <c:baseTimeUnit val="years"/>
      </c:dateAx>
      <c:valAx>
        <c:axId val="8030545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4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Tesla'!$B$44</c:f>
              <c:strCache>
                <c:ptCount val="1"/>
                <c:pt idx="0">
                  <c:v>EBITDA Margin</c:v>
                </c:pt>
              </c:strCache>
            </c:strRef>
          </c:tx>
          <c:spPr>
            <a:ln w="28575" cap="rnd">
              <a:solidFill>
                <a:srgbClr val="FF7C8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Tesla'!$L$39:$O$39</c:f>
              <c:numCache>
                <c:formatCode>mmm\-yy</c:formatCode>
                <c:ptCount val="4"/>
                <c:pt idx="0">
                  <c:v>43800</c:v>
                </c:pt>
                <c:pt idx="1">
                  <c:v>44166</c:v>
                </c:pt>
                <c:pt idx="2">
                  <c:v>44532</c:v>
                </c:pt>
                <c:pt idx="3">
                  <c:v>44898</c:v>
                </c:pt>
              </c:numCache>
            </c:numRef>
          </c:cat>
          <c:val>
            <c:numRef>
              <c:f>'Analysis- Tesla'!$L$44:$O$44</c:f>
              <c:numCache>
                <c:formatCode>0.0%</c:formatCode>
                <c:ptCount val="4"/>
                <c:pt idx="0">
                  <c:v>8.8453088127593782E-2</c:v>
                </c:pt>
                <c:pt idx="1">
                  <c:v>0.13394216133942161</c:v>
                </c:pt>
                <c:pt idx="2">
                  <c:v>0.17882689556509299</c:v>
                </c:pt>
                <c:pt idx="3">
                  <c:v>0.21675136873634332</c:v>
                </c:pt>
              </c:numCache>
            </c:numRef>
          </c:val>
          <c:smooth val="0"/>
          <c:extLst>
            <c:ext xmlns:c16="http://schemas.microsoft.com/office/drawing/2014/chart" uri="{C3380CC4-5D6E-409C-BE32-E72D297353CC}">
              <c16:uniqueId val="{00000000-B736-4629-979D-649A613B983F}"/>
            </c:ext>
          </c:extLst>
        </c:ser>
        <c:ser>
          <c:idx val="1"/>
          <c:order val="1"/>
          <c:tx>
            <c:strRef>
              <c:f>'Analysis- Tesla'!$B$45</c:f>
              <c:strCache>
                <c:ptCount val="1"/>
                <c:pt idx="0">
                  <c:v>Net Margin</c:v>
                </c:pt>
              </c:strCache>
            </c:strRef>
          </c:tx>
          <c:spPr>
            <a:ln w="28575" cap="rnd">
              <a:solidFill>
                <a:srgbClr val="FF6600"/>
              </a:solidFill>
              <a:round/>
            </a:ln>
            <a:effectLst/>
          </c:spPr>
          <c:marker>
            <c:symbol val="none"/>
          </c:marker>
          <c:dLbls>
            <c:dLbl>
              <c:idx val="0"/>
              <c:layout>
                <c:manualLayout>
                  <c:x val="-0.11157303370786519"/>
                  <c:y val="6.9238750390858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36-4629-979D-649A613B983F}"/>
                </c:ext>
              </c:extLst>
            </c:dLbl>
            <c:dLbl>
              <c:idx val="1"/>
              <c:layout>
                <c:manualLayout>
                  <c:x val="-6.5215429531982658E-2"/>
                  <c:y val="-5.10981930507784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36-4629-979D-649A613B983F}"/>
                </c:ext>
              </c:extLst>
            </c:dLbl>
            <c:dLbl>
              <c:idx val="2"/>
              <c:layout>
                <c:manualLayout>
                  <c:x val="-7.3754755374679223E-2"/>
                  <c:y val="-5.71150402228602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36-4629-979D-649A613B983F}"/>
                </c:ext>
              </c:extLst>
            </c:dLbl>
            <c:dLbl>
              <c:idx val="3"/>
              <c:layout>
                <c:manualLayout>
                  <c:x val="-3.6301571854080041E-2"/>
                  <c:y val="-3.9064498706614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36-4629-979D-649A613B98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Tesla'!$L$39:$O$39</c:f>
              <c:numCache>
                <c:formatCode>mmm\-yy</c:formatCode>
                <c:ptCount val="4"/>
                <c:pt idx="0">
                  <c:v>43800</c:v>
                </c:pt>
                <c:pt idx="1">
                  <c:v>44166</c:v>
                </c:pt>
                <c:pt idx="2">
                  <c:v>44532</c:v>
                </c:pt>
                <c:pt idx="3">
                  <c:v>44898</c:v>
                </c:pt>
              </c:numCache>
            </c:numRef>
          </c:cat>
          <c:val>
            <c:numRef>
              <c:f>'Analysis- Tesla'!$L$45:$O$45</c:f>
              <c:numCache>
                <c:formatCode>0.0%</c:formatCode>
                <c:ptCount val="4"/>
                <c:pt idx="0">
                  <c:v>-3.5072015623728539E-2</c:v>
                </c:pt>
                <c:pt idx="1">
                  <c:v>2.2862760020294266E-2</c:v>
                </c:pt>
                <c:pt idx="2">
                  <c:v>0.10253980640246735</c:v>
                </c:pt>
                <c:pt idx="3">
                  <c:v>0.15413321548697553</c:v>
                </c:pt>
              </c:numCache>
            </c:numRef>
          </c:val>
          <c:smooth val="0"/>
          <c:extLst>
            <c:ext xmlns:c16="http://schemas.microsoft.com/office/drawing/2014/chart" uri="{C3380CC4-5D6E-409C-BE32-E72D297353CC}">
              <c16:uniqueId val="{00000001-B736-4629-979D-649A613B983F}"/>
            </c:ext>
          </c:extLst>
        </c:ser>
        <c:dLbls>
          <c:showLegendKey val="0"/>
          <c:showVal val="0"/>
          <c:showCatName val="0"/>
          <c:showSerName val="0"/>
          <c:showPercent val="0"/>
          <c:showBubbleSize val="0"/>
        </c:dLbls>
        <c:smooth val="0"/>
        <c:axId val="845434272"/>
        <c:axId val="845435936"/>
      </c:lineChart>
      <c:dateAx>
        <c:axId val="84543427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435936"/>
        <c:crosses val="autoZero"/>
        <c:auto val="1"/>
        <c:lblOffset val="100"/>
        <c:baseTimeUnit val="years"/>
      </c:dateAx>
      <c:valAx>
        <c:axId val="8454359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43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06227034120735"/>
          <c:y val="0.17171296296296298"/>
          <c:w val="0.82882174103237094"/>
          <c:h val="0.77736111111111106"/>
        </c:manualLayout>
      </c:layout>
      <c:lineChart>
        <c:grouping val="standard"/>
        <c:varyColors val="0"/>
        <c:ser>
          <c:idx val="0"/>
          <c:order val="0"/>
          <c:spPr>
            <a:ln w="28575" cap="rnd">
              <a:solidFill>
                <a:srgbClr val="FF3300"/>
              </a:solidFill>
              <a:round/>
            </a:ln>
            <a:effectLst/>
          </c:spPr>
          <c:marker>
            <c:symbol val="none"/>
          </c:marker>
          <c:dLbls>
            <c:dLbl>
              <c:idx val="0"/>
              <c:layout>
                <c:manualLayout>
                  <c:x val="-0.13919275191272232"/>
                  <c:y val="-2.26476482771922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E3-44F8-B5BE-6768412175B7}"/>
                </c:ext>
              </c:extLst>
            </c:dLbl>
            <c:dLbl>
              <c:idx val="1"/>
              <c:layout>
                <c:manualLayout>
                  <c:x val="-7.495844269466316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E3-44F8-B5BE-6768412175B7}"/>
                </c:ext>
              </c:extLst>
            </c:dLbl>
            <c:dLbl>
              <c:idx val="2"/>
              <c:layout>
                <c:manualLayout>
                  <c:x val="-1.9402887139107611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E3-44F8-B5BE-6768412175B7}"/>
                </c:ext>
              </c:extLst>
            </c:dLbl>
            <c:dLbl>
              <c:idx val="3"/>
              <c:layout>
                <c:manualLayout>
                  <c:x val="-1.8625109361329835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E3-44F8-B5BE-6768412175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Tesla'!$L$48:$O$48</c:f>
              <c:numCache>
                <c:formatCode>mmm\-yy</c:formatCode>
                <c:ptCount val="4"/>
                <c:pt idx="0">
                  <c:v>43800</c:v>
                </c:pt>
                <c:pt idx="1">
                  <c:v>44166</c:v>
                </c:pt>
                <c:pt idx="2">
                  <c:v>44532</c:v>
                </c:pt>
                <c:pt idx="3">
                  <c:v>44898</c:v>
                </c:pt>
              </c:numCache>
            </c:numRef>
          </c:cat>
          <c:val>
            <c:numRef>
              <c:f>'Analysis- Tesla'!$L$50:$O$50</c:f>
              <c:numCache>
                <c:formatCode>#,##0.00\x</c:formatCode>
                <c:ptCount val="4"/>
                <c:pt idx="0">
                  <c:v>-87.830626450116014</c:v>
                </c:pt>
                <c:pt idx="1">
                  <c:v>927.73925104022192</c:v>
                </c:pt>
                <c:pt idx="2">
                  <c:v>192.24497191520203</c:v>
                </c:pt>
                <c:pt idx="3">
                  <c:v>30.978814909206754</c:v>
                </c:pt>
              </c:numCache>
            </c:numRef>
          </c:val>
          <c:smooth val="0"/>
          <c:extLst>
            <c:ext xmlns:c16="http://schemas.microsoft.com/office/drawing/2014/chart" uri="{C3380CC4-5D6E-409C-BE32-E72D297353CC}">
              <c16:uniqueId val="{00000000-12E3-44F8-B5BE-6768412175B7}"/>
            </c:ext>
          </c:extLst>
        </c:ser>
        <c:dLbls>
          <c:showLegendKey val="0"/>
          <c:showVal val="0"/>
          <c:showCatName val="0"/>
          <c:showSerName val="0"/>
          <c:showPercent val="0"/>
          <c:showBubbleSize val="0"/>
        </c:dLbls>
        <c:smooth val="0"/>
        <c:axId val="765373840"/>
        <c:axId val="765370928"/>
      </c:lineChart>
      <c:dateAx>
        <c:axId val="7653738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370928"/>
        <c:crosses val="autoZero"/>
        <c:auto val="1"/>
        <c:lblOffset val="100"/>
        <c:baseTimeUnit val="years"/>
      </c:dateAx>
      <c:valAx>
        <c:axId val="765370928"/>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3738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ANSYS'!$B$24</c:f>
              <c:strCache>
                <c:ptCount val="1"/>
                <c:pt idx="0">
                  <c:v>Debt to Equity Ratio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ANSYS'!$L$22:$O$22</c:f>
              <c:numCache>
                <c:formatCode>mmm\-yy</c:formatCode>
                <c:ptCount val="4"/>
                <c:pt idx="0">
                  <c:v>43800</c:v>
                </c:pt>
                <c:pt idx="1">
                  <c:v>44166</c:v>
                </c:pt>
                <c:pt idx="2">
                  <c:v>44532</c:v>
                </c:pt>
                <c:pt idx="3">
                  <c:v>44898</c:v>
                </c:pt>
              </c:numCache>
            </c:numRef>
          </c:cat>
          <c:val>
            <c:numRef>
              <c:f>'Analysis- ANSYS'!$L$24:$O$24</c:f>
              <c:numCache>
                <c:formatCode>#,##0.00\x</c:formatCode>
                <c:ptCount val="4"/>
                <c:pt idx="0">
                  <c:v>0.1443603496749126</c:v>
                </c:pt>
                <c:pt idx="1">
                  <c:v>0.19476401410292951</c:v>
                </c:pt>
                <c:pt idx="2">
                  <c:v>0.16805707699828371</c:v>
                </c:pt>
                <c:pt idx="3">
                  <c:v>0.15486992922717938</c:v>
                </c:pt>
              </c:numCache>
            </c:numRef>
          </c:val>
          <c:extLst>
            <c:ext xmlns:c16="http://schemas.microsoft.com/office/drawing/2014/chart" uri="{C3380CC4-5D6E-409C-BE32-E72D297353CC}">
              <c16:uniqueId val="{00000000-6D4C-4DFB-9D1B-D474897BD749}"/>
            </c:ext>
          </c:extLst>
        </c:ser>
        <c:ser>
          <c:idx val="1"/>
          <c:order val="1"/>
          <c:tx>
            <c:strRef>
              <c:f>'Analysis- ANSYS'!$B$25</c:f>
              <c:strCache>
                <c:ptCount val="1"/>
                <c:pt idx="0">
                  <c:v>Debt to Capital Ratio</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ANSYS'!$L$22:$O$22</c:f>
              <c:numCache>
                <c:formatCode>mmm\-yy</c:formatCode>
                <c:ptCount val="4"/>
                <c:pt idx="0">
                  <c:v>43800</c:v>
                </c:pt>
                <c:pt idx="1">
                  <c:v>44166</c:v>
                </c:pt>
                <c:pt idx="2">
                  <c:v>44532</c:v>
                </c:pt>
                <c:pt idx="3">
                  <c:v>44898</c:v>
                </c:pt>
              </c:numCache>
            </c:numRef>
          </c:cat>
          <c:val>
            <c:numRef>
              <c:f>'Analysis- ANSYS'!$L$25:$O$25</c:f>
              <c:numCache>
                <c:formatCode>#,##0.00\x</c:formatCode>
                <c:ptCount val="4"/>
                <c:pt idx="0">
                  <c:v>0.12614938093225805</c:v>
                </c:pt>
                <c:pt idx="1">
                  <c:v>0.16301463034033975</c:v>
                </c:pt>
                <c:pt idx="2">
                  <c:v>0.14387745282975642</c:v>
                </c:pt>
                <c:pt idx="3">
                  <c:v>0.13410162071742215</c:v>
                </c:pt>
              </c:numCache>
            </c:numRef>
          </c:val>
          <c:extLst>
            <c:ext xmlns:c16="http://schemas.microsoft.com/office/drawing/2014/chart" uri="{C3380CC4-5D6E-409C-BE32-E72D297353CC}">
              <c16:uniqueId val="{00000001-6D4C-4DFB-9D1B-D474897BD749}"/>
            </c:ext>
          </c:extLst>
        </c:ser>
        <c:dLbls>
          <c:showLegendKey val="0"/>
          <c:showVal val="0"/>
          <c:showCatName val="0"/>
          <c:showSerName val="0"/>
          <c:showPercent val="0"/>
          <c:showBubbleSize val="0"/>
        </c:dLbls>
        <c:gapWidth val="219"/>
        <c:overlap val="-27"/>
        <c:axId val="255509936"/>
        <c:axId val="255502448"/>
      </c:barChart>
      <c:dateAx>
        <c:axId val="2555099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502448"/>
        <c:crosses val="autoZero"/>
        <c:auto val="1"/>
        <c:lblOffset val="100"/>
        <c:baseTimeUnit val="years"/>
      </c:dateAx>
      <c:valAx>
        <c:axId val="255502448"/>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509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ANSYS'!$L$38:$O$38</c:f>
              <c:numCache>
                <c:formatCode>mmm\-yy</c:formatCode>
                <c:ptCount val="4"/>
                <c:pt idx="0">
                  <c:v>43800</c:v>
                </c:pt>
                <c:pt idx="1">
                  <c:v>44166</c:v>
                </c:pt>
                <c:pt idx="2">
                  <c:v>44532</c:v>
                </c:pt>
                <c:pt idx="3">
                  <c:v>44898</c:v>
                </c:pt>
              </c:numCache>
            </c:numRef>
          </c:cat>
          <c:val>
            <c:numRef>
              <c:f>'Analysis- ANSYS'!$L$39:$O$39</c:f>
              <c:numCache>
                <c:formatCode>0.0%</c:formatCode>
                <c:ptCount val="4"/>
                <c:pt idx="0">
                  <c:v>0.13068215217617296</c:v>
                </c:pt>
                <c:pt idx="1">
                  <c:v>0.10588105240964091</c:v>
                </c:pt>
                <c:pt idx="2">
                  <c:v>0.10138763010565453</c:v>
                </c:pt>
                <c:pt idx="3">
                  <c:v>0.10762968286534051</c:v>
                </c:pt>
              </c:numCache>
            </c:numRef>
          </c:val>
          <c:smooth val="0"/>
          <c:extLst>
            <c:ext xmlns:c16="http://schemas.microsoft.com/office/drawing/2014/chart" uri="{C3380CC4-5D6E-409C-BE32-E72D297353CC}">
              <c16:uniqueId val="{00000000-D9AC-44EE-B22A-C2FBEA774548}"/>
            </c:ext>
          </c:extLst>
        </c:ser>
        <c:dLbls>
          <c:showLegendKey val="0"/>
          <c:showVal val="0"/>
          <c:showCatName val="0"/>
          <c:showSerName val="0"/>
          <c:showPercent val="0"/>
          <c:showBubbleSize val="0"/>
        </c:dLbls>
        <c:smooth val="0"/>
        <c:axId val="250462928"/>
        <c:axId val="250467920"/>
      </c:lineChart>
      <c:dateAx>
        <c:axId val="25046292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67920"/>
        <c:crosses val="autoZero"/>
        <c:auto val="1"/>
        <c:lblOffset val="100"/>
        <c:baseTimeUnit val="years"/>
      </c:dateAx>
      <c:valAx>
        <c:axId val="2504679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629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Profitability</a:t>
            </a:r>
            <a:r>
              <a:rPr lang="en-IN" baseline="0"/>
              <a:t> Ratios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83386798872363"/>
          <c:y val="0.19900731452455594"/>
          <c:w val="0.85112909497423939"/>
          <c:h val="0.56549955158426513"/>
        </c:manualLayout>
      </c:layout>
      <c:barChart>
        <c:barDir val="col"/>
        <c:grouping val="clustered"/>
        <c:varyColors val="0"/>
        <c:ser>
          <c:idx val="0"/>
          <c:order val="0"/>
          <c:tx>
            <c:strRef>
              <c:f>'Analysis- ANSYS'!$B$40</c:f>
              <c:strCache>
                <c:ptCount val="1"/>
                <c:pt idx="0">
                  <c:v>Return on Asset</c:v>
                </c:pt>
              </c:strCache>
            </c:strRef>
          </c:tx>
          <c:spPr>
            <a:solidFill>
              <a:schemeClr val="accent4">
                <a:lumMod val="75000"/>
              </a:schemeClr>
            </a:solidFill>
            <a:ln>
              <a:noFill/>
            </a:ln>
            <a:effectLst/>
          </c:spPr>
          <c:invertIfNegative val="0"/>
          <c:dLbls>
            <c:dLbl>
              <c:idx val="0"/>
              <c:layout>
                <c:manualLayout>
                  <c:x val="-1.3888888888888888E-2"/>
                  <c:y val="1.85185185185184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97-4361-BE14-BFC4E0F49869}"/>
                </c:ext>
              </c:extLst>
            </c:dLbl>
            <c:dLbl>
              <c:idx val="1"/>
              <c:layout>
                <c:manualLayout>
                  <c:x val="-1.6666666666666666E-2"/>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97-4361-BE14-BFC4E0F49869}"/>
                </c:ext>
              </c:extLst>
            </c:dLbl>
            <c:dLbl>
              <c:idx val="2"/>
              <c:layout>
                <c:manualLayout>
                  <c:x val="-1.447811447811454E-2"/>
                  <c:y val="1.911361785106005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97-4361-BE14-BFC4E0F49869}"/>
                </c:ext>
              </c:extLst>
            </c:dLbl>
            <c:dLbl>
              <c:idx val="3"/>
              <c:layout>
                <c:manualLayout>
                  <c:x val="-1.388902144807669E-2"/>
                  <c:y val="1.911361785106005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97-4361-BE14-BFC4E0F498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ANSYS'!$L$38:$O$38</c:f>
              <c:numCache>
                <c:formatCode>mmm\-yy</c:formatCode>
                <c:ptCount val="4"/>
                <c:pt idx="0">
                  <c:v>43800</c:v>
                </c:pt>
                <c:pt idx="1">
                  <c:v>44166</c:v>
                </c:pt>
                <c:pt idx="2">
                  <c:v>44532</c:v>
                </c:pt>
                <c:pt idx="3">
                  <c:v>44898</c:v>
                </c:pt>
              </c:numCache>
            </c:numRef>
          </c:cat>
          <c:val>
            <c:numRef>
              <c:f>'Analysis- ANSYS'!$L$40:$O$40</c:f>
              <c:numCache>
                <c:formatCode>0.0%</c:formatCode>
                <c:ptCount val="4"/>
                <c:pt idx="0">
                  <c:v>9.3264215510715578E-2</c:v>
                </c:pt>
                <c:pt idx="1">
                  <c:v>7.3037694909091525E-2</c:v>
                </c:pt>
                <c:pt idx="2">
                  <c:v>7.1885583163644309E-2</c:v>
                </c:pt>
                <c:pt idx="3">
                  <c:v>7.8306565021093927E-2</c:v>
                </c:pt>
              </c:numCache>
            </c:numRef>
          </c:val>
          <c:extLst>
            <c:ext xmlns:c16="http://schemas.microsoft.com/office/drawing/2014/chart" uri="{C3380CC4-5D6E-409C-BE32-E72D297353CC}">
              <c16:uniqueId val="{00000000-7097-4361-BE14-BFC4E0F49869}"/>
            </c:ext>
          </c:extLst>
        </c:ser>
        <c:ser>
          <c:idx val="1"/>
          <c:order val="1"/>
          <c:tx>
            <c:strRef>
              <c:f>'Analysis- ANSYS'!$B$41</c:f>
              <c:strCache>
                <c:ptCount val="1"/>
                <c:pt idx="0">
                  <c:v>Return on Capital Employed</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ANSYS'!$L$38:$O$38</c:f>
              <c:numCache>
                <c:formatCode>mmm\-yy</c:formatCode>
                <c:ptCount val="4"/>
                <c:pt idx="0">
                  <c:v>43800</c:v>
                </c:pt>
                <c:pt idx="1">
                  <c:v>44166</c:v>
                </c:pt>
                <c:pt idx="2">
                  <c:v>44532</c:v>
                </c:pt>
                <c:pt idx="3">
                  <c:v>44898</c:v>
                </c:pt>
              </c:numCache>
            </c:numRef>
          </c:cat>
          <c:val>
            <c:numRef>
              <c:f>'Analysis- ANSYS'!$L$41:$O$41</c:f>
              <c:numCache>
                <c:formatCode>0.0%</c:formatCode>
                <c:ptCount val="4"/>
                <c:pt idx="0">
                  <c:v>0.1141966795802536</c:v>
                </c:pt>
                <c:pt idx="1">
                  <c:v>8.862089179103716E-2</c:v>
                </c:pt>
                <c:pt idx="2">
                  <c:v>8.6800236137607428E-2</c:v>
                </c:pt>
                <c:pt idx="3">
                  <c:v>9.3196367955796194E-2</c:v>
                </c:pt>
              </c:numCache>
            </c:numRef>
          </c:val>
          <c:extLst>
            <c:ext xmlns:c16="http://schemas.microsoft.com/office/drawing/2014/chart" uri="{C3380CC4-5D6E-409C-BE32-E72D297353CC}">
              <c16:uniqueId val="{00000001-7097-4361-BE14-BFC4E0F49869}"/>
            </c:ext>
          </c:extLst>
        </c:ser>
        <c:ser>
          <c:idx val="2"/>
          <c:order val="2"/>
          <c:tx>
            <c:strRef>
              <c:f>'Analysis- ANSYS'!$B$42</c:f>
              <c:strCache>
                <c:ptCount val="1"/>
                <c:pt idx="0">
                  <c:v>Return on Invested Capital</c:v>
                </c:pt>
              </c:strCache>
            </c:strRef>
          </c:tx>
          <c:spPr>
            <a:solidFill>
              <a:srgbClr val="FFC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ANSYS'!$L$38:$O$38</c:f>
              <c:numCache>
                <c:formatCode>mmm\-yy</c:formatCode>
                <c:ptCount val="4"/>
                <c:pt idx="0">
                  <c:v>43800</c:v>
                </c:pt>
                <c:pt idx="1">
                  <c:v>44166</c:v>
                </c:pt>
                <c:pt idx="2">
                  <c:v>44532</c:v>
                </c:pt>
                <c:pt idx="3">
                  <c:v>44898</c:v>
                </c:pt>
              </c:numCache>
            </c:numRef>
          </c:cat>
          <c:val>
            <c:numRef>
              <c:f>'Analysis- ANSYS'!$L$42:$O$42</c:f>
              <c:numCache>
                <c:formatCode>0.0%</c:formatCode>
                <c:ptCount val="4"/>
                <c:pt idx="0">
                  <c:v>0.42994930676694165</c:v>
                </c:pt>
                <c:pt idx="1">
                  <c:v>0.35429614296387935</c:v>
                </c:pt>
                <c:pt idx="2">
                  <c:v>0.42533144599425377</c:v>
                </c:pt>
                <c:pt idx="3">
                  <c:v>0.48524735375218669</c:v>
                </c:pt>
              </c:numCache>
            </c:numRef>
          </c:val>
          <c:extLst>
            <c:ext xmlns:c16="http://schemas.microsoft.com/office/drawing/2014/chart" uri="{C3380CC4-5D6E-409C-BE32-E72D297353CC}">
              <c16:uniqueId val="{00000002-7097-4361-BE14-BFC4E0F49869}"/>
            </c:ext>
          </c:extLst>
        </c:ser>
        <c:dLbls>
          <c:showLegendKey val="0"/>
          <c:showVal val="0"/>
          <c:showCatName val="0"/>
          <c:showSerName val="0"/>
          <c:showPercent val="0"/>
          <c:showBubbleSize val="0"/>
        </c:dLbls>
        <c:gapWidth val="219"/>
        <c:overlap val="-27"/>
        <c:axId val="250465008"/>
        <c:axId val="250466672"/>
      </c:barChart>
      <c:dateAx>
        <c:axId val="2504650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66672"/>
        <c:crosses val="autoZero"/>
        <c:auto val="1"/>
        <c:lblOffset val="100"/>
        <c:baseTimeUnit val="years"/>
      </c:dateAx>
      <c:valAx>
        <c:axId val="25046667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65008"/>
        <c:crosses val="autoZero"/>
        <c:crossBetween val="between"/>
      </c:valAx>
      <c:spPr>
        <a:noFill/>
        <a:ln>
          <a:noFill/>
        </a:ln>
        <a:effectLst/>
      </c:spPr>
    </c:plotArea>
    <c:legend>
      <c:legendPos val="b"/>
      <c:layout>
        <c:manualLayout>
          <c:xMode val="edge"/>
          <c:yMode val="edge"/>
          <c:x val="8.9277217540789863E-3"/>
          <c:y val="0.82627880762553574"/>
          <c:w val="0.96914910489989925"/>
          <c:h val="0.14237322999201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ROCE</a:t>
            </a:r>
            <a:r>
              <a:rPr lang="en-IN" baseline="0"/>
              <a:t> vs ROIC</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'Analysis-NVIDIA'!$B$40</c:f>
              <c:strCache>
                <c:ptCount val="1"/>
                <c:pt idx="0">
                  <c:v>Return on Asset</c:v>
                </c:pt>
              </c:strCache>
            </c:strRef>
          </c:tx>
          <c:spPr>
            <a:solidFill>
              <a:srgbClr val="92D050"/>
            </a:solidFill>
            <a:ln>
              <a:noFill/>
            </a:ln>
            <a:effectLst/>
          </c:spPr>
          <c:invertIfNegative val="0"/>
          <c:dLbls>
            <c:dLbl>
              <c:idx val="0"/>
              <c:layout>
                <c:manualLayout>
                  <c:x val="-1.610305958132045E-2"/>
                  <c:y val="1.161440185830424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DB8-4996-BAD1-CF710204EB79}"/>
                </c:ext>
              </c:extLst>
            </c:dLbl>
            <c:dLbl>
              <c:idx val="1"/>
              <c:layout>
                <c:manualLayout>
                  <c:x val="-2.0128824476650563E-2"/>
                  <c:y val="1.7421602787456445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DB8-4996-BAD1-CF710204EB79}"/>
                </c:ext>
              </c:extLst>
            </c:dLbl>
            <c:dLbl>
              <c:idx val="2"/>
              <c:layout>
                <c:manualLayout>
                  <c:x val="-1.610305958132045E-2"/>
                  <c:y val="1.161440185830429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DB8-4996-BAD1-CF710204EB79}"/>
                </c:ext>
              </c:extLst>
            </c:dLbl>
            <c:dLbl>
              <c:idx val="3"/>
              <c:layout>
                <c:manualLayout>
                  <c:x val="-3.3051529790660228E-2"/>
                  <c:y val="2.432577025432791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DB8-4996-BAD1-CF710204EB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'Analysis-NVIDIA'!$L$38:$O$38</c:f>
              <c:numCache>
                <c:formatCode>mmm\-yy</c:formatCode>
                <c:ptCount val="4"/>
                <c:pt idx="0">
                  <c:v>43831</c:v>
                </c:pt>
                <c:pt idx="1">
                  <c:v>44197</c:v>
                </c:pt>
                <c:pt idx="2">
                  <c:v>44563</c:v>
                </c:pt>
                <c:pt idx="3">
                  <c:v>44929</c:v>
                </c:pt>
              </c:numCache>
            </c:numRef>
          </c:cat>
          <c:val>
            <c:numRef>
              <c:f>'Analysis-NVIDIA'!$L$41:$O$41</c:f>
              <c:numCache>
                <c:formatCode>0.0%</c:formatCode>
                <c:ptCount val="4"/>
                <c:pt idx="0">
                  <c:v>0.13214739517153748</c:v>
                </c:pt>
                <c:pt idx="1">
                  <c:v>0.25965173864423025</c:v>
                </c:pt>
                <c:pt idx="2">
                  <c:v>0.18158953722334004</c:v>
                </c:pt>
                <c:pt idx="3">
                  <c:v>0.19697076435364566</c:v>
                </c:pt>
              </c:numCache>
            </c:numRef>
          </c:val>
          <c:extLst>
            <c:ext xmlns:c16="http://schemas.microsoft.com/office/drawing/2014/chart" uri="{C3380CC4-5D6E-409C-BE32-E72D297353CC}">
              <c16:uniqueId val="{00000000-ADB8-4996-BAD1-CF710204EB79}"/>
            </c:ext>
          </c:extLst>
        </c:ser>
        <c:ser>
          <c:idx val="1"/>
          <c:order val="1"/>
          <c:tx>
            <c:strRef>
              <c:f>'Analysis-NVIDIA'!$B$42</c:f>
              <c:strCache>
                <c:ptCount val="1"/>
                <c:pt idx="0">
                  <c:v>Return on Invested Capital</c:v>
                </c:pt>
              </c:strCache>
            </c:strRef>
          </c:tx>
          <c:spPr>
            <a:solidFill>
              <a:schemeClr val="accent6">
                <a:lumMod val="75000"/>
              </a:schemeClr>
            </a:solidFill>
            <a:ln>
              <a:noFill/>
            </a:ln>
            <a:effectLst/>
          </c:spPr>
          <c:invertIfNegative val="0"/>
          <c:dLbls>
            <c:dLbl>
              <c:idx val="3"/>
              <c:layout>
                <c:manualLayout>
                  <c:x val="3.623188405797087E-2"/>
                  <c:y val="2.3228803716608595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ADB8-4996-BAD1-CF710204EB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'Analysis-NVIDIA'!$L$38:$O$38</c:f>
              <c:numCache>
                <c:formatCode>mmm\-yy</c:formatCode>
                <c:ptCount val="4"/>
                <c:pt idx="0">
                  <c:v>43831</c:v>
                </c:pt>
                <c:pt idx="1">
                  <c:v>44197</c:v>
                </c:pt>
                <c:pt idx="2">
                  <c:v>44563</c:v>
                </c:pt>
                <c:pt idx="3">
                  <c:v>44929</c:v>
                </c:pt>
              </c:numCache>
            </c:numRef>
          </c:cat>
          <c:val>
            <c:numRef>
              <c:f>'Analysis-NVIDIA'!$L$42:$O$42</c:f>
              <c:numCache>
                <c:formatCode>0.0%</c:formatCode>
                <c:ptCount val="4"/>
                <c:pt idx="0">
                  <c:v>0.20454226176539453</c:v>
                </c:pt>
                <c:pt idx="1">
                  <c:v>0.34703391338386536</c:v>
                </c:pt>
                <c:pt idx="2">
                  <c:v>0.28906979847858</c:v>
                </c:pt>
                <c:pt idx="3">
                  <c:v>0.19692914494999295</c:v>
                </c:pt>
              </c:numCache>
            </c:numRef>
          </c:val>
          <c:extLst>
            <c:ext xmlns:c16="http://schemas.microsoft.com/office/drawing/2014/chart" uri="{C3380CC4-5D6E-409C-BE32-E72D297353CC}">
              <c16:uniqueId val="{00000001-ADB8-4996-BAD1-CF710204EB79}"/>
            </c:ext>
          </c:extLst>
        </c:ser>
        <c:dLbls>
          <c:showLegendKey val="0"/>
          <c:showVal val="0"/>
          <c:showCatName val="0"/>
          <c:showSerName val="0"/>
          <c:showPercent val="0"/>
          <c:showBubbleSize val="0"/>
        </c:dLbls>
        <c:gapWidth val="219"/>
        <c:overlap val="-27"/>
        <c:axId val="686921344"/>
        <c:axId val="686917184"/>
      </c:barChart>
      <c:dateAx>
        <c:axId val="6869213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17184"/>
        <c:crosses val="autoZero"/>
        <c:auto val="1"/>
        <c:lblOffset val="100"/>
        <c:baseTimeUnit val="years"/>
      </c:dateAx>
      <c:valAx>
        <c:axId val="68691718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21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r>
              <a:rPr lang="en-IN" baseline="0"/>
              <a:t> vs 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46604495079395"/>
          <c:y val="0.18022351797862005"/>
          <c:w val="0.83213382144867165"/>
          <c:h val="0.59590191532180925"/>
        </c:manualLayout>
      </c:layout>
      <c:lineChart>
        <c:grouping val="standard"/>
        <c:varyColors val="0"/>
        <c:ser>
          <c:idx val="0"/>
          <c:order val="0"/>
          <c:tx>
            <c:strRef>
              <c:f>'Analysis- ANSYS'!$B$48</c:f>
              <c:strCache>
                <c:ptCount val="1"/>
                <c:pt idx="0">
                  <c:v>Price to Sales</c:v>
                </c:pt>
              </c:strCache>
            </c:strRef>
          </c:tx>
          <c:spPr>
            <a:ln w="28575" cap="rnd">
              <a:solidFill>
                <a:srgbClr val="FFCC99"/>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ANSYS'!$L$47:$O$47</c:f>
              <c:numCache>
                <c:formatCode>mmm\-yy</c:formatCode>
                <c:ptCount val="4"/>
                <c:pt idx="0">
                  <c:v>43800</c:v>
                </c:pt>
                <c:pt idx="1">
                  <c:v>44166</c:v>
                </c:pt>
                <c:pt idx="2">
                  <c:v>44532</c:v>
                </c:pt>
                <c:pt idx="3">
                  <c:v>44898</c:v>
                </c:pt>
              </c:numCache>
            </c:numRef>
          </c:cat>
          <c:val>
            <c:numRef>
              <c:f>'Analysis- ANSYS'!$L$48:$O$48</c:f>
              <c:numCache>
                <c:formatCode>#,##0.00\x</c:formatCode>
                <c:ptCount val="4"/>
                <c:pt idx="0">
                  <c:v>14.55248790810955</c:v>
                </c:pt>
                <c:pt idx="1">
                  <c:v>18.58089320328294</c:v>
                </c:pt>
                <c:pt idx="2">
                  <c:v>18.350933411653028</c:v>
                </c:pt>
                <c:pt idx="3">
                  <c:v>10.186134173269823</c:v>
                </c:pt>
              </c:numCache>
            </c:numRef>
          </c:val>
          <c:smooth val="0"/>
          <c:extLst>
            <c:ext xmlns:c16="http://schemas.microsoft.com/office/drawing/2014/chart" uri="{C3380CC4-5D6E-409C-BE32-E72D297353CC}">
              <c16:uniqueId val="{00000000-D553-4C05-8D94-6E1AD14B641A}"/>
            </c:ext>
          </c:extLst>
        </c:ser>
        <c:ser>
          <c:idx val="1"/>
          <c:order val="1"/>
          <c:tx>
            <c:strRef>
              <c:f>'Analysis- ANSYS'!$B$49</c:f>
              <c:strCache>
                <c:ptCount val="1"/>
                <c:pt idx="0">
                  <c:v>Price to Earnings</c:v>
                </c:pt>
              </c:strCache>
            </c:strRef>
          </c:tx>
          <c:spPr>
            <a:ln w="28575" cap="rnd">
              <a:solidFill>
                <a:srgbClr val="FFC000"/>
              </a:solidFill>
              <a:round/>
            </a:ln>
            <a:effectLst/>
          </c:spPr>
          <c:marker>
            <c:symbol val="none"/>
          </c:marker>
          <c:dLbls>
            <c:dLbl>
              <c:idx val="1"/>
              <c:layout>
                <c:manualLayout>
                  <c:x val="-7.2495121476548893E-2"/>
                  <c:y val="-4.61249741741465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53-4C05-8D94-6E1AD14B641A}"/>
                </c:ext>
              </c:extLst>
            </c:dLbl>
            <c:dLbl>
              <c:idx val="2"/>
              <c:layout>
                <c:manualLayout>
                  <c:x val="-5.245504131622826E-2"/>
                  <c:y val="-3.6406801190667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53-4C05-8D94-6E1AD14B641A}"/>
                </c:ext>
              </c:extLst>
            </c:dLbl>
            <c:dLbl>
              <c:idx val="3"/>
              <c:layout>
                <c:manualLayout>
                  <c:x val="-2.9074947795854175E-2"/>
                  <c:y val="-3.15477146989279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53-4C05-8D94-6E1AD14B64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ANSYS'!$L$47:$O$47</c:f>
              <c:numCache>
                <c:formatCode>mmm\-yy</c:formatCode>
                <c:ptCount val="4"/>
                <c:pt idx="0">
                  <c:v>43800</c:v>
                </c:pt>
                <c:pt idx="1">
                  <c:v>44166</c:v>
                </c:pt>
                <c:pt idx="2">
                  <c:v>44532</c:v>
                </c:pt>
                <c:pt idx="3">
                  <c:v>44898</c:v>
                </c:pt>
              </c:numCache>
            </c:numRef>
          </c:cat>
          <c:val>
            <c:numRef>
              <c:f>'Analysis- ANSYS'!$L$49:$O$49</c:f>
              <c:numCache>
                <c:formatCode>#,##0.00\x</c:formatCode>
                <c:ptCount val="4"/>
                <c:pt idx="0">
                  <c:v>48.881551978196079</c:v>
                </c:pt>
                <c:pt idx="1">
                  <c:v>72.000313445666734</c:v>
                </c:pt>
                <c:pt idx="2">
                  <c:v>76.964192623843289</c:v>
                </c:pt>
                <c:pt idx="3">
                  <c:v>40.174905959405017</c:v>
                </c:pt>
              </c:numCache>
            </c:numRef>
          </c:val>
          <c:smooth val="0"/>
          <c:extLst>
            <c:ext xmlns:c16="http://schemas.microsoft.com/office/drawing/2014/chart" uri="{C3380CC4-5D6E-409C-BE32-E72D297353CC}">
              <c16:uniqueId val="{00000001-D553-4C05-8D94-6E1AD14B641A}"/>
            </c:ext>
          </c:extLst>
        </c:ser>
        <c:dLbls>
          <c:showLegendKey val="0"/>
          <c:showVal val="0"/>
          <c:showCatName val="0"/>
          <c:showSerName val="0"/>
          <c:showPercent val="0"/>
          <c:showBubbleSize val="0"/>
        </c:dLbls>
        <c:smooth val="0"/>
        <c:axId val="74722272"/>
        <c:axId val="74724352"/>
      </c:lineChart>
      <c:dateAx>
        <c:axId val="7472227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4352"/>
        <c:crosses val="autoZero"/>
        <c:auto val="1"/>
        <c:lblOffset val="100"/>
        <c:baseTimeUnit val="years"/>
      </c:dateAx>
      <c:valAx>
        <c:axId val="74724352"/>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95248532077819"/>
          <c:y val="0.21090808416389817"/>
          <c:w val="0.83424682739399847"/>
          <c:h val="0.53951613606438731"/>
        </c:manualLayout>
      </c:layout>
      <c:barChart>
        <c:barDir val="col"/>
        <c:grouping val="clustered"/>
        <c:varyColors val="0"/>
        <c:ser>
          <c:idx val="0"/>
          <c:order val="0"/>
          <c:tx>
            <c:strRef>
              <c:f>'Analysis- ANSYS'!$B$43</c:f>
              <c:strCache>
                <c:ptCount val="1"/>
                <c:pt idx="0">
                  <c:v>EBITDA Margin</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ANSYS'!$L$38:$O$38</c:f>
              <c:numCache>
                <c:formatCode>mmm\-yy</c:formatCode>
                <c:ptCount val="4"/>
                <c:pt idx="0">
                  <c:v>43800</c:v>
                </c:pt>
                <c:pt idx="1">
                  <c:v>44166</c:v>
                </c:pt>
                <c:pt idx="2">
                  <c:v>44532</c:v>
                </c:pt>
                <c:pt idx="3">
                  <c:v>44898</c:v>
                </c:pt>
              </c:numCache>
            </c:numRef>
          </c:cat>
          <c:val>
            <c:numRef>
              <c:f>'Analysis- ANSYS'!$L$43:$O$43</c:f>
              <c:numCache>
                <c:formatCode>0.0%</c:formatCode>
                <c:ptCount val="4"/>
                <c:pt idx="0">
                  <c:v>0.38694049444155654</c:v>
                </c:pt>
                <c:pt idx="1">
                  <c:v>0.35103137637193188</c:v>
                </c:pt>
                <c:pt idx="2">
                  <c:v>0.33283736688493037</c:v>
                </c:pt>
                <c:pt idx="3">
                  <c:v>0.34499429450612018</c:v>
                </c:pt>
              </c:numCache>
            </c:numRef>
          </c:val>
          <c:extLst>
            <c:ext xmlns:c16="http://schemas.microsoft.com/office/drawing/2014/chart" uri="{C3380CC4-5D6E-409C-BE32-E72D297353CC}">
              <c16:uniqueId val="{00000000-8BEA-4838-9EB7-711B8B5FB9EC}"/>
            </c:ext>
          </c:extLst>
        </c:ser>
        <c:ser>
          <c:idx val="1"/>
          <c:order val="1"/>
          <c:tx>
            <c:strRef>
              <c:f>'Analysis- ANSYS'!$B$44</c:f>
              <c:strCache>
                <c:ptCount val="1"/>
                <c:pt idx="0">
                  <c:v>Net Margin</c:v>
                </c:pt>
              </c:strCache>
            </c:strRef>
          </c:tx>
          <c:spPr>
            <a:solidFill>
              <a:schemeClr val="accent2"/>
            </a:solidFill>
            <a:ln>
              <a:noFill/>
            </a:ln>
            <a:effectLst/>
          </c:spPr>
          <c:invertIfNegative val="0"/>
          <c:dLbls>
            <c:dLbl>
              <c:idx val="0"/>
              <c:layout>
                <c:manualLayout>
                  <c:x val="2.0618556701030927E-2"/>
                  <c:y val="1.66112956810631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EA-4838-9EB7-711B8B5FB9EC}"/>
                </c:ext>
              </c:extLst>
            </c:dLbl>
            <c:dLbl>
              <c:idx val="1"/>
              <c:layout>
                <c:manualLayout>
                  <c:x val="2.061855670103092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EA-4838-9EB7-711B8B5FB9EC}"/>
                </c:ext>
              </c:extLst>
            </c:dLbl>
            <c:dLbl>
              <c:idx val="2"/>
              <c:layout>
                <c:manualLayout>
                  <c:x val="1.374570446735382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EA-4838-9EB7-711B8B5FB9EC}"/>
                </c:ext>
              </c:extLst>
            </c:dLbl>
            <c:dLbl>
              <c:idx val="3"/>
              <c:layout>
                <c:manualLayout>
                  <c:x val="1.374570446735382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EA-4838-9EB7-711B8B5FB9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ANSYS'!$L$38:$O$38</c:f>
              <c:numCache>
                <c:formatCode>mmm\-yy</c:formatCode>
                <c:ptCount val="4"/>
                <c:pt idx="0">
                  <c:v>43800</c:v>
                </c:pt>
                <c:pt idx="1">
                  <c:v>44166</c:v>
                </c:pt>
                <c:pt idx="2">
                  <c:v>44532</c:v>
                </c:pt>
                <c:pt idx="3">
                  <c:v>44898</c:v>
                </c:pt>
              </c:numCache>
            </c:numRef>
          </c:cat>
          <c:val>
            <c:numRef>
              <c:f>'Analysis- ANSYS'!$L$44:$O$44</c:f>
              <c:numCache>
                <c:formatCode>0.0%</c:formatCode>
                <c:ptCount val="4"/>
                <c:pt idx="0">
                  <c:v>0.29770920355803709</c:v>
                </c:pt>
                <c:pt idx="1">
                  <c:v>0.25806683768542976</c:v>
                </c:pt>
                <c:pt idx="2">
                  <c:v>0.23843469002971079</c:v>
                </c:pt>
                <c:pt idx="3">
                  <c:v>0.25354469238988298</c:v>
                </c:pt>
              </c:numCache>
            </c:numRef>
          </c:val>
          <c:extLst>
            <c:ext xmlns:c16="http://schemas.microsoft.com/office/drawing/2014/chart" uri="{C3380CC4-5D6E-409C-BE32-E72D297353CC}">
              <c16:uniqueId val="{00000001-8BEA-4838-9EB7-711B8B5FB9EC}"/>
            </c:ext>
          </c:extLst>
        </c:ser>
        <c:dLbls>
          <c:showLegendKey val="0"/>
          <c:showVal val="0"/>
          <c:showCatName val="0"/>
          <c:showSerName val="0"/>
          <c:showPercent val="0"/>
          <c:showBubbleSize val="0"/>
        </c:dLbls>
        <c:gapWidth val="219"/>
        <c:overlap val="-27"/>
        <c:axId val="74721024"/>
        <c:axId val="74703968"/>
      </c:barChart>
      <c:dateAx>
        <c:axId val="747210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3968"/>
        <c:crosses val="autoZero"/>
        <c:auto val="1"/>
        <c:lblOffset val="100"/>
        <c:baseTimeUnit val="years"/>
      </c:dateAx>
      <c:valAx>
        <c:axId val="747039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LMT'!$B$24</c:f>
              <c:strCache>
                <c:ptCount val="1"/>
                <c:pt idx="0">
                  <c:v>Debt to Equity Ratio</c:v>
                </c:pt>
              </c:strCache>
            </c:strRef>
          </c:tx>
          <c:spPr>
            <a:solidFill>
              <a:srgbClr val="00FFFF"/>
            </a:solidFill>
            <a:ln>
              <a:solidFill>
                <a:srgbClr val="66FF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LMT'!$L$22:$O$22</c:f>
              <c:numCache>
                <c:formatCode>mmm\-yy</c:formatCode>
                <c:ptCount val="4"/>
                <c:pt idx="0">
                  <c:v>43800</c:v>
                </c:pt>
                <c:pt idx="1">
                  <c:v>44166</c:v>
                </c:pt>
                <c:pt idx="2">
                  <c:v>44532</c:v>
                </c:pt>
                <c:pt idx="3">
                  <c:v>44898</c:v>
                </c:pt>
              </c:numCache>
            </c:numRef>
          </c:cat>
          <c:val>
            <c:numRef>
              <c:f>'Analysis- LMT'!$L$24:$O$24</c:f>
              <c:numCache>
                <c:formatCode>#,##0.00\x</c:formatCode>
                <c:ptCount val="4"/>
                <c:pt idx="0">
                  <c:v>4.0466901183242721</c:v>
                </c:pt>
                <c:pt idx="1">
                  <c:v>2.0231088944305902</c:v>
                </c:pt>
                <c:pt idx="2">
                  <c:v>1.0648781823159048</c:v>
                </c:pt>
                <c:pt idx="3">
                  <c:v>1.6651197927908483</c:v>
                </c:pt>
              </c:numCache>
            </c:numRef>
          </c:val>
          <c:extLst>
            <c:ext xmlns:c16="http://schemas.microsoft.com/office/drawing/2014/chart" uri="{C3380CC4-5D6E-409C-BE32-E72D297353CC}">
              <c16:uniqueId val="{00000000-CA3D-4BE1-B363-28F296299AB5}"/>
            </c:ext>
          </c:extLst>
        </c:ser>
        <c:ser>
          <c:idx val="1"/>
          <c:order val="1"/>
          <c:tx>
            <c:strRef>
              <c:f>'Analysis- LMT'!$B$25</c:f>
              <c:strCache>
                <c:ptCount val="1"/>
                <c:pt idx="0">
                  <c:v>Debt to Capital Ratio</c:v>
                </c:pt>
              </c:strCache>
            </c:strRef>
          </c:tx>
          <c:spPr>
            <a:solidFill>
              <a:srgbClr val="3333FF"/>
            </a:solidFill>
            <a:ln>
              <a:noFill/>
            </a:ln>
            <a:effectLst/>
          </c:spPr>
          <c:invertIfNegative val="0"/>
          <c:dLbls>
            <c:dLbl>
              <c:idx val="0"/>
              <c:layout>
                <c:manualLayout>
                  <c:x val="1.8076644974692697E-2"/>
                  <c:y val="1.194743130227001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A3D-4BE1-B363-28F296299AB5}"/>
                </c:ext>
              </c:extLst>
            </c:dLbl>
            <c:dLbl>
              <c:idx val="1"/>
              <c:layout>
                <c:manualLayout>
                  <c:x val="1.8076644974692697E-2"/>
                  <c:y val="1.792114695340501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A3D-4BE1-B363-28F296299AB5}"/>
                </c:ext>
              </c:extLst>
            </c:dLbl>
            <c:dLbl>
              <c:idx val="2"/>
              <c:layout>
                <c:manualLayout>
                  <c:x val="3.2537960954446721E-2"/>
                  <c:y val="2.389486260453991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A3D-4BE1-B363-28F296299AB5}"/>
                </c:ext>
              </c:extLst>
            </c:dLbl>
            <c:dLbl>
              <c:idx val="3"/>
              <c:layout>
                <c:manualLayout>
                  <c:x val="1.8076644974692697E-2"/>
                  <c:y val="1.194743130226990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A3D-4BE1-B363-28F296299A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LMT'!$L$22:$O$22</c:f>
              <c:numCache>
                <c:formatCode>mmm\-yy</c:formatCode>
                <c:ptCount val="4"/>
                <c:pt idx="0">
                  <c:v>43800</c:v>
                </c:pt>
                <c:pt idx="1">
                  <c:v>44166</c:v>
                </c:pt>
                <c:pt idx="2">
                  <c:v>44532</c:v>
                </c:pt>
                <c:pt idx="3">
                  <c:v>44898</c:v>
                </c:pt>
              </c:numCache>
            </c:numRef>
          </c:cat>
          <c:val>
            <c:numRef>
              <c:f>'Analysis- LMT'!$L$25:$O$25</c:f>
              <c:numCache>
                <c:formatCode>#,##0.00\x</c:formatCode>
                <c:ptCount val="4"/>
                <c:pt idx="0">
                  <c:v>0.80185032634180342</c:v>
                </c:pt>
                <c:pt idx="1">
                  <c:v>0.66921469423669155</c:v>
                </c:pt>
                <c:pt idx="2">
                  <c:v>0.51570992973617924</c:v>
                </c:pt>
                <c:pt idx="3">
                  <c:v>0.62478234460417092</c:v>
                </c:pt>
              </c:numCache>
            </c:numRef>
          </c:val>
          <c:extLst>
            <c:ext xmlns:c16="http://schemas.microsoft.com/office/drawing/2014/chart" uri="{C3380CC4-5D6E-409C-BE32-E72D297353CC}">
              <c16:uniqueId val="{00000001-CA3D-4BE1-B363-28F296299AB5}"/>
            </c:ext>
          </c:extLst>
        </c:ser>
        <c:dLbls>
          <c:showLegendKey val="0"/>
          <c:showVal val="0"/>
          <c:showCatName val="0"/>
          <c:showSerName val="0"/>
          <c:showPercent val="0"/>
          <c:showBubbleSize val="0"/>
        </c:dLbls>
        <c:gapWidth val="219"/>
        <c:overlap val="-27"/>
        <c:axId val="995426496"/>
        <c:axId val="995411520"/>
      </c:barChart>
      <c:dateAx>
        <c:axId val="9954264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11520"/>
        <c:crosses val="autoZero"/>
        <c:auto val="1"/>
        <c:lblOffset val="100"/>
        <c:baseTimeUnit val="years"/>
      </c:dateAx>
      <c:valAx>
        <c:axId val="995411520"/>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26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ROCE</a:t>
            </a:r>
            <a:r>
              <a:rPr lang="en-IN" baseline="0"/>
              <a:t> vs ROIC</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LMT'!$B$41</c:f>
              <c:strCache>
                <c:ptCount val="1"/>
                <c:pt idx="0">
                  <c:v>Return on Capital Employed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LMT'!$L$38:$O$38</c:f>
              <c:numCache>
                <c:formatCode>mmm\-yy</c:formatCode>
                <c:ptCount val="4"/>
                <c:pt idx="0">
                  <c:v>43800</c:v>
                </c:pt>
                <c:pt idx="1">
                  <c:v>44166</c:v>
                </c:pt>
                <c:pt idx="2">
                  <c:v>44532</c:v>
                </c:pt>
                <c:pt idx="3">
                  <c:v>44898</c:v>
                </c:pt>
              </c:numCache>
            </c:numRef>
          </c:cat>
          <c:val>
            <c:numRef>
              <c:f>'Analysis- LMT'!$L$41:$O$41</c:f>
              <c:numCache>
                <c:formatCode>0.0%</c:formatCode>
                <c:ptCount val="4"/>
                <c:pt idx="0">
                  <c:v>0.39477853114504785</c:v>
                </c:pt>
                <c:pt idx="1">
                  <c:v>0.3757699076110867</c:v>
                </c:pt>
                <c:pt idx="2">
                  <c:v>0.27906668434309956</c:v>
                </c:pt>
                <c:pt idx="3">
                  <c:v>0.23211176351488155</c:v>
                </c:pt>
              </c:numCache>
            </c:numRef>
          </c:val>
          <c:smooth val="0"/>
          <c:extLst>
            <c:ext xmlns:c16="http://schemas.microsoft.com/office/drawing/2014/chart" uri="{C3380CC4-5D6E-409C-BE32-E72D297353CC}">
              <c16:uniqueId val="{00000000-161D-4A08-B5E1-D430FC07F280}"/>
            </c:ext>
          </c:extLst>
        </c:ser>
        <c:ser>
          <c:idx val="1"/>
          <c:order val="1"/>
          <c:tx>
            <c:strRef>
              <c:f>'Analysis- LMT'!$B$42</c:f>
              <c:strCache>
                <c:ptCount val="1"/>
                <c:pt idx="0">
                  <c:v>Return on Invested Capital</c:v>
                </c:pt>
              </c:strCache>
            </c:strRef>
          </c:tx>
          <c:spPr>
            <a:ln w="28575" cap="rnd">
              <a:solidFill>
                <a:srgbClr val="00FF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LMT'!$L$38:$O$38</c:f>
              <c:numCache>
                <c:formatCode>mmm\-yy</c:formatCode>
                <c:ptCount val="4"/>
                <c:pt idx="0">
                  <c:v>43800</c:v>
                </c:pt>
                <c:pt idx="1">
                  <c:v>44166</c:v>
                </c:pt>
                <c:pt idx="2">
                  <c:v>44532</c:v>
                </c:pt>
                <c:pt idx="3">
                  <c:v>44898</c:v>
                </c:pt>
              </c:numCache>
            </c:numRef>
          </c:cat>
          <c:val>
            <c:numRef>
              <c:f>'Analysis- LMT'!$L$42:$O$42</c:f>
              <c:numCache>
                <c:formatCode>0.0%</c:formatCode>
                <c:ptCount val="4"/>
                <c:pt idx="0">
                  <c:v>0.6413423924233066</c:v>
                </c:pt>
                <c:pt idx="1">
                  <c:v>0.53981671670090059</c:v>
                </c:pt>
                <c:pt idx="2">
                  <c:v>0.47074170704435336</c:v>
                </c:pt>
                <c:pt idx="3">
                  <c:v>0.43825980579555013</c:v>
                </c:pt>
              </c:numCache>
            </c:numRef>
          </c:val>
          <c:smooth val="0"/>
          <c:extLst>
            <c:ext xmlns:c16="http://schemas.microsoft.com/office/drawing/2014/chart" uri="{C3380CC4-5D6E-409C-BE32-E72D297353CC}">
              <c16:uniqueId val="{00000001-161D-4A08-B5E1-D430FC07F280}"/>
            </c:ext>
          </c:extLst>
        </c:ser>
        <c:dLbls>
          <c:showLegendKey val="0"/>
          <c:showVal val="0"/>
          <c:showCatName val="0"/>
          <c:showSerName val="0"/>
          <c:showPercent val="0"/>
          <c:showBubbleSize val="0"/>
        </c:dLbls>
        <c:smooth val="0"/>
        <c:axId val="996675744"/>
        <c:axId val="996674080"/>
      </c:lineChart>
      <c:dateAx>
        <c:axId val="9966757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74080"/>
        <c:crosses val="autoZero"/>
        <c:auto val="1"/>
        <c:lblOffset val="100"/>
        <c:baseTimeUnit val="years"/>
      </c:dateAx>
      <c:valAx>
        <c:axId val="9966740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75744"/>
        <c:crosses val="autoZero"/>
        <c:crossBetween val="between"/>
      </c:valAx>
      <c:spPr>
        <a:noFill/>
        <a:ln>
          <a:noFill/>
        </a:ln>
        <a:effectLst/>
      </c:spPr>
    </c:plotArea>
    <c:legend>
      <c:legendPos val="b"/>
      <c:layout>
        <c:manualLayout>
          <c:xMode val="edge"/>
          <c:yMode val="edge"/>
          <c:x val="1.1377952755905498E-2"/>
          <c:y val="0.80563904359516036"/>
          <c:w val="0.9812123484564429"/>
          <c:h val="0.16387315152679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LMT'!$B$43</c:f>
              <c:strCache>
                <c:ptCount val="1"/>
                <c:pt idx="0">
                  <c:v>EBITDA Margin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LMT'!$L$38:$O$38</c:f>
              <c:numCache>
                <c:formatCode>mmm\-yy</c:formatCode>
                <c:ptCount val="4"/>
                <c:pt idx="0">
                  <c:v>43800</c:v>
                </c:pt>
                <c:pt idx="1">
                  <c:v>44166</c:v>
                </c:pt>
                <c:pt idx="2">
                  <c:v>44532</c:v>
                </c:pt>
                <c:pt idx="3">
                  <c:v>44898</c:v>
                </c:pt>
              </c:numCache>
            </c:numRef>
          </c:cat>
          <c:val>
            <c:numRef>
              <c:f>'Analysis- LMT'!$L$43:$O$43</c:f>
              <c:numCache>
                <c:formatCode>0.0%</c:formatCode>
                <c:ptCount val="4"/>
                <c:pt idx="0">
                  <c:v>0.13799906373303017</c:v>
                </c:pt>
                <c:pt idx="1">
                  <c:v>0.14162512615064682</c:v>
                </c:pt>
                <c:pt idx="2">
                  <c:v>0.14712725971004117</c:v>
                </c:pt>
                <c:pt idx="3">
                  <c:v>0.1266064500484966</c:v>
                </c:pt>
              </c:numCache>
            </c:numRef>
          </c:val>
          <c:extLst>
            <c:ext xmlns:c16="http://schemas.microsoft.com/office/drawing/2014/chart" uri="{C3380CC4-5D6E-409C-BE32-E72D297353CC}">
              <c16:uniqueId val="{00000000-7173-4D8A-9B97-B14C2AB3E8F0}"/>
            </c:ext>
          </c:extLst>
        </c:ser>
        <c:ser>
          <c:idx val="1"/>
          <c:order val="1"/>
          <c:tx>
            <c:strRef>
              <c:f>'Analysis- LMT'!$B$44</c:f>
              <c:strCache>
                <c:ptCount val="1"/>
                <c:pt idx="0">
                  <c:v>Net Margin</c:v>
                </c:pt>
              </c:strCache>
            </c:strRef>
          </c:tx>
          <c:spPr>
            <a:solidFill>
              <a:srgbClr val="66FFFF"/>
            </a:solidFill>
            <a:ln>
              <a:noFill/>
            </a:ln>
            <a:effectLst/>
          </c:spPr>
          <c:invertIfNegative val="0"/>
          <c:dLbls>
            <c:dLbl>
              <c:idx val="0"/>
              <c:layout>
                <c:manualLayout>
                  <c:x val="2.3980815347721823E-2"/>
                  <c:y val="1.12994350282485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73-4D8A-9B97-B14C2AB3E8F0}"/>
                </c:ext>
              </c:extLst>
            </c:dLbl>
            <c:dLbl>
              <c:idx val="1"/>
              <c:layout>
                <c:manualLayout>
                  <c:x val="1.9984012789768184E-2"/>
                  <c:y val="1.69491525423728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73-4D8A-9B97-B14C2AB3E8F0}"/>
                </c:ext>
              </c:extLst>
            </c:dLbl>
            <c:dLbl>
              <c:idx val="2"/>
              <c:layout>
                <c:manualLayout>
                  <c:x val="2.398081534772175E-2"/>
                  <c:y val="5.649717514124293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73-4D8A-9B97-B14C2AB3E8F0}"/>
                </c:ext>
              </c:extLst>
            </c:dLbl>
            <c:dLbl>
              <c:idx val="3"/>
              <c:layout>
                <c:manualLayout>
                  <c:x val="1.9984012789768184E-2"/>
                  <c:y val="1.69491525423728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73-4D8A-9B97-B14C2AB3E8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LMT'!$L$38:$O$38</c:f>
              <c:numCache>
                <c:formatCode>mmm\-yy</c:formatCode>
                <c:ptCount val="4"/>
                <c:pt idx="0">
                  <c:v>43800</c:v>
                </c:pt>
                <c:pt idx="1">
                  <c:v>44166</c:v>
                </c:pt>
                <c:pt idx="2">
                  <c:v>44532</c:v>
                </c:pt>
                <c:pt idx="3">
                  <c:v>44898</c:v>
                </c:pt>
              </c:numCache>
            </c:numRef>
          </c:cat>
          <c:val>
            <c:numRef>
              <c:f>'Analysis- LMT'!$L$44:$O$44</c:f>
              <c:numCache>
                <c:formatCode>0.0%</c:formatCode>
                <c:ptCount val="4"/>
                <c:pt idx="0">
                  <c:v>0.10415970039456965</c:v>
                </c:pt>
                <c:pt idx="1">
                  <c:v>0.10448331753264625</c:v>
                </c:pt>
                <c:pt idx="2">
                  <c:v>9.4191873993198491E-2</c:v>
                </c:pt>
                <c:pt idx="3">
                  <c:v>8.6869544131910767E-2</c:v>
                </c:pt>
              </c:numCache>
            </c:numRef>
          </c:val>
          <c:extLst>
            <c:ext xmlns:c16="http://schemas.microsoft.com/office/drawing/2014/chart" uri="{C3380CC4-5D6E-409C-BE32-E72D297353CC}">
              <c16:uniqueId val="{00000001-7173-4D8A-9B97-B14C2AB3E8F0}"/>
            </c:ext>
          </c:extLst>
        </c:ser>
        <c:dLbls>
          <c:showLegendKey val="0"/>
          <c:showVal val="0"/>
          <c:showCatName val="0"/>
          <c:showSerName val="0"/>
          <c:showPercent val="0"/>
          <c:showBubbleSize val="0"/>
        </c:dLbls>
        <c:gapWidth val="219"/>
        <c:overlap val="-27"/>
        <c:axId val="996676576"/>
        <c:axId val="996682816"/>
      </c:barChart>
      <c:dateAx>
        <c:axId val="9966765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82816"/>
        <c:crosses val="autoZero"/>
        <c:auto val="1"/>
        <c:lblOffset val="100"/>
        <c:baseTimeUnit val="years"/>
      </c:dateAx>
      <c:valAx>
        <c:axId val="9966828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76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r>
              <a:rPr lang="en-IN" baseline="0"/>
              <a:t> Ratio</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00FFFF"/>
              </a:solidFill>
              <a:round/>
            </a:ln>
            <a:effectLst/>
          </c:spPr>
          <c:marker>
            <c:symbol val="none"/>
          </c:marker>
          <c:dLbls>
            <c:dLbl>
              <c:idx val="1"/>
              <c:layout>
                <c:manualLayout>
                  <c:x val="-9.0314396857910664E-2"/>
                  <c:y val="4.75809861015695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90-446B-9F24-E5FF7A9CB00D}"/>
                </c:ext>
              </c:extLst>
            </c:dLbl>
            <c:dLbl>
              <c:idx val="2"/>
              <c:layout>
                <c:manualLayout>
                  <c:x val="-8.6336672116462773E-2"/>
                  <c:y val="5.31738272648804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90-446B-9F24-E5FF7A9CB0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LMT'!$L$47:$O$47</c:f>
              <c:numCache>
                <c:formatCode>mmm\-yy</c:formatCode>
                <c:ptCount val="4"/>
                <c:pt idx="0">
                  <c:v>43800</c:v>
                </c:pt>
                <c:pt idx="1">
                  <c:v>44166</c:v>
                </c:pt>
                <c:pt idx="2">
                  <c:v>44532</c:v>
                </c:pt>
                <c:pt idx="3">
                  <c:v>44898</c:v>
                </c:pt>
              </c:numCache>
            </c:numRef>
          </c:cat>
          <c:val>
            <c:numRef>
              <c:f>'Analysis- LMT'!$L$49:$O$49</c:f>
              <c:numCache>
                <c:formatCode>#,##0.00\x</c:formatCode>
                <c:ptCount val="4"/>
                <c:pt idx="0">
                  <c:v>17.561797752808989</c:v>
                </c:pt>
                <c:pt idx="1">
                  <c:v>14.533879701448852</c:v>
                </c:pt>
                <c:pt idx="2">
                  <c:v>15.250989707046713</c:v>
                </c:pt>
                <c:pt idx="3">
                  <c:v>22.241800418702024</c:v>
                </c:pt>
              </c:numCache>
            </c:numRef>
          </c:val>
          <c:smooth val="0"/>
          <c:extLst>
            <c:ext xmlns:c16="http://schemas.microsoft.com/office/drawing/2014/chart" uri="{C3380CC4-5D6E-409C-BE32-E72D297353CC}">
              <c16:uniqueId val="{00000000-F490-446B-9F24-E5FF7A9CB00D}"/>
            </c:ext>
          </c:extLst>
        </c:ser>
        <c:dLbls>
          <c:showLegendKey val="0"/>
          <c:showVal val="0"/>
          <c:showCatName val="0"/>
          <c:showSerName val="0"/>
          <c:showPercent val="0"/>
          <c:showBubbleSize val="0"/>
        </c:dLbls>
        <c:smooth val="0"/>
        <c:axId val="996694880"/>
        <c:axId val="996690720"/>
      </c:lineChart>
      <c:dateAx>
        <c:axId val="9966948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90720"/>
        <c:crosses val="autoZero"/>
        <c:auto val="1"/>
        <c:lblOffset val="100"/>
        <c:baseTimeUnit val="years"/>
      </c:dateAx>
      <c:valAx>
        <c:axId val="996690720"/>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948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LMT'!$L$38:$O$38</c:f>
              <c:numCache>
                <c:formatCode>mmm\-yy</c:formatCode>
                <c:ptCount val="4"/>
                <c:pt idx="0">
                  <c:v>43800</c:v>
                </c:pt>
                <c:pt idx="1">
                  <c:v>44166</c:v>
                </c:pt>
                <c:pt idx="2">
                  <c:v>44532</c:v>
                </c:pt>
                <c:pt idx="3">
                  <c:v>44898</c:v>
                </c:pt>
              </c:numCache>
            </c:numRef>
          </c:cat>
          <c:val>
            <c:numRef>
              <c:f>'Analysis- LMT'!$L$40:$O$40</c:f>
              <c:numCache>
                <c:formatCode>0.0%</c:formatCode>
                <c:ptCount val="4"/>
                <c:pt idx="0">
                  <c:v>0.13108062615721258</c:v>
                </c:pt>
                <c:pt idx="1">
                  <c:v>0.13474659830408203</c:v>
                </c:pt>
                <c:pt idx="2">
                  <c:v>0.12413264403514634</c:v>
                </c:pt>
                <c:pt idx="3">
                  <c:v>0.1083963691376702</c:v>
                </c:pt>
              </c:numCache>
            </c:numRef>
          </c:val>
          <c:smooth val="0"/>
          <c:extLst>
            <c:ext xmlns:c16="http://schemas.microsoft.com/office/drawing/2014/chart" uri="{C3380CC4-5D6E-409C-BE32-E72D297353CC}">
              <c16:uniqueId val="{00000000-01DE-4A92-B876-36C638875EF7}"/>
            </c:ext>
          </c:extLst>
        </c:ser>
        <c:dLbls>
          <c:showLegendKey val="0"/>
          <c:showVal val="0"/>
          <c:showCatName val="0"/>
          <c:showSerName val="0"/>
          <c:showPercent val="0"/>
          <c:showBubbleSize val="0"/>
        </c:dLbls>
        <c:smooth val="0"/>
        <c:axId val="996719008"/>
        <c:axId val="996718592"/>
      </c:lineChart>
      <c:dateAx>
        <c:axId val="9967190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718592"/>
        <c:crosses val="autoZero"/>
        <c:auto val="1"/>
        <c:lblOffset val="100"/>
        <c:baseTimeUnit val="years"/>
      </c:dateAx>
      <c:valAx>
        <c:axId val="9967185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7190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79076464546791"/>
          <c:y val="0.21374859708193047"/>
          <c:w val="0.80520403299971133"/>
          <c:h val="0.53331433318309962"/>
        </c:manualLayout>
      </c:layout>
      <c:barChart>
        <c:barDir val="col"/>
        <c:grouping val="clustered"/>
        <c:varyColors val="0"/>
        <c:ser>
          <c:idx val="0"/>
          <c:order val="0"/>
          <c:tx>
            <c:strRef>
              <c:f>'Analysis- Raytheon'!$B$25</c:f>
              <c:strCache>
                <c:ptCount val="1"/>
                <c:pt idx="0">
                  <c:v>Debt to Equity Ratio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Raytheon'!$M$23:$P$23</c:f>
              <c:numCache>
                <c:formatCode>mmm\-yy</c:formatCode>
                <c:ptCount val="4"/>
                <c:pt idx="0">
                  <c:v>43800</c:v>
                </c:pt>
                <c:pt idx="1">
                  <c:v>44166</c:v>
                </c:pt>
                <c:pt idx="2">
                  <c:v>44532</c:v>
                </c:pt>
                <c:pt idx="3">
                  <c:v>44898</c:v>
                </c:pt>
              </c:numCache>
            </c:numRef>
          </c:cat>
          <c:val>
            <c:numRef>
              <c:f>'Analysis- Raytheon'!$M$25:$P$25</c:f>
              <c:numCache>
                <c:formatCode>#,##0.00\x</c:formatCode>
                <c:ptCount val="4"/>
                <c:pt idx="0">
                  <c:v>1.0353808589074545</c:v>
                </c:pt>
                <c:pt idx="1">
                  <c:v>0.44098776381248006</c:v>
                </c:pt>
                <c:pt idx="2">
                  <c:v>0.43939310496750744</c:v>
                </c:pt>
                <c:pt idx="3">
                  <c:v>0.43089998357694204</c:v>
                </c:pt>
              </c:numCache>
            </c:numRef>
          </c:val>
          <c:extLst>
            <c:ext xmlns:c16="http://schemas.microsoft.com/office/drawing/2014/chart" uri="{C3380CC4-5D6E-409C-BE32-E72D297353CC}">
              <c16:uniqueId val="{00000000-0977-496F-B7C4-85DA96E92C1C}"/>
            </c:ext>
          </c:extLst>
        </c:ser>
        <c:ser>
          <c:idx val="1"/>
          <c:order val="1"/>
          <c:tx>
            <c:strRef>
              <c:f>'Analysis- Raytheon'!$B$26</c:f>
              <c:strCache>
                <c:ptCount val="1"/>
                <c:pt idx="0">
                  <c:v>Debt to Capital Ratio</c:v>
                </c:pt>
              </c:strCache>
            </c:strRef>
          </c:tx>
          <c:spPr>
            <a:solidFill>
              <a:schemeClr val="accent2"/>
            </a:solidFill>
            <a:ln>
              <a:noFill/>
            </a:ln>
            <a:effectLst/>
          </c:spPr>
          <c:invertIfNegative val="0"/>
          <c:dLbls>
            <c:dLbl>
              <c:idx val="0"/>
              <c:layout>
                <c:manualLayout>
                  <c:x val="2.1312872975277068E-2"/>
                  <c:y val="1.68350168350167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77-496F-B7C4-85DA96E92C1C}"/>
                </c:ext>
              </c:extLst>
            </c:dLbl>
            <c:dLbl>
              <c:idx val="1"/>
              <c:layout>
                <c:manualLayout>
                  <c:x val="2.557544757033248E-2"/>
                  <c:y val="5.611672278338944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77-496F-B7C4-85DA96E92C1C}"/>
                </c:ext>
              </c:extLst>
            </c:dLbl>
            <c:dLbl>
              <c:idx val="2"/>
              <c:layout>
                <c:manualLayout>
                  <c:x val="2.5575447570332404E-2"/>
                  <c:y val="1.68350168350168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77-496F-B7C4-85DA96E92C1C}"/>
                </c:ext>
              </c:extLst>
            </c:dLbl>
            <c:dLbl>
              <c:idx val="3"/>
              <c:layout>
                <c:manualLayout>
                  <c:x val="1.705029838022165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77-496F-B7C4-85DA96E92C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Raytheon'!$M$23:$P$23</c:f>
              <c:numCache>
                <c:formatCode>mmm\-yy</c:formatCode>
                <c:ptCount val="4"/>
                <c:pt idx="0">
                  <c:v>43800</c:v>
                </c:pt>
                <c:pt idx="1">
                  <c:v>44166</c:v>
                </c:pt>
                <c:pt idx="2">
                  <c:v>44532</c:v>
                </c:pt>
                <c:pt idx="3">
                  <c:v>44898</c:v>
                </c:pt>
              </c:numCache>
            </c:numRef>
          </c:cat>
          <c:val>
            <c:numRef>
              <c:f>'Analysis- Raytheon'!$M$26:$P$26</c:f>
              <c:numCache>
                <c:formatCode>#,##0.00\x</c:formatCode>
                <c:ptCount val="4"/>
                <c:pt idx="0">
                  <c:v>0.50869145908310398</c:v>
                </c:pt>
                <c:pt idx="1">
                  <c:v>0.30603158117438883</c:v>
                </c:pt>
                <c:pt idx="2">
                  <c:v>0.30526275515084267</c:v>
                </c:pt>
                <c:pt idx="3">
                  <c:v>0.30113913517546126</c:v>
                </c:pt>
              </c:numCache>
            </c:numRef>
          </c:val>
          <c:extLst>
            <c:ext xmlns:c16="http://schemas.microsoft.com/office/drawing/2014/chart" uri="{C3380CC4-5D6E-409C-BE32-E72D297353CC}">
              <c16:uniqueId val="{00000001-0977-496F-B7C4-85DA96E92C1C}"/>
            </c:ext>
          </c:extLst>
        </c:ser>
        <c:dLbls>
          <c:showLegendKey val="0"/>
          <c:showVal val="0"/>
          <c:showCatName val="0"/>
          <c:showSerName val="0"/>
          <c:showPercent val="0"/>
          <c:showBubbleSize val="0"/>
        </c:dLbls>
        <c:gapWidth val="219"/>
        <c:overlap val="-27"/>
        <c:axId val="1714133615"/>
        <c:axId val="1714124879"/>
      </c:barChart>
      <c:dateAx>
        <c:axId val="171413361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24879"/>
        <c:crosses val="autoZero"/>
        <c:auto val="1"/>
        <c:lblOffset val="100"/>
        <c:baseTimeUnit val="years"/>
      </c:dateAx>
      <c:valAx>
        <c:axId val="1714124879"/>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33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r>
              <a:rPr lang="en-IN" baseline="0"/>
              <a:t> vs ROA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Raytheon'!$B$40</c:f>
              <c:strCache>
                <c:ptCount val="1"/>
                <c:pt idx="0">
                  <c:v>Return on Equity</c:v>
                </c:pt>
              </c:strCache>
            </c:strRef>
          </c:tx>
          <c:spPr>
            <a:ln w="28575" cap="rnd">
              <a:solidFill>
                <a:srgbClr val="FF0000"/>
              </a:solidFill>
              <a:round/>
            </a:ln>
            <a:effectLst/>
          </c:spPr>
          <c:marker>
            <c:symbol val="none"/>
          </c:marker>
          <c:dLbls>
            <c:dLbl>
              <c:idx val="1"/>
              <c:layout>
                <c:manualLayout>
                  <c:x val="-8.1730290042858561E-2"/>
                  <c:y val="4.0511524844441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81-493E-BB68-9F227E247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Raytheon'!$M$39:$P$39</c:f>
              <c:numCache>
                <c:formatCode>mmm\-yy</c:formatCode>
                <c:ptCount val="4"/>
                <c:pt idx="0">
                  <c:v>43800</c:v>
                </c:pt>
                <c:pt idx="1">
                  <c:v>44166</c:v>
                </c:pt>
                <c:pt idx="2">
                  <c:v>44532</c:v>
                </c:pt>
                <c:pt idx="3">
                  <c:v>44898</c:v>
                </c:pt>
              </c:numCache>
            </c:numRef>
          </c:cat>
          <c:val>
            <c:numRef>
              <c:f>'Analysis- Raytheon'!$M$40:$P$40</c:f>
              <c:numCache>
                <c:formatCode>0.0%</c:formatCode>
                <c:ptCount val="4"/>
                <c:pt idx="0">
                  <c:v>0.13254656006128213</c:v>
                </c:pt>
                <c:pt idx="1">
                  <c:v>-4.8764602358549396E-2</c:v>
                </c:pt>
                <c:pt idx="2">
                  <c:v>5.319969159599075E-2</c:v>
                </c:pt>
                <c:pt idx="3">
                  <c:v>7.1125526906443318E-2</c:v>
                </c:pt>
              </c:numCache>
            </c:numRef>
          </c:val>
          <c:smooth val="0"/>
          <c:extLst>
            <c:ext xmlns:c16="http://schemas.microsoft.com/office/drawing/2014/chart" uri="{C3380CC4-5D6E-409C-BE32-E72D297353CC}">
              <c16:uniqueId val="{00000000-4B81-493E-BB68-9F227E247544}"/>
            </c:ext>
          </c:extLst>
        </c:ser>
        <c:ser>
          <c:idx val="1"/>
          <c:order val="1"/>
          <c:tx>
            <c:strRef>
              <c:f>'Analysis- Raytheon'!$B$41</c:f>
              <c:strCache>
                <c:ptCount val="1"/>
                <c:pt idx="0">
                  <c:v>Return on Asset</c:v>
                </c:pt>
              </c:strCache>
            </c:strRef>
          </c:tx>
          <c:spPr>
            <a:ln w="28575" cap="rnd">
              <a:solidFill>
                <a:schemeClr val="accent2"/>
              </a:solidFill>
              <a:round/>
            </a:ln>
            <a:effectLst/>
          </c:spPr>
          <c:marker>
            <c:symbol val="none"/>
          </c:marker>
          <c:dLbls>
            <c:dLbl>
              <c:idx val="0"/>
              <c:layout>
                <c:manualLayout>
                  <c:x val="-4.8368110236220473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B81-493E-BB68-9F227E247544}"/>
                </c:ext>
              </c:extLst>
            </c:dLbl>
            <c:dLbl>
              <c:idx val="1"/>
              <c:layout>
                <c:manualLayout>
                  <c:x val="-6.4958304262600089E-2"/>
                  <c:y val="-6.68355123833819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81-493E-BB68-9F227E247544}"/>
                </c:ext>
              </c:extLst>
            </c:dLbl>
            <c:dLbl>
              <c:idx val="2"/>
              <c:layout>
                <c:manualLayout>
                  <c:x val="-4.5590332458442698E-2"/>
                  <c:y val="-2.54283318751823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81-493E-BB68-9F227E247544}"/>
                </c:ext>
              </c:extLst>
            </c:dLbl>
            <c:dLbl>
              <c:idx val="3"/>
              <c:layout>
                <c:manualLayout>
                  <c:x val="-4.5590332458442698E-2"/>
                  <c:y val="-3.00579615048119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B81-493E-BB68-9F227E247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Raytheon'!$M$39:$P$39</c:f>
              <c:numCache>
                <c:formatCode>mmm\-yy</c:formatCode>
                <c:ptCount val="4"/>
                <c:pt idx="0">
                  <c:v>43800</c:v>
                </c:pt>
                <c:pt idx="1">
                  <c:v>44166</c:v>
                </c:pt>
                <c:pt idx="2">
                  <c:v>44532</c:v>
                </c:pt>
                <c:pt idx="3">
                  <c:v>44898</c:v>
                </c:pt>
              </c:numCache>
            </c:numRef>
          </c:cat>
          <c:val>
            <c:numRef>
              <c:f>'Analysis- Raytheon'!$M$41:$P$41</c:f>
              <c:numCache>
                <c:formatCode>0.0%</c:formatCode>
                <c:ptCount val="4"/>
                <c:pt idx="0">
                  <c:v>3.9659062421659563E-2</c:v>
                </c:pt>
                <c:pt idx="1">
                  <c:v>-2.1701726147527335E-2</c:v>
                </c:pt>
                <c:pt idx="2">
                  <c:v>2.4322691106858696E-2</c:v>
                </c:pt>
                <c:pt idx="3">
                  <c:v>3.2198706351763279E-2</c:v>
                </c:pt>
              </c:numCache>
            </c:numRef>
          </c:val>
          <c:smooth val="0"/>
          <c:extLst>
            <c:ext xmlns:c16="http://schemas.microsoft.com/office/drawing/2014/chart" uri="{C3380CC4-5D6E-409C-BE32-E72D297353CC}">
              <c16:uniqueId val="{00000001-4B81-493E-BB68-9F227E247544}"/>
            </c:ext>
          </c:extLst>
        </c:ser>
        <c:dLbls>
          <c:showLegendKey val="0"/>
          <c:showVal val="0"/>
          <c:showCatName val="0"/>
          <c:showSerName val="0"/>
          <c:showPercent val="0"/>
          <c:showBubbleSize val="0"/>
        </c:dLbls>
        <c:smooth val="0"/>
        <c:axId val="1714183951"/>
        <c:axId val="1714176047"/>
      </c:lineChart>
      <c:dateAx>
        <c:axId val="17141839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76047"/>
        <c:crosses val="autoZero"/>
        <c:auto val="1"/>
        <c:lblOffset val="100"/>
        <c:baseTimeUnit val="years"/>
      </c:dateAx>
      <c:valAx>
        <c:axId val="171417604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83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Raytheon'!$B$44</c:f>
              <c:strCache>
                <c:ptCount val="1"/>
                <c:pt idx="0">
                  <c:v>EBITDA Margin</c:v>
                </c:pt>
              </c:strCache>
            </c:strRef>
          </c:tx>
          <c:spPr>
            <a:ln w="28575" cap="rnd">
              <a:solidFill>
                <a:srgbClr val="FF6600"/>
              </a:solidFill>
              <a:round/>
            </a:ln>
            <a:effectLst/>
          </c:spPr>
          <c:marker>
            <c:symbol val="none"/>
          </c:marker>
          <c:dLbls>
            <c:dLbl>
              <c:idx val="0"/>
              <c:layout>
                <c:manualLayout>
                  <c:x val="-8.26722069061267E-2"/>
                  <c:y val="-4.7818241469816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33-43FD-9059-21B4DD930629}"/>
                </c:ext>
              </c:extLst>
            </c:dLbl>
            <c:dLbl>
              <c:idx val="2"/>
              <c:layout>
                <c:manualLayout>
                  <c:x val="-8.2672206906126658E-2"/>
                  <c:y val="-5.3448872100446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33-43FD-9059-21B4DD930629}"/>
                </c:ext>
              </c:extLst>
            </c:dLbl>
            <c:dLbl>
              <c:idx val="3"/>
              <c:layout>
                <c:manualLayout>
                  <c:x val="-8.2672206906126658E-2"/>
                  <c:y val="-4.21876108391856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33-43FD-9059-21B4DD9306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Raytheon'!$M$39:$P$39</c:f>
              <c:numCache>
                <c:formatCode>mmm\-yy</c:formatCode>
                <c:ptCount val="4"/>
                <c:pt idx="0">
                  <c:v>43800</c:v>
                </c:pt>
                <c:pt idx="1">
                  <c:v>44166</c:v>
                </c:pt>
                <c:pt idx="2">
                  <c:v>44532</c:v>
                </c:pt>
                <c:pt idx="3">
                  <c:v>44898</c:v>
                </c:pt>
              </c:numCache>
            </c:numRef>
          </c:cat>
          <c:val>
            <c:numRef>
              <c:f>'Analysis- Raytheon'!$M$44:$P$44</c:f>
              <c:numCache>
                <c:formatCode>0.0%</c:formatCode>
                <c:ptCount val="4"/>
                <c:pt idx="0">
                  <c:v>0.18635471564973868</c:v>
                </c:pt>
                <c:pt idx="1">
                  <c:v>5.6002262003640411E-2</c:v>
                </c:pt>
                <c:pt idx="2">
                  <c:v>0.1678884264148599</c:v>
                </c:pt>
                <c:pt idx="3">
                  <c:v>0.17012553299341027</c:v>
                </c:pt>
              </c:numCache>
            </c:numRef>
          </c:val>
          <c:smooth val="0"/>
          <c:extLst>
            <c:ext xmlns:c16="http://schemas.microsoft.com/office/drawing/2014/chart" uri="{C3380CC4-5D6E-409C-BE32-E72D297353CC}">
              <c16:uniqueId val="{00000000-5A33-43FD-9059-21B4DD930629}"/>
            </c:ext>
          </c:extLst>
        </c:ser>
        <c:ser>
          <c:idx val="1"/>
          <c:order val="1"/>
          <c:tx>
            <c:strRef>
              <c:f>'Analysis- Raytheon'!$B$45</c:f>
              <c:strCache>
                <c:ptCount val="1"/>
                <c:pt idx="0">
                  <c:v>Net Margin</c:v>
                </c:pt>
              </c:strCache>
            </c:strRef>
          </c:tx>
          <c:spPr>
            <a:ln w="28575" cap="rnd">
              <a:solidFill>
                <a:srgbClr val="FF3300"/>
              </a:solidFill>
              <a:round/>
            </a:ln>
            <a:effectLst/>
          </c:spPr>
          <c:marker>
            <c:symbol val="none"/>
          </c:marker>
          <c:dLbls>
            <c:dLbl>
              <c:idx val="0"/>
              <c:layout>
                <c:manualLayout>
                  <c:x val="-0.10786112378270096"/>
                  <c:y val="-4.7818241469816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33-43FD-9059-21B4DD930629}"/>
                </c:ext>
              </c:extLst>
            </c:dLbl>
            <c:dLbl>
              <c:idx val="1"/>
              <c:layout>
                <c:manualLayout>
                  <c:x val="-6.6209167179039727E-2"/>
                  <c:y val="3.11280768957935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33-43FD-9059-21B4DD9306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Raytheon'!$M$39:$P$39</c:f>
              <c:numCache>
                <c:formatCode>mmm\-yy</c:formatCode>
                <c:ptCount val="4"/>
                <c:pt idx="0">
                  <c:v>43800</c:v>
                </c:pt>
                <c:pt idx="1">
                  <c:v>44166</c:v>
                </c:pt>
                <c:pt idx="2">
                  <c:v>44532</c:v>
                </c:pt>
                <c:pt idx="3">
                  <c:v>44898</c:v>
                </c:pt>
              </c:numCache>
            </c:numRef>
          </c:cat>
          <c:val>
            <c:numRef>
              <c:f>'Analysis- Raytheon'!$M$45:$P$45</c:f>
              <c:numCache>
                <c:formatCode>0.0%</c:formatCode>
                <c:ptCount val="4"/>
                <c:pt idx="0">
                  <c:v>0.12209751041919337</c:v>
                </c:pt>
                <c:pt idx="1">
                  <c:v>-6.2187428207892269E-2</c:v>
                </c:pt>
                <c:pt idx="2">
                  <c:v>6.0011182207864819E-2</c:v>
                </c:pt>
                <c:pt idx="3">
                  <c:v>7.748158750037272E-2</c:v>
                </c:pt>
              </c:numCache>
            </c:numRef>
          </c:val>
          <c:smooth val="0"/>
          <c:extLst>
            <c:ext xmlns:c16="http://schemas.microsoft.com/office/drawing/2014/chart" uri="{C3380CC4-5D6E-409C-BE32-E72D297353CC}">
              <c16:uniqueId val="{00000001-5A33-43FD-9059-21B4DD930629}"/>
            </c:ext>
          </c:extLst>
        </c:ser>
        <c:dLbls>
          <c:showLegendKey val="0"/>
          <c:showVal val="0"/>
          <c:showCatName val="0"/>
          <c:showSerName val="0"/>
          <c:showPercent val="0"/>
          <c:showBubbleSize val="0"/>
        </c:dLbls>
        <c:smooth val="0"/>
        <c:axId val="1654727087"/>
        <c:axId val="1654729999"/>
      </c:lineChart>
      <c:dateAx>
        <c:axId val="165472708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29999"/>
        <c:crosses val="autoZero"/>
        <c:auto val="1"/>
        <c:lblOffset val="100"/>
        <c:baseTimeUnit val="years"/>
      </c:dateAx>
      <c:valAx>
        <c:axId val="165472999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27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72703412073492E-2"/>
          <c:y val="0.18560185185185185"/>
          <c:w val="0.86601618547681536"/>
          <c:h val="0.61498432487605714"/>
        </c:manualLayout>
      </c:layout>
      <c:lineChart>
        <c:grouping val="standard"/>
        <c:varyColors val="0"/>
        <c:ser>
          <c:idx val="0"/>
          <c:order val="0"/>
          <c:tx>
            <c:strRef>
              <c:f>'Analysis-NVIDIA'!$B$43</c:f>
              <c:strCache>
                <c:ptCount val="1"/>
                <c:pt idx="0">
                  <c:v>EBITDA Margin</c:v>
                </c:pt>
              </c:strCache>
            </c:strRef>
          </c:tx>
          <c:spPr>
            <a:ln w="28575" cap="rnd">
              <a:solidFill>
                <a:srgbClr val="92D050"/>
              </a:solidFill>
              <a:round/>
            </a:ln>
            <a:effectLst/>
          </c:spPr>
          <c:marker>
            <c:symbol val="none"/>
          </c:marker>
          <c:dLbls>
            <c:dLbl>
              <c:idx val="0"/>
              <c:layout>
                <c:manualLayout>
                  <c:x val="-0.11230665341589582"/>
                  <c:y val="-2.845930903588191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4F1E-421F-B9EA-7963914CEB69}"/>
                </c:ext>
              </c:extLst>
            </c:dLbl>
            <c:dLbl>
              <c:idx val="1"/>
              <c:layout>
                <c:manualLayout>
                  <c:x val="-5.1923665791776027E-2"/>
                  <c:y val="-3.93172207640711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4F1E-421F-B9EA-7963914CEB69}"/>
                </c:ext>
              </c:extLst>
            </c:dLbl>
            <c:dLbl>
              <c:idx val="2"/>
              <c:layout>
                <c:manualLayout>
                  <c:x val="-3.5256999125109462E-2"/>
                  <c:y val="-5.320610965296004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F1E-421F-B9EA-7963914CEB69}"/>
                </c:ext>
              </c:extLst>
            </c:dLbl>
            <c:dLbl>
              <c:idx val="3"/>
              <c:layout>
                <c:manualLayout>
                  <c:x val="-3.2479221347331687E-2"/>
                  <c:y val="-3.00579615048119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4F1E-421F-B9EA-7963914CEB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'Analysis-NVIDIA'!$L$38:$O$38</c:f>
              <c:numCache>
                <c:formatCode>mmm\-yy</c:formatCode>
                <c:ptCount val="4"/>
                <c:pt idx="0">
                  <c:v>43831</c:v>
                </c:pt>
                <c:pt idx="1">
                  <c:v>44197</c:v>
                </c:pt>
                <c:pt idx="2">
                  <c:v>44563</c:v>
                </c:pt>
                <c:pt idx="3">
                  <c:v>44929</c:v>
                </c:pt>
              </c:numCache>
            </c:numRef>
          </c:cat>
          <c:val>
            <c:numRef>
              <c:f>'Analysis-NVIDIA'!$L$43:$O$43</c:f>
              <c:numCache>
                <c:formatCode>0.0%</c:formatCode>
                <c:ptCount val="4"/>
                <c:pt idx="0">
                  <c:v>0.22195447467932083</c:v>
                </c:pt>
                <c:pt idx="1">
                  <c:v>0.42175076168536824</c:v>
                </c:pt>
                <c:pt idx="2">
                  <c:v>0.34128935532233884</c:v>
                </c:pt>
                <c:pt idx="3">
                  <c:v>0.3116871221835501</c:v>
                </c:pt>
              </c:numCache>
            </c:numRef>
          </c:val>
          <c:smooth val="0"/>
          <c:extLst>
            <c:ext xmlns:c16="http://schemas.microsoft.com/office/drawing/2014/chart" uri="{C3380CC4-5D6E-409C-BE32-E72D297353CC}">
              <c16:uniqueId val="{00000000-4F1E-421F-B9EA-7963914CEB69}"/>
            </c:ext>
          </c:extLst>
        </c:ser>
        <c:ser>
          <c:idx val="1"/>
          <c:order val="1"/>
          <c:tx>
            <c:strRef>
              <c:f>'Analysis-NVIDIA'!$B$44</c:f>
              <c:strCache>
                <c:ptCount val="1"/>
                <c:pt idx="0">
                  <c:v>Net Margin</c:v>
                </c:pt>
              </c:strCache>
            </c:strRef>
          </c:tx>
          <c:spPr>
            <a:ln w="28575" cap="rnd">
              <a:solidFill>
                <a:schemeClr val="accent6">
                  <a:lumMod val="75000"/>
                </a:schemeClr>
              </a:solidFill>
              <a:round/>
            </a:ln>
            <a:effectLst/>
          </c:spPr>
          <c:marker>
            <c:symbol val="none"/>
          </c:marker>
          <c:dLbls>
            <c:dLbl>
              <c:idx val="0"/>
              <c:layout>
                <c:manualLayout>
                  <c:x val="-0.10675120403638866"/>
                  <c:y val="4.514692178135713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F1E-421F-B9EA-7963914CEB69}"/>
                </c:ext>
              </c:extLst>
            </c:dLbl>
            <c:dLbl>
              <c:idx val="1"/>
              <c:layout>
                <c:manualLayout>
                  <c:x val="-5.4701443569553858E-2"/>
                  <c:y val="-2.542833187518226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F1E-421F-B9EA-7963914CEB69}"/>
                </c:ext>
              </c:extLst>
            </c:dLbl>
            <c:dLbl>
              <c:idx val="2"/>
              <c:layout>
                <c:manualLayout>
                  <c:x val="-4.6368110236220471E-2"/>
                  <c:y val="-4.394685039370087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4F1E-421F-B9EA-7963914CEB69}"/>
                </c:ext>
              </c:extLst>
            </c:dLbl>
            <c:dLbl>
              <c:idx val="3"/>
              <c:layout>
                <c:manualLayout>
                  <c:x val="-2.1368110236220574E-2"/>
                  <c:y val="-3.005796150481198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4F1E-421F-B9EA-7963914CEB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'Analysis-NVIDIA'!$L$38:$O$38</c:f>
              <c:numCache>
                <c:formatCode>mmm\-yy</c:formatCode>
                <c:ptCount val="4"/>
                <c:pt idx="0">
                  <c:v>43831</c:v>
                </c:pt>
                <c:pt idx="1">
                  <c:v>44197</c:v>
                </c:pt>
                <c:pt idx="2">
                  <c:v>44563</c:v>
                </c:pt>
                <c:pt idx="3">
                  <c:v>44929</c:v>
                </c:pt>
              </c:numCache>
            </c:numRef>
          </c:cat>
          <c:val>
            <c:numRef>
              <c:f>'Analysis-NVIDIA'!$L$44:$O$44</c:f>
              <c:numCache>
                <c:formatCode>0.0%</c:formatCode>
                <c:ptCount val="4"/>
                <c:pt idx="0">
                  <c:v>0.16193371394676356</c:v>
                </c:pt>
                <c:pt idx="1">
                  <c:v>0.36233930296499961</c:v>
                </c:pt>
                <c:pt idx="2">
                  <c:v>0.25979010494752625</c:v>
                </c:pt>
                <c:pt idx="3">
                  <c:v>0.25609085913170909</c:v>
                </c:pt>
              </c:numCache>
            </c:numRef>
          </c:val>
          <c:smooth val="0"/>
          <c:extLst>
            <c:ext xmlns:c16="http://schemas.microsoft.com/office/drawing/2014/chart" uri="{C3380CC4-5D6E-409C-BE32-E72D297353CC}">
              <c16:uniqueId val="{00000001-4F1E-421F-B9EA-7963914CEB69}"/>
            </c:ext>
          </c:extLst>
        </c:ser>
        <c:dLbls>
          <c:showLegendKey val="0"/>
          <c:showVal val="0"/>
          <c:showCatName val="0"/>
          <c:showSerName val="0"/>
          <c:showPercent val="0"/>
          <c:showBubbleSize val="0"/>
        </c:dLbls>
        <c:smooth val="0"/>
        <c:axId val="686942560"/>
        <c:axId val="686950048"/>
      </c:lineChart>
      <c:dateAx>
        <c:axId val="6869425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50048"/>
        <c:crosses val="autoZero"/>
        <c:auto val="1"/>
        <c:lblOffset val="100"/>
        <c:baseTimeUnit val="years"/>
      </c:dateAx>
      <c:valAx>
        <c:axId val="6869500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42560"/>
        <c:crosses val="autoZero"/>
        <c:crossBetween val="between"/>
      </c:valAx>
      <c:spPr>
        <a:noFill/>
        <a:ln>
          <a:noFill/>
        </a:ln>
        <a:effectLst/>
      </c:spPr>
    </c:plotArea>
    <c:legend>
      <c:legendPos val="b"/>
      <c:layout>
        <c:manualLayout>
          <c:xMode val="edge"/>
          <c:yMode val="edge"/>
          <c:x val="1.5399825021872282E-2"/>
          <c:y val="0.89409667541557303"/>
          <c:w val="0.9747559055118110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92825896762906"/>
          <c:y val="0.17171296296296298"/>
          <c:w val="0.85273840769903764"/>
          <c:h val="0.77736111111111106"/>
        </c:manualLayout>
      </c:layout>
      <c:lineChart>
        <c:grouping val="standard"/>
        <c:varyColors val="0"/>
        <c:ser>
          <c:idx val="0"/>
          <c:order val="0"/>
          <c:spPr>
            <a:ln w="28575" cap="rnd">
              <a:solidFill>
                <a:srgbClr val="FF0000"/>
              </a:solidFill>
              <a:round/>
            </a:ln>
            <a:effectLst/>
          </c:spPr>
          <c:marker>
            <c:symbol val="none"/>
          </c:marker>
          <c:dLbls>
            <c:dLbl>
              <c:idx val="0"/>
              <c:layout>
                <c:manualLayout>
                  <c:x val="-5.7513998250218724E-2"/>
                  <c:y val="-3.468759113444157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366-4369-8BEE-8E31A5D57AF9}"/>
                </c:ext>
              </c:extLst>
            </c:dLbl>
            <c:dLbl>
              <c:idx val="1"/>
              <c:layout>
                <c:manualLayout>
                  <c:x val="-6.1340332458442746E-2"/>
                  <c:y val="3.475685331000291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366-4369-8BEE-8E31A5D57AF9}"/>
                </c:ext>
              </c:extLst>
            </c:dLbl>
            <c:dLbl>
              <c:idx val="2"/>
              <c:layout>
                <c:manualLayout>
                  <c:x val="-6.8625109361329831E-2"/>
                  <c:y val="-3.93172207640711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366-4369-8BEE-8E31A5D57AF9}"/>
                </c:ext>
              </c:extLst>
            </c:dLbl>
            <c:dLbl>
              <c:idx val="3"/>
              <c:layout>
                <c:manualLayout>
                  <c:x val="-3.5291776027996498E-2"/>
                  <c:y val="-3.468759113444153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366-4369-8BEE-8E31A5D57A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Raytheon'!$M$48:$P$48</c:f>
              <c:numCache>
                <c:formatCode>mmm\-yy</c:formatCode>
                <c:ptCount val="4"/>
                <c:pt idx="0">
                  <c:v>43800</c:v>
                </c:pt>
                <c:pt idx="1">
                  <c:v>44166</c:v>
                </c:pt>
                <c:pt idx="2">
                  <c:v>44532</c:v>
                </c:pt>
                <c:pt idx="3">
                  <c:v>44898</c:v>
                </c:pt>
              </c:numCache>
            </c:numRef>
          </c:cat>
          <c:val>
            <c:numRef>
              <c:f>'Analysis- Raytheon'!$M$50:$P$50</c:f>
              <c:numCache>
                <c:formatCode>#,##0.00\x</c:formatCode>
                <c:ptCount val="4"/>
                <c:pt idx="0">
                  <c:v>23.377280115586057</c:v>
                </c:pt>
                <c:pt idx="1">
                  <c:v>-30.861040068201195</c:v>
                </c:pt>
                <c:pt idx="2">
                  <c:v>33.335921325051757</c:v>
                </c:pt>
                <c:pt idx="3">
                  <c:v>28.545314604579566</c:v>
                </c:pt>
              </c:numCache>
            </c:numRef>
          </c:val>
          <c:smooth val="0"/>
          <c:extLst>
            <c:ext xmlns:c16="http://schemas.microsoft.com/office/drawing/2014/chart" uri="{C3380CC4-5D6E-409C-BE32-E72D297353CC}">
              <c16:uniqueId val="{00000000-6366-4369-8BEE-8E31A5D57AF9}"/>
            </c:ext>
          </c:extLst>
        </c:ser>
        <c:dLbls>
          <c:showLegendKey val="0"/>
          <c:showVal val="0"/>
          <c:showCatName val="0"/>
          <c:showSerName val="0"/>
          <c:showPercent val="0"/>
          <c:showBubbleSize val="0"/>
        </c:dLbls>
        <c:smooth val="0"/>
        <c:axId val="1654732495"/>
        <c:axId val="1654734575"/>
      </c:lineChart>
      <c:dateAx>
        <c:axId val="165473249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34575"/>
        <c:crosses val="autoZero"/>
        <c:auto val="1"/>
        <c:lblOffset val="100"/>
        <c:baseTimeUnit val="years"/>
      </c:dateAx>
      <c:valAx>
        <c:axId val="1654734575"/>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3249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ExxonMobil'!$B$26</c:f>
              <c:strCache>
                <c:ptCount val="1"/>
                <c:pt idx="0">
                  <c:v>Debt to Equity Ratio</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ExxonMobil'!$M$24:$P$24</c:f>
              <c:numCache>
                <c:formatCode>mmm\-yy</c:formatCode>
                <c:ptCount val="4"/>
                <c:pt idx="0">
                  <c:v>43800</c:v>
                </c:pt>
                <c:pt idx="1">
                  <c:v>44166</c:v>
                </c:pt>
                <c:pt idx="2">
                  <c:v>44532</c:v>
                </c:pt>
                <c:pt idx="3">
                  <c:v>44898</c:v>
                </c:pt>
              </c:numCache>
            </c:numRef>
          </c:cat>
          <c:val>
            <c:numRef>
              <c:f>'Analysis- ExxonMobil'!$M$26:$P$26</c:f>
              <c:numCache>
                <c:formatCode>#,##0.00\x</c:formatCode>
                <c:ptCount val="4"/>
                <c:pt idx="0">
                  <c:v>0.26563005478737284</c:v>
                </c:pt>
                <c:pt idx="1">
                  <c:v>0.45111676741966272</c:v>
                </c:pt>
                <c:pt idx="2">
                  <c:v>0.29992822271128328</c:v>
                </c:pt>
                <c:pt idx="3">
                  <c:v>0.22317981635383929</c:v>
                </c:pt>
              </c:numCache>
            </c:numRef>
          </c:val>
          <c:extLst>
            <c:ext xmlns:c16="http://schemas.microsoft.com/office/drawing/2014/chart" uri="{C3380CC4-5D6E-409C-BE32-E72D297353CC}">
              <c16:uniqueId val="{00000000-0222-4B6A-812C-7D2F8E106BEF}"/>
            </c:ext>
          </c:extLst>
        </c:ser>
        <c:ser>
          <c:idx val="1"/>
          <c:order val="1"/>
          <c:tx>
            <c:strRef>
              <c:f>'Analysis- ExxonMobil'!$B$27</c:f>
              <c:strCache>
                <c:ptCount val="1"/>
                <c:pt idx="0">
                  <c:v>Debt to Capital Ratio</c:v>
                </c:pt>
              </c:strCache>
            </c:strRef>
          </c:tx>
          <c:spPr>
            <a:solidFill>
              <a:srgbClr val="FF0000"/>
            </a:solidFill>
            <a:ln>
              <a:noFill/>
            </a:ln>
            <a:effectLst/>
          </c:spPr>
          <c:invertIfNegative val="0"/>
          <c:dLbls>
            <c:dLbl>
              <c:idx val="0"/>
              <c:layout>
                <c:manualLayout>
                  <c:x val="2.1540472852389376E-2"/>
                  <c:y val="1.002429905878146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222-4B6A-812C-7D2F8E106BEF}"/>
                </c:ext>
              </c:extLst>
            </c:dLbl>
            <c:dLbl>
              <c:idx val="1"/>
              <c:layout>
                <c:manualLayout>
                  <c:x val="2.1540472852389414E-2"/>
                  <c:y val="1.5036448588172196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222-4B6A-812C-7D2F8E106BEF}"/>
                </c:ext>
              </c:extLst>
            </c:dLbl>
            <c:dLbl>
              <c:idx val="2"/>
              <c:layout>
                <c:manualLayout>
                  <c:x val="2.5848567422867376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222-4B6A-812C-7D2F8E106BEF}"/>
                </c:ext>
              </c:extLst>
            </c:dLbl>
            <c:dLbl>
              <c:idx val="3"/>
              <c:layout>
                <c:manualLayout>
                  <c:x val="2.58485674228673E-2"/>
                  <c:y val="1.503644858817210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222-4B6A-812C-7D2F8E106B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ExxonMobil'!$M$24:$P$24</c:f>
              <c:numCache>
                <c:formatCode>mmm\-yy</c:formatCode>
                <c:ptCount val="4"/>
                <c:pt idx="0">
                  <c:v>43800</c:v>
                </c:pt>
                <c:pt idx="1">
                  <c:v>44166</c:v>
                </c:pt>
                <c:pt idx="2">
                  <c:v>44532</c:v>
                </c:pt>
                <c:pt idx="3">
                  <c:v>44898</c:v>
                </c:pt>
              </c:numCache>
            </c:numRef>
          </c:cat>
          <c:val>
            <c:numRef>
              <c:f>'Analysis- ExxonMobil'!$M$27:$P$27</c:f>
              <c:numCache>
                <c:formatCode>#,##0.00\x</c:formatCode>
                <c:ptCount val="4"/>
                <c:pt idx="0">
                  <c:v>0.2098796988761451</c:v>
                </c:pt>
                <c:pt idx="1">
                  <c:v>0.31087558048262826</c:v>
                </c:pt>
                <c:pt idx="2">
                  <c:v>0.23072675665562342</c:v>
                </c:pt>
                <c:pt idx="3">
                  <c:v>0.18245871405817757</c:v>
                </c:pt>
              </c:numCache>
            </c:numRef>
          </c:val>
          <c:extLst>
            <c:ext xmlns:c16="http://schemas.microsoft.com/office/drawing/2014/chart" uri="{C3380CC4-5D6E-409C-BE32-E72D297353CC}">
              <c16:uniqueId val="{00000001-0222-4B6A-812C-7D2F8E106BEF}"/>
            </c:ext>
          </c:extLst>
        </c:ser>
        <c:dLbls>
          <c:showLegendKey val="0"/>
          <c:showVal val="0"/>
          <c:showCatName val="0"/>
          <c:showSerName val="0"/>
          <c:showPercent val="0"/>
          <c:showBubbleSize val="0"/>
        </c:dLbls>
        <c:gapWidth val="219"/>
        <c:overlap val="-27"/>
        <c:axId val="386810112"/>
        <c:axId val="386804288"/>
      </c:barChart>
      <c:dateAx>
        <c:axId val="3868101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04288"/>
        <c:crosses val="autoZero"/>
        <c:auto val="1"/>
        <c:lblOffset val="100"/>
        <c:baseTimeUnit val="years"/>
      </c:dateAx>
      <c:valAx>
        <c:axId val="386804288"/>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1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r>
              <a:rPr lang="en-IN" baseline="0"/>
              <a:t> vs ROA</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ExxonMobil'!$B$41</c:f>
              <c:strCache>
                <c:ptCount val="1"/>
                <c:pt idx="0">
                  <c:v>Return on Equity</c:v>
                </c:pt>
              </c:strCache>
            </c:strRef>
          </c:tx>
          <c:spPr>
            <a:ln w="28575" cap="rnd">
              <a:solidFill>
                <a:srgbClr val="FF0000"/>
              </a:solidFill>
              <a:round/>
            </a:ln>
            <a:effectLst/>
          </c:spPr>
          <c:marker>
            <c:symbol val="none"/>
          </c:marker>
          <c:dLbls>
            <c:dLbl>
              <c:idx val="0"/>
              <c:layout>
                <c:manualLayout>
                  <c:x val="-4.5590332458442719E-2"/>
                  <c:y val="-3.93172207640711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32F-4FFA-B241-AF227CD9C770}"/>
                </c:ext>
              </c:extLst>
            </c:dLbl>
            <c:dLbl>
              <c:idx val="1"/>
              <c:layout>
                <c:manualLayout>
                  <c:x val="-9.4321463594721433E-2"/>
                  <c:y val="4.13022827489225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32F-4FFA-B241-AF227CD9C770}"/>
                </c:ext>
              </c:extLst>
            </c:dLbl>
            <c:dLbl>
              <c:idx val="2"/>
              <c:layout>
                <c:manualLayout>
                  <c:x val="-0.12942775627751876"/>
                  <c:y val="-3.341035139316964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232F-4FFA-B241-AF227CD9C770}"/>
                </c:ext>
              </c:extLst>
            </c:dLbl>
            <c:dLbl>
              <c:idx val="3"/>
              <c:layout>
                <c:manualLayout>
                  <c:x val="-5.470144356955401E-2"/>
                  <c:y val="-4.39468503937007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232F-4FFA-B241-AF227CD9C7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ExxonMobil'!$M$40:$P$40</c:f>
              <c:numCache>
                <c:formatCode>mmm\-yy</c:formatCode>
                <c:ptCount val="4"/>
                <c:pt idx="0">
                  <c:v>43800</c:v>
                </c:pt>
                <c:pt idx="1">
                  <c:v>44166</c:v>
                </c:pt>
                <c:pt idx="2">
                  <c:v>44532</c:v>
                </c:pt>
                <c:pt idx="3">
                  <c:v>44898</c:v>
                </c:pt>
              </c:numCache>
            </c:numRef>
          </c:cat>
          <c:val>
            <c:numRef>
              <c:f>'Analysis- ExxonMobil'!$M$41:$P$41</c:f>
              <c:numCache>
                <c:formatCode>0.0%</c:formatCode>
                <c:ptCount val="4"/>
                <c:pt idx="0">
                  <c:v>7.4823897730237413E-2</c:v>
                </c:pt>
                <c:pt idx="1">
                  <c:v>-0.14279350938593699</c:v>
                </c:pt>
                <c:pt idx="2">
                  <c:v>0.13667344892838287</c:v>
                </c:pt>
                <c:pt idx="3">
                  <c:v>0.28577434388281919</c:v>
                </c:pt>
              </c:numCache>
            </c:numRef>
          </c:val>
          <c:smooth val="0"/>
          <c:extLst>
            <c:ext xmlns:c16="http://schemas.microsoft.com/office/drawing/2014/chart" uri="{C3380CC4-5D6E-409C-BE32-E72D297353CC}">
              <c16:uniqueId val="{00000000-232F-4FFA-B241-AF227CD9C770}"/>
            </c:ext>
          </c:extLst>
        </c:ser>
        <c:ser>
          <c:idx val="1"/>
          <c:order val="1"/>
          <c:tx>
            <c:strRef>
              <c:f>'Analysis- ExxonMobil'!$B$42</c:f>
              <c:strCache>
                <c:ptCount val="1"/>
                <c:pt idx="0">
                  <c:v>Return on Asset</c:v>
                </c:pt>
              </c:strCache>
            </c:strRef>
          </c:tx>
          <c:spPr>
            <a:ln w="28575" cap="rnd">
              <a:solidFill>
                <a:schemeClr val="accent2"/>
              </a:solidFill>
              <a:round/>
            </a:ln>
            <a:effectLst/>
          </c:spPr>
          <c:marker>
            <c:symbol val="none"/>
          </c:marker>
          <c:dLbls>
            <c:dLbl>
              <c:idx val="0"/>
              <c:layout>
                <c:manualLayout>
                  <c:x val="-0.12908231066764667"/>
                  <c:y val="1.352434365264716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32F-4FFA-B241-AF227CD9C770}"/>
                </c:ext>
              </c:extLst>
            </c:dLbl>
            <c:dLbl>
              <c:idx val="1"/>
              <c:layout>
                <c:manualLayout>
                  <c:x val="-7.9416630052501672E-2"/>
                  <c:y val="-6.278451397732599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32F-4FFA-B241-AF227CD9C770}"/>
                </c:ext>
              </c:extLst>
            </c:dLbl>
            <c:dLbl>
              <c:idx val="2"/>
              <c:layout>
                <c:manualLayout>
                  <c:x val="-3.4479221347331585E-2"/>
                  <c:y val="2.549759405074365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232F-4FFA-B241-AF227CD9C770}"/>
                </c:ext>
              </c:extLst>
            </c:dLbl>
            <c:dLbl>
              <c:idx val="3"/>
              <c:layout>
                <c:manualLayout>
                  <c:x val="-2.692366579177613E-2"/>
                  <c:y val="-3.005796150481189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32F-4FFA-B241-AF227CD9C7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ExxonMobil'!$M$40:$P$40</c:f>
              <c:numCache>
                <c:formatCode>mmm\-yy</c:formatCode>
                <c:ptCount val="4"/>
                <c:pt idx="0">
                  <c:v>43800</c:v>
                </c:pt>
                <c:pt idx="1">
                  <c:v>44166</c:v>
                </c:pt>
                <c:pt idx="2">
                  <c:v>44532</c:v>
                </c:pt>
                <c:pt idx="3">
                  <c:v>44898</c:v>
                </c:pt>
              </c:numCache>
            </c:numRef>
          </c:cat>
          <c:val>
            <c:numRef>
              <c:f>'Analysis- ExxonMobil'!$M$42:$P$42</c:f>
              <c:numCache>
                <c:formatCode>0.0%</c:formatCode>
                <c:ptCount val="4"/>
                <c:pt idx="0">
                  <c:v>3.954803818012835E-2</c:v>
                </c:pt>
                <c:pt idx="1">
                  <c:v>-6.7438016528925615E-2</c:v>
                </c:pt>
                <c:pt idx="2">
                  <c:v>6.7980042664558024E-2</c:v>
                </c:pt>
                <c:pt idx="3">
                  <c:v>0.151029487870766</c:v>
                </c:pt>
              </c:numCache>
            </c:numRef>
          </c:val>
          <c:smooth val="0"/>
          <c:extLst>
            <c:ext xmlns:c16="http://schemas.microsoft.com/office/drawing/2014/chart" uri="{C3380CC4-5D6E-409C-BE32-E72D297353CC}">
              <c16:uniqueId val="{00000001-232F-4FFA-B241-AF227CD9C770}"/>
            </c:ext>
          </c:extLst>
        </c:ser>
        <c:dLbls>
          <c:showLegendKey val="0"/>
          <c:showVal val="0"/>
          <c:showCatName val="0"/>
          <c:showSerName val="0"/>
          <c:showPercent val="0"/>
          <c:showBubbleSize val="0"/>
        </c:dLbls>
        <c:smooth val="0"/>
        <c:axId val="393167616"/>
        <c:axId val="393163040"/>
      </c:lineChart>
      <c:dateAx>
        <c:axId val="3931676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63040"/>
        <c:crosses val="autoZero"/>
        <c:auto val="1"/>
        <c:lblOffset val="100"/>
        <c:baseTimeUnit val="years"/>
      </c:dateAx>
      <c:valAx>
        <c:axId val="39316304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67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ROCE vs ROIC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89596199193999"/>
          <c:y val="0.19813522868720154"/>
          <c:w val="0.77444452571778877"/>
          <c:h val="0.55087838150563651"/>
        </c:manualLayout>
      </c:layout>
      <c:barChart>
        <c:barDir val="col"/>
        <c:grouping val="clustered"/>
        <c:varyColors val="0"/>
        <c:ser>
          <c:idx val="0"/>
          <c:order val="0"/>
          <c:tx>
            <c:strRef>
              <c:f>'Analysis- ExxonMobil'!$B$43</c:f>
              <c:strCache>
                <c:ptCount val="1"/>
                <c:pt idx="0">
                  <c:v>Return on Capital Employed</c:v>
                </c:pt>
              </c:strCache>
            </c:strRef>
          </c:tx>
          <c:spPr>
            <a:solidFill>
              <a:srgbClr val="FF6600"/>
            </a:solidFill>
            <a:ln>
              <a:noFill/>
            </a:ln>
            <a:effectLst/>
          </c:spPr>
          <c:invertIfNegative val="0"/>
          <c:dLbls>
            <c:dLbl>
              <c:idx val="1"/>
              <c:layout>
                <c:manualLayout>
                  <c:x val="-3.981232823749464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D58-4F62-9B33-2E43FA967D6B}"/>
                </c:ext>
              </c:extLst>
            </c:dLbl>
            <c:dLbl>
              <c:idx val="2"/>
              <c:layout>
                <c:manualLayout>
                  <c:x val="-2.6541552158329845E-2"/>
                  <c:y val="2.08070599829038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58-4F62-9B33-2E43FA967D6B}"/>
                </c:ext>
              </c:extLst>
            </c:dLbl>
            <c:dLbl>
              <c:idx val="3"/>
              <c:layout>
                <c:manualLayout>
                  <c:x val="-4.4235920263883018E-2"/>
                  <c:y val="2.08070599829038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58-4F62-9B33-2E43FA967D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ExxonMobil'!$M$40:$P$40</c:f>
              <c:numCache>
                <c:formatCode>mmm\-yy</c:formatCode>
                <c:ptCount val="4"/>
                <c:pt idx="0">
                  <c:v>43800</c:v>
                </c:pt>
                <c:pt idx="1">
                  <c:v>44166</c:v>
                </c:pt>
                <c:pt idx="2">
                  <c:v>44532</c:v>
                </c:pt>
                <c:pt idx="3">
                  <c:v>44898</c:v>
                </c:pt>
              </c:numCache>
            </c:numRef>
          </c:cat>
          <c:val>
            <c:numRef>
              <c:f>'Analysis- ExxonMobil'!$M$43:$P$43</c:f>
              <c:numCache>
                <c:formatCode>0.0%</c:formatCode>
                <c:ptCount val="4"/>
                <c:pt idx="0">
                  <c:v>5.911988060587571E-2</c:v>
                </c:pt>
                <c:pt idx="1">
                  <c:v>-9.8402494266432203E-2</c:v>
                </c:pt>
                <c:pt idx="2">
                  <c:v>0.10513922733619911</c:v>
                </c:pt>
                <c:pt idx="3">
                  <c:v>0.23363232458714059</c:v>
                </c:pt>
              </c:numCache>
            </c:numRef>
          </c:val>
          <c:extLst>
            <c:ext xmlns:c16="http://schemas.microsoft.com/office/drawing/2014/chart" uri="{C3380CC4-5D6E-409C-BE32-E72D297353CC}">
              <c16:uniqueId val="{00000000-AD58-4F62-9B33-2E43FA967D6B}"/>
            </c:ext>
          </c:extLst>
        </c:ser>
        <c:ser>
          <c:idx val="1"/>
          <c:order val="1"/>
          <c:tx>
            <c:strRef>
              <c:f>'Analysis- ExxonMobil'!$B$44</c:f>
              <c:strCache>
                <c:ptCount val="1"/>
                <c:pt idx="0">
                  <c:v>Return on Invested Capital</c:v>
                </c:pt>
              </c:strCache>
            </c:strRef>
          </c:tx>
          <c:spPr>
            <a:solidFill>
              <a:srgbClr val="FF0000"/>
            </a:solidFill>
            <a:ln>
              <a:noFill/>
            </a:ln>
            <a:effectLst/>
          </c:spPr>
          <c:invertIfNegative val="0"/>
          <c:dLbls>
            <c:dLbl>
              <c:idx val="0"/>
              <c:layout>
                <c:manualLayout>
                  <c:x val="5.7506696343047781E-2"/>
                  <c:y val="2.60088249786297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D58-4F62-9B33-2E43FA967D6B}"/>
                </c:ext>
              </c:extLst>
            </c:dLbl>
            <c:dLbl>
              <c:idx val="1"/>
              <c:layout>
                <c:manualLayout>
                  <c:x val="5.308310431665952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D58-4F62-9B33-2E43FA967D6B}"/>
                </c:ext>
              </c:extLst>
            </c:dLbl>
            <c:dLbl>
              <c:idx val="2"/>
              <c:layout>
                <c:manualLayout>
                  <c:x val="4.4235920263882941E-2"/>
                  <c:y val="5.201764995725951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58-4F62-9B33-2E43FA967D6B}"/>
                </c:ext>
              </c:extLst>
            </c:dLbl>
            <c:dLbl>
              <c:idx val="3"/>
              <c:layout>
                <c:manualLayout>
                  <c:x val="3.9812328237494643E-2"/>
                  <c:y val="1.04035299914519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58-4F62-9B33-2E43FA967D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ExxonMobil'!$M$40:$P$40</c:f>
              <c:numCache>
                <c:formatCode>mmm\-yy</c:formatCode>
                <c:ptCount val="4"/>
                <c:pt idx="0">
                  <c:v>43800</c:v>
                </c:pt>
                <c:pt idx="1">
                  <c:v>44166</c:v>
                </c:pt>
                <c:pt idx="2">
                  <c:v>44532</c:v>
                </c:pt>
                <c:pt idx="3">
                  <c:v>44898</c:v>
                </c:pt>
              </c:numCache>
            </c:numRef>
          </c:cat>
          <c:val>
            <c:numRef>
              <c:f>'Analysis- ExxonMobil'!$M$44:$P$44</c:f>
              <c:numCache>
                <c:formatCode>0.0%</c:formatCode>
                <c:ptCount val="4"/>
                <c:pt idx="0">
                  <c:v>5.9979672161317714E-2</c:v>
                </c:pt>
                <c:pt idx="1">
                  <c:v>-0.10384898395523942</c:v>
                </c:pt>
                <c:pt idx="2">
                  <c:v>0.10517522356582353</c:v>
                </c:pt>
                <c:pt idx="3">
                  <c:v>0.23894237776386973</c:v>
                </c:pt>
              </c:numCache>
            </c:numRef>
          </c:val>
          <c:extLst>
            <c:ext xmlns:c16="http://schemas.microsoft.com/office/drawing/2014/chart" uri="{C3380CC4-5D6E-409C-BE32-E72D297353CC}">
              <c16:uniqueId val="{00000001-AD58-4F62-9B33-2E43FA967D6B}"/>
            </c:ext>
          </c:extLst>
        </c:ser>
        <c:dLbls>
          <c:showLegendKey val="0"/>
          <c:showVal val="0"/>
          <c:showCatName val="0"/>
          <c:showSerName val="0"/>
          <c:showPercent val="0"/>
          <c:showBubbleSize val="0"/>
        </c:dLbls>
        <c:gapWidth val="219"/>
        <c:overlap val="-27"/>
        <c:axId val="393114784"/>
        <c:axId val="393126016"/>
      </c:barChart>
      <c:dateAx>
        <c:axId val="3931147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26016"/>
        <c:crosses val="autoZero"/>
        <c:auto val="1"/>
        <c:lblOffset val="100"/>
        <c:baseTimeUnit val="years"/>
      </c:dateAx>
      <c:valAx>
        <c:axId val="3931260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14784"/>
        <c:crosses val="autoZero"/>
        <c:crossBetween val="between"/>
      </c:valAx>
      <c:spPr>
        <a:noFill/>
        <a:ln>
          <a:noFill/>
        </a:ln>
        <a:effectLst/>
      </c:spPr>
    </c:plotArea>
    <c:legend>
      <c:legendPos val="b"/>
      <c:layout>
        <c:manualLayout>
          <c:xMode val="edge"/>
          <c:yMode val="edge"/>
          <c:x val="8.6448134254276544E-3"/>
          <c:y val="0.80103126015009751"/>
          <c:w val="0.97386284078203533"/>
          <c:h val="0.16775814987554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layout>
        <c:manualLayout>
          <c:xMode val="edge"/>
          <c:yMode val="edge"/>
          <c:x val="0.412270778652668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51244590348334"/>
          <c:y val="0.21686213937299878"/>
          <c:w val="0.77683769632064426"/>
          <c:h val="0.58507286777451162"/>
        </c:manualLayout>
      </c:layout>
      <c:lineChart>
        <c:grouping val="standard"/>
        <c:varyColors val="0"/>
        <c:ser>
          <c:idx val="0"/>
          <c:order val="0"/>
          <c:tx>
            <c:strRef>
              <c:f>'Analysis- ExxonMobil'!$B$45</c:f>
              <c:strCache>
                <c:ptCount val="1"/>
                <c:pt idx="0">
                  <c:v>EBITDA Margin</c:v>
                </c:pt>
              </c:strCache>
            </c:strRef>
          </c:tx>
          <c:spPr>
            <a:ln w="28575" cap="rnd">
              <a:solidFill>
                <a:schemeClr val="accent1"/>
              </a:solidFill>
              <a:round/>
            </a:ln>
            <a:effectLst/>
          </c:spPr>
          <c:marker>
            <c:symbol val="none"/>
          </c:marker>
          <c:dLbls>
            <c:dLbl>
              <c:idx val="0"/>
              <c:layout>
                <c:manualLayout>
                  <c:x val="-9.4940722141543157E-2"/>
                  <c:y val="-4.96550549356954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D53-446B-BAD5-C99335707CD4}"/>
                </c:ext>
              </c:extLst>
            </c:dLbl>
            <c:dLbl>
              <c:idx val="1"/>
              <c:layout>
                <c:manualLayout>
                  <c:x val="-8.6187407771426916E-2"/>
                  <c:y val="-5.5501971607925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D53-446B-BAD5-C99335707CD4}"/>
                </c:ext>
              </c:extLst>
            </c:dLbl>
            <c:dLbl>
              <c:idx val="2"/>
              <c:layout>
                <c:manualLayout>
                  <c:x val="-9.9317379326601396E-2"/>
                  <c:y val="-3.7961221591236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53-446B-BAD5-C99335707CD4}"/>
                </c:ext>
              </c:extLst>
            </c:dLbl>
            <c:dLbl>
              <c:idx val="3"/>
              <c:layout>
                <c:manualLayout>
                  <c:x val="-8.6187407771426999E-2"/>
                  <c:y val="-3.79612215912360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D53-446B-BAD5-C99335707C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ExxonMobil'!$M$40:$P$40</c:f>
              <c:numCache>
                <c:formatCode>mmm\-yy</c:formatCode>
                <c:ptCount val="4"/>
                <c:pt idx="0">
                  <c:v>43800</c:v>
                </c:pt>
                <c:pt idx="1">
                  <c:v>44166</c:v>
                </c:pt>
                <c:pt idx="2">
                  <c:v>44532</c:v>
                </c:pt>
                <c:pt idx="3">
                  <c:v>44898</c:v>
                </c:pt>
              </c:numCache>
            </c:numRef>
          </c:cat>
          <c:val>
            <c:numRef>
              <c:f>'Analysis- ExxonMobil'!$M$45:$P$45</c:f>
              <c:numCache>
                <c:formatCode>0.0%</c:formatCode>
                <c:ptCount val="4"/>
                <c:pt idx="0">
                  <c:v>0.15605106755926645</c:v>
                </c:pt>
                <c:pt idx="1">
                  <c:v>0.10238892559947137</c:v>
                </c:pt>
                <c:pt idx="2">
                  <c:v>0.19078253075621993</c:v>
                </c:pt>
                <c:pt idx="3">
                  <c:v>0.25732990531134381</c:v>
                </c:pt>
              </c:numCache>
            </c:numRef>
          </c:val>
          <c:smooth val="0"/>
          <c:extLst>
            <c:ext xmlns:c16="http://schemas.microsoft.com/office/drawing/2014/chart" uri="{C3380CC4-5D6E-409C-BE32-E72D297353CC}">
              <c16:uniqueId val="{00000000-ED53-446B-BAD5-C99335707CD4}"/>
            </c:ext>
          </c:extLst>
        </c:ser>
        <c:ser>
          <c:idx val="1"/>
          <c:order val="1"/>
          <c:tx>
            <c:strRef>
              <c:f>'Analysis- ExxonMobil'!$B$46</c:f>
              <c:strCache>
                <c:ptCount val="1"/>
                <c:pt idx="0">
                  <c:v>Net Margin</c:v>
                </c:pt>
              </c:strCache>
            </c:strRef>
          </c:tx>
          <c:spPr>
            <a:ln w="28575" cap="rnd">
              <a:solidFill>
                <a:schemeClr val="accent2"/>
              </a:solidFill>
              <a:round/>
            </a:ln>
            <a:effectLst/>
          </c:spPr>
          <c:marker>
            <c:symbol val="none"/>
          </c:marker>
          <c:dLbls>
            <c:dLbl>
              <c:idx val="0"/>
              <c:layout>
                <c:manualLayout>
                  <c:x val="-9.3715258129726878E-2"/>
                  <c:y val="-3.21143049190063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53-446B-BAD5-C99335707CD4}"/>
                </c:ext>
              </c:extLst>
            </c:dLbl>
            <c:dLbl>
              <c:idx val="1"/>
              <c:layout>
                <c:manualLayout>
                  <c:x val="-8.3462852519059133E-2"/>
                  <c:y val="4.97425284922091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53-446B-BAD5-C99335707CD4}"/>
                </c:ext>
              </c:extLst>
            </c:dLbl>
            <c:dLbl>
              <c:idx val="2"/>
              <c:layout>
                <c:manualLayout>
                  <c:x val="-8.9338600944668792E-2"/>
                  <c:y val="-3.79612215912361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53-446B-BAD5-C99335707CD4}"/>
                </c:ext>
              </c:extLst>
            </c:dLbl>
            <c:dLbl>
              <c:idx val="3"/>
              <c:layout>
                <c:manualLayout>
                  <c:x val="-5.9927464661077873E-2"/>
                  <c:y val="-4.96550549356954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53-446B-BAD5-C99335707C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ExxonMobil'!$M$40:$P$40</c:f>
              <c:numCache>
                <c:formatCode>mmm\-yy</c:formatCode>
                <c:ptCount val="4"/>
                <c:pt idx="0">
                  <c:v>43800</c:v>
                </c:pt>
                <c:pt idx="1">
                  <c:v>44166</c:v>
                </c:pt>
                <c:pt idx="2">
                  <c:v>44532</c:v>
                </c:pt>
                <c:pt idx="3">
                  <c:v>44898</c:v>
                </c:pt>
              </c:numCache>
            </c:numRef>
          </c:cat>
          <c:val>
            <c:numRef>
              <c:f>'Analysis- ExxonMobil'!$M$46:$P$46</c:f>
              <c:numCache>
                <c:formatCode>0.0%</c:formatCode>
                <c:ptCount val="4"/>
                <c:pt idx="0">
                  <c:v>5.6107018072407006E-2</c:v>
                </c:pt>
                <c:pt idx="1">
                  <c:v>-0.12566219046445731</c:v>
                </c:pt>
                <c:pt idx="2">
                  <c:v>8.3269483758113716E-2</c:v>
                </c:pt>
                <c:pt idx="3">
                  <c:v>0.13981313099642567</c:v>
                </c:pt>
              </c:numCache>
            </c:numRef>
          </c:val>
          <c:smooth val="0"/>
          <c:extLst>
            <c:ext xmlns:c16="http://schemas.microsoft.com/office/drawing/2014/chart" uri="{C3380CC4-5D6E-409C-BE32-E72D297353CC}">
              <c16:uniqueId val="{00000001-ED53-446B-BAD5-C99335707CD4}"/>
            </c:ext>
          </c:extLst>
        </c:ser>
        <c:dLbls>
          <c:showLegendKey val="0"/>
          <c:showVal val="0"/>
          <c:showCatName val="0"/>
          <c:showSerName val="0"/>
          <c:showPercent val="0"/>
          <c:showBubbleSize val="0"/>
        </c:dLbls>
        <c:smooth val="0"/>
        <c:axId val="393144320"/>
        <c:axId val="393140992"/>
      </c:lineChart>
      <c:dateAx>
        <c:axId val="39314432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0992"/>
        <c:crosses val="autoZero"/>
        <c:auto val="1"/>
        <c:lblOffset val="100"/>
        <c:baseTimeUnit val="years"/>
      </c:dateAx>
      <c:valAx>
        <c:axId val="3931409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4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Paypal'!$M$20:$P$20</c:f>
              <c:numCache>
                <c:formatCode>mmm\-yy</c:formatCode>
                <c:ptCount val="4"/>
                <c:pt idx="0">
                  <c:v>43800</c:v>
                </c:pt>
                <c:pt idx="1">
                  <c:v>44166</c:v>
                </c:pt>
                <c:pt idx="2">
                  <c:v>44532</c:v>
                </c:pt>
                <c:pt idx="3">
                  <c:v>44898</c:v>
                </c:pt>
              </c:numCache>
            </c:numRef>
          </c:cat>
          <c:val>
            <c:numRef>
              <c:f>'Analysis- Paypal'!$M$22:$P$22</c:f>
              <c:numCache>
                <c:formatCode>#,##0.00\x</c:formatCode>
                <c:ptCount val="4"/>
                <c:pt idx="0">
                  <c:v>1.7466390287237192</c:v>
                </c:pt>
                <c:pt idx="1">
                  <c:v>2.2157450422099005</c:v>
                </c:pt>
                <c:pt idx="2">
                  <c:v>2.1581442444884247</c:v>
                </c:pt>
                <c:pt idx="3">
                  <c:v>2.4920587945151427</c:v>
                </c:pt>
              </c:numCache>
            </c:numRef>
          </c:val>
          <c:extLst>
            <c:ext xmlns:c16="http://schemas.microsoft.com/office/drawing/2014/chart" uri="{C3380CC4-5D6E-409C-BE32-E72D297353CC}">
              <c16:uniqueId val="{00000000-5EBE-492D-B893-897EBE4B3FBF}"/>
            </c:ext>
          </c:extLst>
        </c:ser>
        <c:ser>
          <c:idx val="1"/>
          <c:order val="1"/>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Paypal'!$M$20:$P$20</c:f>
              <c:numCache>
                <c:formatCode>mmm\-yy</c:formatCode>
                <c:ptCount val="4"/>
                <c:pt idx="0">
                  <c:v>43800</c:v>
                </c:pt>
                <c:pt idx="1">
                  <c:v>44166</c:v>
                </c:pt>
                <c:pt idx="2">
                  <c:v>44532</c:v>
                </c:pt>
                <c:pt idx="3">
                  <c:v>44898</c:v>
                </c:pt>
              </c:numCache>
            </c:numRef>
          </c:cat>
          <c:val>
            <c:numRef>
              <c:f>'Analysis- Paypal'!$M$23:$P$23</c:f>
              <c:numCache>
                <c:formatCode>#,##0.00\x</c:formatCode>
                <c:ptCount val="4"/>
                <c:pt idx="0">
                  <c:v>0.63591866658041696</c:v>
                </c:pt>
                <c:pt idx="1">
                  <c:v>0.68903007331924937</c:v>
                </c:pt>
                <c:pt idx="2">
                  <c:v>0.68335835142894619</c:v>
                </c:pt>
                <c:pt idx="3">
                  <c:v>0.7136359784174694</c:v>
                </c:pt>
              </c:numCache>
            </c:numRef>
          </c:val>
          <c:extLst>
            <c:ext xmlns:c16="http://schemas.microsoft.com/office/drawing/2014/chart" uri="{C3380CC4-5D6E-409C-BE32-E72D297353CC}">
              <c16:uniqueId val="{00000001-5EBE-492D-B893-897EBE4B3FBF}"/>
            </c:ext>
          </c:extLst>
        </c:ser>
        <c:dLbls>
          <c:showLegendKey val="0"/>
          <c:showVal val="0"/>
          <c:showCatName val="0"/>
          <c:showSerName val="0"/>
          <c:showPercent val="0"/>
          <c:showBubbleSize val="0"/>
        </c:dLbls>
        <c:gapWidth val="219"/>
        <c:overlap val="-27"/>
        <c:axId val="26688367"/>
        <c:axId val="26672975"/>
      </c:barChart>
      <c:dateAx>
        <c:axId val="2668836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72975"/>
        <c:crosses val="autoZero"/>
        <c:auto val="1"/>
        <c:lblOffset val="100"/>
        <c:baseTimeUnit val="years"/>
      </c:dateAx>
      <c:valAx>
        <c:axId val="26672975"/>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836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7196457000252"/>
          <c:y val="0.19354674796747973"/>
          <c:w val="0.81173234493229329"/>
          <c:h val="0.57742181998591635"/>
        </c:manualLayout>
      </c:layout>
      <c:lineChart>
        <c:grouping val="standard"/>
        <c:varyColors val="0"/>
        <c:ser>
          <c:idx val="0"/>
          <c:order val="0"/>
          <c:tx>
            <c:strRef>
              <c:f>'Analysis- Paypal'!$B$41</c:f>
              <c:strCache>
                <c:ptCount val="1"/>
                <c:pt idx="0">
                  <c:v>EBITDA Margin</c:v>
                </c:pt>
              </c:strCache>
            </c:strRef>
          </c:tx>
          <c:spPr>
            <a:ln w="28575" cap="rnd">
              <a:solidFill>
                <a:schemeClr val="accent1"/>
              </a:solidFill>
              <a:round/>
            </a:ln>
            <a:effectLst/>
          </c:spPr>
          <c:marker>
            <c:symbol val="none"/>
          </c:marker>
          <c:dLbls>
            <c:dLbl>
              <c:idx val="1"/>
              <c:layout>
                <c:manualLayout>
                  <c:x val="-7.6863855132862494E-2"/>
                  <c:y val="-4.82343479930862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F94-46B0-9F75-474D37C738B1}"/>
                </c:ext>
              </c:extLst>
            </c:dLbl>
            <c:dLbl>
              <c:idx val="2"/>
              <c:layout>
                <c:manualLayout>
                  <c:x val="-4.9541450761277792E-2"/>
                  <c:y val="-5.33156488060943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94-46B0-9F75-474D37C738B1}"/>
                </c:ext>
              </c:extLst>
            </c:dLbl>
            <c:dLbl>
              <c:idx val="3"/>
              <c:layout>
                <c:manualLayout>
                  <c:x val="-4.173504951225359E-2"/>
                  <c:y val="-3.80717463670699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F94-46B0-9F75-474D37C738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Paypal'!$M$36:$P$36</c:f>
              <c:numCache>
                <c:formatCode>mmm\-yy</c:formatCode>
                <c:ptCount val="4"/>
                <c:pt idx="0">
                  <c:v>43800</c:v>
                </c:pt>
                <c:pt idx="1">
                  <c:v>44166</c:v>
                </c:pt>
                <c:pt idx="2">
                  <c:v>44532</c:v>
                </c:pt>
                <c:pt idx="3">
                  <c:v>44898</c:v>
                </c:pt>
              </c:numCache>
            </c:numRef>
          </c:cat>
          <c:val>
            <c:numRef>
              <c:f>'Analysis- Paypal'!$M$41:$P$41</c:f>
              <c:numCache>
                <c:formatCode>0.0%</c:formatCode>
                <c:ptCount val="4"/>
                <c:pt idx="0">
                  <c:v>0.22000900292595094</c:v>
                </c:pt>
                <c:pt idx="1">
                  <c:v>0.2915074112053696</c:v>
                </c:pt>
                <c:pt idx="2">
                  <c:v>0.21142249024476764</c:v>
                </c:pt>
                <c:pt idx="3">
                  <c:v>0.1701795188603823</c:v>
                </c:pt>
              </c:numCache>
            </c:numRef>
          </c:val>
          <c:smooth val="0"/>
          <c:extLst>
            <c:ext xmlns:c16="http://schemas.microsoft.com/office/drawing/2014/chart" uri="{C3380CC4-5D6E-409C-BE32-E72D297353CC}">
              <c16:uniqueId val="{00000000-EF94-46B0-9F75-474D37C738B1}"/>
            </c:ext>
          </c:extLst>
        </c:ser>
        <c:ser>
          <c:idx val="1"/>
          <c:order val="1"/>
          <c:tx>
            <c:strRef>
              <c:f>'Analysis- Paypal'!$B$42</c:f>
              <c:strCache>
                <c:ptCount val="1"/>
                <c:pt idx="0">
                  <c:v>Net Margin</c:v>
                </c:pt>
              </c:strCache>
            </c:strRef>
          </c:tx>
          <c:spPr>
            <a:ln w="28575" cap="rnd">
              <a:solidFill>
                <a:srgbClr val="66FFFF"/>
              </a:solidFill>
              <a:round/>
            </a:ln>
            <a:effectLst/>
          </c:spPr>
          <c:marker>
            <c:symbol val="none"/>
          </c:marker>
          <c:dLbls>
            <c:dLbl>
              <c:idx val="0"/>
              <c:layout>
                <c:manualLayout>
                  <c:x val="-0.10808946012895931"/>
                  <c:y val="-5.33156488060943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94-46B0-9F75-474D37C738B1}"/>
                </c:ext>
              </c:extLst>
            </c:dLbl>
            <c:dLbl>
              <c:idx val="1"/>
              <c:layout>
                <c:manualLayout>
                  <c:x val="-7.6863855132862494E-2"/>
                  <c:y val="-4.3153047180078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94-46B0-9F75-474D37C738B1}"/>
                </c:ext>
              </c:extLst>
            </c:dLbl>
            <c:dLbl>
              <c:idx val="2"/>
              <c:layout>
                <c:manualLayout>
                  <c:x val="-7.6863855132862424E-2"/>
                  <c:y val="-1.7746543115037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94-46B0-9F75-474D37C738B1}"/>
                </c:ext>
              </c:extLst>
            </c:dLbl>
            <c:dLbl>
              <c:idx val="3"/>
              <c:layout>
                <c:manualLayout>
                  <c:x val="-6.7964557708974901E-2"/>
                  <c:y val="-4.31530471800781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94-46B0-9F75-474D37C738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Paypal'!$M$36:$P$36</c:f>
              <c:numCache>
                <c:formatCode>mmm\-yy</c:formatCode>
                <c:ptCount val="4"/>
                <c:pt idx="0">
                  <c:v>43800</c:v>
                </c:pt>
                <c:pt idx="1">
                  <c:v>44166</c:v>
                </c:pt>
                <c:pt idx="2">
                  <c:v>44532</c:v>
                </c:pt>
                <c:pt idx="3">
                  <c:v>44898</c:v>
                </c:pt>
              </c:numCache>
            </c:numRef>
          </c:cat>
          <c:val>
            <c:numRef>
              <c:f>'Analysis- Paypal'!$M$42:$P$42</c:f>
              <c:numCache>
                <c:formatCode>0.0%</c:formatCode>
                <c:ptCount val="4"/>
                <c:pt idx="0">
                  <c:v>0.13836371820841772</c:v>
                </c:pt>
                <c:pt idx="1">
                  <c:v>0.19586091171809453</c:v>
                </c:pt>
                <c:pt idx="2">
                  <c:v>0.16432146939419021</c:v>
                </c:pt>
                <c:pt idx="3">
                  <c:v>8.7906097826876958E-2</c:v>
                </c:pt>
              </c:numCache>
            </c:numRef>
          </c:val>
          <c:smooth val="0"/>
          <c:extLst>
            <c:ext xmlns:c16="http://schemas.microsoft.com/office/drawing/2014/chart" uri="{C3380CC4-5D6E-409C-BE32-E72D297353CC}">
              <c16:uniqueId val="{00000001-EF94-46B0-9F75-474D37C738B1}"/>
            </c:ext>
          </c:extLst>
        </c:ser>
        <c:dLbls>
          <c:showLegendKey val="0"/>
          <c:showVal val="0"/>
          <c:showCatName val="0"/>
          <c:showSerName val="0"/>
          <c:showPercent val="0"/>
          <c:showBubbleSize val="0"/>
        </c:dLbls>
        <c:smooth val="0"/>
        <c:axId val="35388095"/>
        <c:axId val="35403487"/>
      </c:lineChart>
      <c:dateAx>
        <c:axId val="3538809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3487"/>
        <c:crosses val="autoZero"/>
        <c:auto val="1"/>
        <c:lblOffset val="100"/>
        <c:baseTimeUnit val="years"/>
      </c:dateAx>
      <c:valAx>
        <c:axId val="3540348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8095"/>
        <c:crosses val="autoZero"/>
        <c:crossBetween val="between"/>
      </c:valAx>
      <c:spPr>
        <a:noFill/>
        <a:ln>
          <a:noFill/>
        </a:ln>
        <a:effectLst/>
      </c:spPr>
    </c:plotArea>
    <c:legend>
      <c:legendPos val="b"/>
      <c:layout>
        <c:manualLayout>
          <c:xMode val="edge"/>
          <c:yMode val="edge"/>
          <c:x val="1.7372008826765508E-2"/>
          <c:y val="0.88376464374879971"/>
          <c:w val="0.97306238359549324"/>
          <c:h val="8.57475513731515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r>
              <a:rPr lang="en-IN" baseline="0"/>
              <a:t> Ratio</a:t>
            </a:r>
            <a:endParaRPr lang="en-IN"/>
          </a:p>
        </c:rich>
      </c:tx>
      <c:layout>
        <c:manualLayout>
          <c:xMode val="edge"/>
          <c:yMode val="edge"/>
          <c:x val="0.415048556430446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98416611474966"/>
          <c:y val="0.18855799373040755"/>
          <c:w val="0.80428686192263354"/>
          <c:h val="0.6850142752532109"/>
        </c:manualLayout>
      </c:layout>
      <c:lineChart>
        <c:grouping val="standard"/>
        <c:varyColors val="0"/>
        <c:ser>
          <c:idx val="0"/>
          <c:order val="0"/>
          <c:spPr>
            <a:ln w="28575" cap="rnd">
              <a:solidFill>
                <a:schemeClr val="accent1">
                  <a:lumMod val="50000"/>
                </a:schemeClr>
              </a:solidFill>
              <a:round/>
            </a:ln>
            <a:effectLst/>
          </c:spPr>
          <c:marker>
            <c:symbol val="none"/>
          </c:marker>
          <c:dLbls>
            <c:dLbl>
              <c:idx val="0"/>
              <c:layout>
                <c:manualLayout>
                  <c:x val="-0.11956791031962125"/>
                  <c:y val="-3.39212104756497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4FC-4659-81C6-CBA8CC10ED12}"/>
                </c:ext>
              </c:extLst>
            </c:dLbl>
            <c:dLbl>
              <c:idx val="1"/>
              <c:layout>
                <c:manualLayout>
                  <c:x val="-8.0627100350773917E-2"/>
                  <c:y val="-2.86965500785756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FC-4659-81C6-CBA8CC10ED12}"/>
                </c:ext>
              </c:extLst>
            </c:dLbl>
            <c:dLbl>
              <c:idx val="2"/>
              <c:layout>
                <c:manualLayout>
                  <c:x val="-4.9474452375696171E-2"/>
                  <c:y val="-4.4370531269798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FC-4659-81C6-CBA8CC10ED12}"/>
                </c:ext>
              </c:extLst>
            </c:dLbl>
            <c:dLbl>
              <c:idx val="3"/>
              <c:layout>
                <c:manualLayout>
                  <c:x val="-3.7792209385041825E-2"/>
                  <c:y val="-4.4370531269798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FC-4659-81C6-CBA8CC10ED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Paypal'!$M$45:$P$45</c:f>
              <c:numCache>
                <c:formatCode>mmm\-yy</c:formatCode>
                <c:ptCount val="4"/>
                <c:pt idx="0">
                  <c:v>43800</c:v>
                </c:pt>
                <c:pt idx="1">
                  <c:v>44166</c:v>
                </c:pt>
                <c:pt idx="2">
                  <c:v>44532</c:v>
                </c:pt>
                <c:pt idx="3">
                  <c:v>44898</c:v>
                </c:pt>
              </c:numCache>
            </c:numRef>
          </c:cat>
          <c:val>
            <c:numRef>
              <c:f>'Analysis- Paypal'!$M$47:$P$47</c:f>
              <c:numCache>
                <c:formatCode>#,##0.00\x</c:formatCode>
                <c:ptCount val="4"/>
                <c:pt idx="0">
                  <c:v>51.598210654737699</c:v>
                </c:pt>
                <c:pt idx="1">
                  <c:v>65.304616849119469</c:v>
                </c:pt>
                <c:pt idx="2">
                  <c:v>52.832813624370353</c:v>
                </c:pt>
                <c:pt idx="3">
                  <c:v>33.563455973542787</c:v>
                </c:pt>
              </c:numCache>
            </c:numRef>
          </c:val>
          <c:smooth val="0"/>
          <c:extLst>
            <c:ext xmlns:c16="http://schemas.microsoft.com/office/drawing/2014/chart" uri="{C3380CC4-5D6E-409C-BE32-E72D297353CC}">
              <c16:uniqueId val="{00000000-84FC-4659-81C6-CBA8CC10ED12}"/>
            </c:ext>
          </c:extLst>
        </c:ser>
        <c:dLbls>
          <c:showLegendKey val="0"/>
          <c:showVal val="0"/>
          <c:showCatName val="0"/>
          <c:showSerName val="0"/>
          <c:showPercent val="0"/>
          <c:showBubbleSize val="0"/>
        </c:dLbls>
        <c:smooth val="0"/>
        <c:axId val="112402255"/>
        <c:axId val="112415983"/>
      </c:lineChart>
      <c:dateAx>
        <c:axId val="11240225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15983"/>
        <c:crosses val="autoZero"/>
        <c:auto val="1"/>
        <c:lblOffset val="100"/>
        <c:baseTimeUnit val="years"/>
      </c:dateAx>
      <c:valAx>
        <c:axId val="112415983"/>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02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r>
              <a:rPr lang="en-IN" baseline="0"/>
              <a:t> vs ROA</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Paypal'!$B$37</c:f>
              <c:strCache>
                <c:ptCount val="1"/>
                <c:pt idx="0">
                  <c:v>Return on Equity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Paypal'!$M$36:$P$36</c:f>
              <c:numCache>
                <c:formatCode>mmm\-yy</c:formatCode>
                <c:ptCount val="4"/>
                <c:pt idx="0">
                  <c:v>43800</c:v>
                </c:pt>
                <c:pt idx="1">
                  <c:v>44166</c:v>
                </c:pt>
                <c:pt idx="2">
                  <c:v>44532</c:v>
                </c:pt>
                <c:pt idx="3">
                  <c:v>44898</c:v>
                </c:pt>
              </c:numCache>
            </c:numRef>
          </c:cat>
          <c:val>
            <c:numRef>
              <c:f>'Analysis- Paypal'!$M$37:$P$37</c:f>
              <c:numCache>
                <c:formatCode>0.0%</c:formatCode>
                <c:ptCount val="4"/>
                <c:pt idx="0">
                  <c:v>0.14563221794492154</c:v>
                </c:pt>
                <c:pt idx="1">
                  <c:v>0.20990059443528647</c:v>
                </c:pt>
                <c:pt idx="2">
                  <c:v>0.19188106963685736</c:v>
                </c:pt>
                <c:pt idx="3">
                  <c:v>0.11931537930354148</c:v>
                </c:pt>
              </c:numCache>
            </c:numRef>
          </c:val>
          <c:extLst>
            <c:ext xmlns:c16="http://schemas.microsoft.com/office/drawing/2014/chart" uri="{C3380CC4-5D6E-409C-BE32-E72D297353CC}">
              <c16:uniqueId val="{00000000-F208-440B-B554-B57C0F8757A9}"/>
            </c:ext>
          </c:extLst>
        </c:ser>
        <c:ser>
          <c:idx val="1"/>
          <c:order val="1"/>
          <c:tx>
            <c:strRef>
              <c:f>'Analysis- Paypal'!$B$38</c:f>
              <c:strCache>
                <c:ptCount val="1"/>
                <c:pt idx="0">
                  <c:v>Return on Asset</c:v>
                </c:pt>
              </c:strCache>
            </c:strRef>
          </c:tx>
          <c:spPr>
            <a:solidFill>
              <a:srgbClr val="3333FF"/>
            </a:solidFill>
            <a:ln>
              <a:noFill/>
            </a:ln>
            <a:effectLst/>
          </c:spPr>
          <c:invertIfNegative val="0"/>
          <c:dLbls>
            <c:dLbl>
              <c:idx val="0"/>
              <c:layout>
                <c:manualLayout>
                  <c:x val="1.5576323987538941E-2"/>
                  <c:y val="5.1124744376278121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208-440B-B554-B57C0F8757A9}"/>
                </c:ext>
              </c:extLst>
            </c:dLbl>
            <c:dLbl>
              <c:idx val="1"/>
              <c:layout>
                <c:manualLayout>
                  <c:x val="2.336448598130841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208-440B-B554-B57C0F8757A9}"/>
                </c:ext>
              </c:extLst>
            </c:dLbl>
            <c:dLbl>
              <c:idx val="2"/>
              <c:layout>
                <c:manualLayout>
                  <c:x val="1.9470404984423532E-2"/>
                  <c:y val="5.1124744376278121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208-440B-B554-B57C0F8757A9}"/>
                </c:ext>
              </c:extLst>
            </c:dLbl>
            <c:dLbl>
              <c:idx val="3"/>
              <c:layout>
                <c:manualLayout>
                  <c:x val="1.5576323987538799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208-440B-B554-B57C0F8757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Paypal'!$M$36:$P$36</c:f>
              <c:numCache>
                <c:formatCode>mmm\-yy</c:formatCode>
                <c:ptCount val="4"/>
                <c:pt idx="0">
                  <c:v>43800</c:v>
                </c:pt>
                <c:pt idx="1">
                  <c:v>44166</c:v>
                </c:pt>
                <c:pt idx="2">
                  <c:v>44532</c:v>
                </c:pt>
                <c:pt idx="3">
                  <c:v>44898</c:v>
                </c:pt>
              </c:numCache>
            </c:numRef>
          </c:cat>
          <c:val>
            <c:numRef>
              <c:f>'Analysis- Paypal'!$M$38:$P$38</c:f>
              <c:numCache>
                <c:formatCode>0.0%</c:formatCode>
                <c:ptCount val="4"/>
                <c:pt idx="0">
                  <c:v>4.7902908460444552E-2</c:v>
                </c:pt>
                <c:pt idx="1">
                  <c:v>5.970530982253229E-2</c:v>
                </c:pt>
                <c:pt idx="2">
                  <c:v>5.4997823305146236E-2</c:v>
                </c:pt>
                <c:pt idx="3">
                  <c:v>3.0730337792344728E-2</c:v>
                </c:pt>
              </c:numCache>
            </c:numRef>
          </c:val>
          <c:extLst>
            <c:ext xmlns:c16="http://schemas.microsoft.com/office/drawing/2014/chart" uri="{C3380CC4-5D6E-409C-BE32-E72D297353CC}">
              <c16:uniqueId val="{00000001-F208-440B-B554-B57C0F8757A9}"/>
            </c:ext>
          </c:extLst>
        </c:ser>
        <c:dLbls>
          <c:showLegendKey val="0"/>
          <c:showVal val="0"/>
          <c:showCatName val="0"/>
          <c:showSerName val="0"/>
          <c:showPercent val="0"/>
          <c:showBubbleSize val="0"/>
        </c:dLbls>
        <c:gapWidth val="219"/>
        <c:overlap val="-27"/>
        <c:axId val="112422223"/>
        <c:axId val="112423887"/>
      </c:barChart>
      <c:dateAx>
        <c:axId val="11242222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3887"/>
        <c:crosses val="autoZero"/>
        <c:auto val="1"/>
        <c:lblOffset val="100"/>
        <c:baseTimeUnit val="years"/>
      </c:dateAx>
      <c:valAx>
        <c:axId val="11242388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222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ROCE</a:t>
            </a:r>
            <a:r>
              <a:rPr lang="en-IN" baseline="0"/>
              <a:t> vs ROIC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Paypal'!$B$39</c:f>
              <c:strCache>
                <c:ptCount val="1"/>
                <c:pt idx="0">
                  <c:v>Return on Capital Employed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Paypal'!$M$36:$P$36</c:f>
              <c:numCache>
                <c:formatCode>mmm\-yy</c:formatCode>
                <c:ptCount val="4"/>
                <c:pt idx="0">
                  <c:v>43800</c:v>
                </c:pt>
                <c:pt idx="1">
                  <c:v>44166</c:v>
                </c:pt>
                <c:pt idx="2">
                  <c:v>44532</c:v>
                </c:pt>
                <c:pt idx="3">
                  <c:v>44898</c:v>
                </c:pt>
              </c:numCache>
            </c:numRef>
          </c:cat>
          <c:val>
            <c:numRef>
              <c:f>'Analysis- Paypal'!$M$39:$P$39</c:f>
              <c:numCache>
                <c:formatCode>0.0%</c:formatCode>
                <c:ptCount val="4"/>
                <c:pt idx="0">
                  <c:v>5.3021972098238349E-2</c:v>
                </c:pt>
                <c:pt idx="1">
                  <c:v>6.5272772461787004E-2</c:v>
                </c:pt>
                <c:pt idx="2">
                  <c:v>6.0757538219391699E-2</c:v>
                </c:pt>
                <c:pt idx="3">
                  <c:v>3.4167631854007174E-2</c:v>
                </c:pt>
              </c:numCache>
            </c:numRef>
          </c:val>
          <c:smooth val="0"/>
          <c:extLst>
            <c:ext xmlns:c16="http://schemas.microsoft.com/office/drawing/2014/chart" uri="{C3380CC4-5D6E-409C-BE32-E72D297353CC}">
              <c16:uniqueId val="{00000000-FB88-4F50-85A0-17B483702930}"/>
            </c:ext>
          </c:extLst>
        </c:ser>
        <c:ser>
          <c:idx val="1"/>
          <c:order val="1"/>
          <c:tx>
            <c:strRef>
              <c:f>'Analysis- Paypal'!$B$40</c:f>
              <c:strCache>
                <c:ptCount val="1"/>
                <c:pt idx="0">
                  <c:v>Return on Invested Capital</c:v>
                </c:pt>
              </c:strCache>
            </c:strRef>
          </c:tx>
          <c:spPr>
            <a:ln w="28575" cap="rnd">
              <a:solidFill>
                <a:srgbClr val="3333FF"/>
              </a:solidFill>
              <a:round/>
            </a:ln>
            <a:effectLst/>
          </c:spPr>
          <c:marker>
            <c:symbol val="none"/>
          </c:marker>
          <c:dLbls>
            <c:dLbl>
              <c:idx val="2"/>
              <c:layout>
                <c:manualLayout>
                  <c:x val="-4.9541450761277861E-2"/>
                  <c:y val="-4.59908899468961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88-4F50-85A0-17B483702930}"/>
                </c:ext>
              </c:extLst>
            </c:dLbl>
            <c:dLbl>
              <c:idx val="3"/>
              <c:layout>
                <c:manualLayout>
                  <c:x val="-3.0025447638717291E-2"/>
                  <c:y val="-4.11459287065860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88-4F50-85A0-17B4837029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Paypal'!$M$36:$P$36</c:f>
              <c:numCache>
                <c:formatCode>mmm\-yy</c:formatCode>
                <c:ptCount val="4"/>
                <c:pt idx="0">
                  <c:v>43800</c:v>
                </c:pt>
                <c:pt idx="1">
                  <c:v>44166</c:v>
                </c:pt>
                <c:pt idx="2">
                  <c:v>44532</c:v>
                </c:pt>
                <c:pt idx="3">
                  <c:v>44898</c:v>
                </c:pt>
              </c:numCache>
            </c:numRef>
          </c:cat>
          <c:val>
            <c:numRef>
              <c:f>'Analysis- Paypal'!$M$40:$P$40</c:f>
              <c:numCache>
                <c:formatCode>0.0%</c:formatCode>
                <c:ptCount val="4"/>
                <c:pt idx="0">
                  <c:v>0.185319164970985</c:v>
                </c:pt>
                <c:pt idx="1">
                  <c:v>0.29272030651340997</c:v>
                </c:pt>
                <c:pt idx="2">
                  <c:v>0.3639776497293522</c:v>
                </c:pt>
                <c:pt idx="3">
                  <c:v>0.17100240350629153</c:v>
                </c:pt>
              </c:numCache>
            </c:numRef>
          </c:val>
          <c:smooth val="0"/>
          <c:extLst>
            <c:ext xmlns:c16="http://schemas.microsoft.com/office/drawing/2014/chart" uri="{C3380CC4-5D6E-409C-BE32-E72D297353CC}">
              <c16:uniqueId val="{00000001-FB88-4F50-85A0-17B483702930}"/>
            </c:ext>
          </c:extLst>
        </c:ser>
        <c:dLbls>
          <c:showLegendKey val="0"/>
          <c:showVal val="0"/>
          <c:showCatName val="0"/>
          <c:showSerName val="0"/>
          <c:showPercent val="0"/>
          <c:showBubbleSize val="0"/>
        </c:dLbls>
        <c:smooth val="0"/>
        <c:axId val="35381023"/>
        <c:axId val="35404319"/>
      </c:lineChart>
      <c:dateAx>
        <c:axId val="3538102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4319"/>
        <c:crosses val="autoZero"/>
        <c:auto val="1"/>
        <c:lblOffset val="100"/>
        <c:baseTimeUnit val="years"/>
      </c:dateAx>
      <c:valAx>
        <c:axId val="3540431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1023"/>
        <c:crosses val="autoZero"/>
        <c:crossBetween val="between"/>
      </c:valAx>
      <c:spPr>
        <a:noFill/>
        <a:ln>
          <a:noFill/>
        </a:ln>
        <a:effectLst/>
      </c:spPr>
    </c:plotArea>
    <c:legend>
      <c:legendPos val="b"/>
      <c:layout>
        <c:manualLayout>
          <c:xMode val="edge"/>
          <c:yMode val="edge"/>
          <c:x val="1.8177602799650059E-2"/>
          <c:y val="0.89409667541557303"/>
          <c:w val="0.9747559055118110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p>
        </c:rich>
      </c:tx>
      <c:layout>
        <c:manualLayout>
          <c:xMode val="edge"/>
          <c:yMode val="edge"/>
          <c:x val="0.401159667541557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lumMod val="60000"/>
                  <a:lumOff val="40000"/>
                </a:schemeClr>
              </a:solidFill>
              <a:round/>
            </a:ln>
            <a:effectLst/>
          </c:spPr>
          <c:marker>
            <c:symbol val="none"/>
          </c:marker>
          <c:dLbls>
            <c:dLbl>
              <c:idx val="2"/>
              <c:layout>
                <c:manualLayout>
                  <c:x val="-7.9906891200643787E-2"/>
                  <c:y val="3.37875405761195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05-4D8B-AA2C-7E7673393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'Analysis-NVIDIA'!$L$47:$O$47</c:f>
              <c:numCache>
                <c:formatCode>mmm\-yy</c:formatCode>
                <c:ptCount val="4"/>
                <c:pt idx="0">
                  <c:v>43831</c:v>
                </c:pt>
                <c:pt idx="1">
                  <c:v>44197</c:v>
                </c:pt>
                <c:pt idx="2">
                  <c:v>44563</c:v>
                </c:pt>
                <c:pt idx="3">
                  <c:v>44929</c:v>
                </c:pt>
              </c:numCache>
            </c:numRef>
          </c:cat>
          <c:val>
            <c:numRef>
              <c:f>'Analysis-NVIDIA'!$L$49:$O$49</c:f>
              <c:numCache>
                <c:formatCode>#,##0.00\x</c:formatCode>
                <c:ptCount val="4"/>
                <c:pt idx="0">
                  <c:v>115.60801144492132</c:v>
                </c:pt>
                <c:pt idx="1">
                  <c:v>169.72991689750694</c:v>
                </c:pt>
                <c:pt idx="2">
                  <c:v>37.344134536505329</c:v>
                </c:pt>
                <c:pt idx="3">
                  <c:v>239.01098901098902</c:v>
                </c:pt>
              </c:numCache>
            </c:numRef>
          </c:val>
          <c:smooth val="0"/>
          <c:extLst>
            <c:ext xmlns:c16="http://schemas.microsoft.com/office/drawing/2014/chart" uri="{C3380CC4-5D6E-409C-BE32-E72D297353CC}">
              <c16:uniqueId val="{00000000-9C05-4D8B-AA2C-7E767339394A}"/>
            </c:ext>
          </c:extLst>
        </c:ser>
        <c:dLbls>
          <c:showLegendKey val="0"/>
          <c:showVal val="0"/>
          <c:showCatName val="0"/>
          <c:showSerName val="0"/>
          <c:showPercent val="0"/>
          <c:showBubbleSize val="0"/>
        </c:dLbls>
        <c:smooth val="0"/>
        <c:axId val="686957952"/>
        <c:axId val="686952544"/>
      </c:lineChart>
      <c:dateAx>
        <c:axId val="6869579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52544"/>
        <c:crosses val="autoZero"/>
        <c:auto val="1"/>
        <c:lblOffset val="100"/>
        <c:baseTimeUnit val="years"/>
      </c:dateAx>
      <c:valAx>
        <c:axId val="686952544"/>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5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manualLayout>
          <c:xMode val="edge"/>
          <c:yMode val="edge"/>
          <c:x val="0.37893744531933515"/>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59694172467721"/>
          <c:y val="0.20591692644365847"/>
          <c:w val="0.81289437789159413"/>
          <c:h val="0.53829202474799331"/>
        </c:manualLayout>
      </c:layout>
      <c:barChart>
        <c:barDir val="col"/>
        <c:grouping val="clustered"/>
        <c:varyColors val="0"/>
        <c:ser>
          <c:idx val="0"/>
          <c:order val="0"/>
          <c:tx>
            <c:strRef>
              <c:f>'Analysis-SalesForce'!$B$26</c:f>
              <c:strCache>
                <c:ptCount val="1"/>
                <c:pt idx="0">
                  <c:v>Debt to Equity Ratio</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'Analysis-SalesForce'!$N$24:$Q$24</c:f>
              <c:numCache>
                <c:formatCode>mmm\-yy</c:formatCode>
                <c:ptCount val="4"/>
                <c:pt idx="0">
                  <c:v>43831</c:v>
                </c:pt>
                <c:pt idx="1">
                  <c:v>44197</c:v>
                </c:pt>
                <c:pt idx="2">
                  <c:v>44563</c:v>
                </c:pt>
                <c:pt idx="3">
                  <c:v>44929</c:v>
                </c:pt>
              </c:numCache>
            </c:numRef>
          </c:cat>
          <c:val>
            <c:numRef>
              <c:f>'Analysis-SalesForce'!$N$26:$Q$26</c:f>
              <c:numCache>
                <c:formatCode>#,##0.00\x</c:formatCode>
                <c:ptCount val="4"/>
                <c:pt idx="0">
                  <c:v>7.8884462151394427E-2</c:v>
                </c:pt>
                <c:pt idx="1">
                  <c:v>6.4420504663437211E-2</c:v>
                </c:pt>
                <c:pt idx="2">
                  <c:v>0.18227795840429376</c:v>
                </c:pt>
                <c:pt idx="3">
                  <c:v>0.1816515019105879</c:v>
                </c:pt>
              </c:numCache>
            </c:numRef>
          </c:val>
          <c:extLst>
            <c:ext xmlns:c16="http://schemas.microsoft.com/office/drawing/2014/chart" uri="{C3380CC4-5D6E-409C-BE32-E72D297353CC}">
              <c16:uniqueId val="{00000000-F00E-47DB-8108-411DC16103A6}"/>
            </c:ext>
          </c:extLst>
        </c:ser>
        <c:ser>
          <c:idx val="1"/>
          <c:order val="1"/>
          <c:tx>
            <c:strRef>
              <c:f>'Analysis-SalesForce'!$B$27</c:f>
              <c:strCache>
                <c:ptCount val="1"/>
                <c:pt idx="0">
                  <c:v>Debt to Capital Ratio</c:v>
                </c:pt>
              </c:strCache>
            </c:strRef>
          </c:tx>
          <c:spPr>
            <a:solidFill>
              <a:srgbClr val="3333FF"/>
            </a:solidFill>
            <a:ln>
              <a:noFill/>
            </a:ln>
            <a:effectLst/>
          </c:spPr>
          <c:invertIfNegative val="0"/>
          <c:dLbls>
            <c:dLbl>
              <c:idx val="0"/>
              <c:layout>
                <c:manualLayout>
                  <c:x val="4.0942925239830438E-3"/>
                  <c:y val="3.331090748616744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00E-47DB-8108-411DC16103A6}"/>
                </c:ext>
              </c:extLst>
            </c:dLbl>
            <c:dLbl>
              <c:idx val="1"/>
              <c:layout>
                <c:manualLayout>
                  <c:x val="2.4565755143898263E-2"/>
                  <c:y val="1.665545374308372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00E-47DB-8108-411DC16103A6}"/>
                </c:ext>
              </c:extLst>
            </c:dLbl>
            <c:dLbl>
              <c:idx val="2"/>
              <c:layout>
                <c:manualLayout>
                  <c:x val="2.4565755143898187E-2"/>
                  <c:y val="3.331090748616744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00E-47DB-8108-411DC16103A6}"/>
                </c:ext>
              </c:extLst>
            </c:dLbl>
            <c:dLbl>
              <c:idx val="3"/>
              <c:layout>
                <c:manualLayout>
                  <c:x val="1.2282877571948981E-2"/>
                  <c:y val="1.110363582872248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00E-47DB-8108-411DC16103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'Analysis-SalesForce'!$N$24:$Q$24</c:f>
              <c:numCache>
                <c:formatCode>mmm\-yy</c:formatCode>
                <c:ptCount val="4"/>
                <c:pt idx="0">
                  <c:v>43831</c:v>
                </c:pt>
                <c:pt idx="1">
                  <c:v>44197</c:v>
                </c:pt>
                <c:pt idx="2">
                  <c:v>44563</c:v>
                </c:pt>
                <c:pt idx="3">
                  <c:v>44929</c:v>
                </c:pt>
              </c:numCache>
            </c:numRef>
          </c:cat>
          <c:val>
            <c:numRef>
              <c:f>'Analysis-SalesForce'!$N$27:$Q$27</c:f>
              <c:numCache>
                <c:formatCode>#,##0.00\x</c:formatCode>
                <c:ptCount val="4"/>
                <c:pt idx="0">
                  <c:v>7.3116691285081248E-2</c:v>
                </c:pt>
                <c:pt idx="1">
                  <c:v>6.0521668251596258E-2</c:v>
                </c:pt>
                <c:pt idx="2">
                  <c:v>0.15417521498101183</c:v>
                </c:pt>
                <c:pt idx="3">
                  <c:v>0.15372679814385148</c:v>
                </c:pt>
              </c:numCache>
            </c:numRef>
          </c:val>
          <c:extLst>
            <c:ext xmlns:c16="http://schemas.microsoft.com/office/drawing/2014/chart" uri="{C3380CC4-5D6E-409C-BE32-E72D297353CC}">
              <c16:uniqueId val="{00000001-F00E-47DB-8108-411DC16103A6}"/>
            </c:ext>
          </c:extLst>
        </c:ser>
        <c:dLbls>
          <c:showLegendKey val="0"/>
          <c:showVal val="0"/>
          <c:showCatName val="0"/>
          <c:showSerName val="0"/>
          <c:showPercent val="0"/>
          <c:showBubbleSize val="0"/>
        </c:dLbls>
        <c:gapWidth val="219"/>
        <c:overlap val="-27"/>
        <c:axId val="1663272063"/>
        <c:axId val="1663277471"/>
      </c:barChart>
      <c:dateAx>
        <c:axId val="166327206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77471"/>
        <c:crosses val="autoZero"/>
        <c:auto val="1"/>
        <c:lblOffset val="100"/>
        <c:baseTimeUnit val="years"/>
      </c:dateAx>
      <c:valAx>
        <c:axId val="1663277471"/>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720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r>
              <a:rPr lang="en-IN" baseline="0"/>
              <a:t> vs ROA</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'Analysis-SalesForce'!$B$41</c:f>
              <c:strCache>
                <c:ptCount val="1"/>
                <c:pt idx="0">
                  <c:v>Return on Equity</c:v>
                </c:pt>
              </c:strCache>
            </c:strRef>
          </c:tx>
          <c:spPr>
            <a:ln w="28575" cap="rnd">
              <a:solidFill>
                <a:schemeClr val="accent1"/>
              </a:solidFill>
              <a:round/>
            </a:ln>
            <a:effectLst/>
          </c:spPr>
          <c:marker>
            <c:symbol val="none"/>
          </c:marker>
          <c:dLbls>
            <c:dLbl>
              <c:idx val="0"/>
              <c:layout>
                <c:manualLayout>
                  <c:x val="-1.1458880139982247E-3"/>
                  <c:y val="6.9790755322251385E-3"/>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591-4635-BB90-62A15F9164E7}"/>
                </c:ext>
              </c:extLst>
            </c:dLbl>
            <c:dLbl>
              <c:idx val="1"/>
              <c:layout>
                <c:manualLayout>
                  <c:x val="-6.7364815644328696E-2"/>
                  <c:y val="-3.994279975992178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C591-4635-BB90-62A15F9164E7}"/>
                </c:ext>
              </c:extLst>
            </c:dLbl>
            <c:dLbl>
              <c:idx val="2"/>
              <c:layout>
                <c:manualLayout>
                  <c:x val="-3.4528996678282013E-2"/>
                  <c:y val="-4.609492585234800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C591-4635-BB90-62A15F9164E7}"/>
                </c:ext>
              </c:extLst>
            </c:dLbl>
            <c:dLbl>
              <c:idx val="3"/>
              <c:layout>
                <c:manualLayout>
                  <c:x val="-4.5590269966254218E-2"/>
                  <c:y val="-4.750037354367913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91-4635-BB90-62A15F9164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'Analysis-SalesForce'!$N$40:$Q$40</c:f>
              <c:numCache>
                <c:formatCode>mmm\-yy</c:formatCode>
                <c:ptCount val="4"/>
                <c:pt idx="0">
                  <c:v>43831</c:v>
                </c:pt>
                <c:pt idx="1">
                  <c:v>44197</c:v>
                </c:pt>
                <c:pt idx="2">
                  <c:v>44563</c:v>
                </c:pt>
                <c:pt idx="3">
                  <c:v>44929</c:v>
                </c:pt>
              </c:numCache>
            </c:numRef>
          </c:cat>
          <c:val>
            <c:numRef>
              <c:f>'Analysis-SalesForce'!$N$41:$Q$41</c:f>
              <c:numCache>
                <c:formatCode>0.0%</c:formatCode>
                <c:ptCount val="4"/>
                <c:pt idx="0">
                  <c:v>3.7184594953519256E-3</c:v>
                </c:pt>
                <c:pt idx="1">
                  <c:v>9.8137035162557534E-2</c:v>
                </c:pt>
                <c:pt idx="2">
                  <c:v>2.4840446577557584E-2</c:v>
                </c:pt>
                <c:pt idx="3">
                  <c:v>3.564146061447249E-3</c:v>
                </c:pt>
              </c:numCache>
            </c:numRef>
          </c:val>
          <c:smooth val="0"/>
          <c:extLst>
            <c:ext xmlns:c16="http://schemas.microsoft.com/office/drawing/2014/chart" uri="{C3380CC4-5D6E-409C-BE32-E72D297353CC}">
              <c16:uniqueId val="{00000000-C591-4635-BB90-62A15F9164E7}"/>
            </c:ext>
          </c:extLst>
        </c:ser>
        <c:ser>
          <c:idx val="1"/>
          <c:order val="1"/>
          <c:tx>
            <c:strRef>
              <c:f>'Analysis-SalesForce'!$B$42</c:f>
              <c:strCache>
                <c:ptCount val="1"/>
                <c:pt idx="0">
                  <c:v>Return on Asset</c:v>
                </c:pt>
              </c:strCache>
            </c:strRef>
          </c:tx>
          <c:spPr>
            <a:ln w="28575" cap="rnd">
              <a:solidFill>
                <a:srgbClr val="00FFFF"/>
              </a:solidFill>
              <a:round/>
            </a:ln>
            <a:effectLst/>
          </c:spPr>
          <c:marker>
            <c:symbol val="none"/>
          </c:marker>
          <c:dLbls>
            <c:dLbl>
              <c:idx val="0"/>
              <c:layout>
                <c:manualLayout>
                  <c:x val="-9.8243736147388877E-2"/>
                  <c:y val="-3.779488424072349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591-4635-BB90-62A15F9164E7}"/>
                </c:ext>
              </c:extLst>
            </c:dLbl>
            <c:dLbl>
              <c:idx val="1"/>
              <c:layout>
                <c:manualLayout>
                  <c:x val="-7.146929301508452E-2"/>
                  <c:y val="-3.379067366749556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C591-4635-BB90-62A15F9164E7}"/>
                </c:ext>
              </c:extLst>
            </c:dLbl>
            <c:dLbl>
              <c:idx val="2"/>
              <c:layout>
                <c:manualLayout>
                  <c:x val="-9.7870454937686271E-2"/>
                  <c:y val="3.16495400195802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591-4635-BB90-62A15F9164E7}"/>
                </c:ext>
              </c:extLst>
            </c:dLbl>
            <c:dLbl>
              <c:idx val="3"/>
              <c:layout>
                <c:manualLayout>
                  <c:x val="-1.2187570303712167E-2"/>
                  <c:y val="2.5748545576723477E-3"/>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591-4635-BB90-62A15F9164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'Analysis-SalesForce'!$N$40:$Q$40</c:f>
              <c:numCache>
                <c:formatCode>mmm\-yy</c:formatCode>
                <c:ptCount val="4"/>
                <c:pt idx="0">
                  <c:v>43831</c:v>
                </c:pt>
                <c:pt idx="1">
                  <c:v>44197</c:v>
                </c:pt>
                <c:pt idx="2">
                  <c:v>44563</c:v>
                </c:pt>
                <c:pt idx="3">
                  <c:v>44929</c:v>
                </c:pt>
              </c:numCache>
            </c:numRef>
          </c:cat>
          <c:val>
            <c:numRef>
              <c:f>'Analysis-SalesForce'!$N$42:$Q$42</c:f>
              <c:numCache>
                <c:formatCode>0.0%</c:formatCode>
                <c:ptCount val="4"/>
                <c:pt idx="0">
                  <c:v>2.2856728222617278E-3</c:v>
                </c:pt>
                <c:pt idx="1">
                  <c:v>6.1416871540399091E-2</c:v>
                </c:pt>
                <c:pt idx="2">
                  <c:v>1.5166633406505687E-2</c:v>
                </c:pt>
                <c:pt idx="3">
                  <c:v>2.104219567218687E-3</c:v>
                </c:pt>
              </c:numCache>
            </c:numRef>
          </c:val>
          <c:smooth val="0"/>
          <c:extLst>
            <c:ext xmlns:c16="http://schemas.microsoft.com/office/drawing/2014/chart" uri="{C3380CC4-5D6E-409C-BE32-E72D297353CC}">
              <c16:uniqueId val="{00000001-C591-4635-BB90-62A15F9164E7}"/>
            </c:ext>
          </c:extLst>
        </c:ser>
        <c:dLbls>
          <c:showLegendKey val="0"/>
          <c:showVal val="0"/>
          <c:showCatName val="0"/>
          <c:showSerName val="0"/>
          <c:showPercent val="0"/>
          <c:showBubbleSize val="0"/>
        </c:dLbls>
        <c:smooth val="0"/>
        <c:axId val="1603687791"/>
        <c:axId val="1603673647"/>
      </c:lineChart>
      <c:dateAx>
        <c:axId val="160368779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73647"/>
        <c:crosses val="autoZero"/>
        <c:auto val="1"/>
        <c:lblOffset val="100"/>
        <c:baseTimeUnit val="years"/>
      </c:dateAx>
      <c:valAx>
        <c:axId val="160367364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877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ROCE</a:t>
            </a:r>
            <a:r>
              <a:rPr lang="en-IN" baseline="0"/>
              <a:t> vs ROIC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24017066309271"/>
          <c:y val="0.16194650496892124"/>
          <c:w val="0.86601618547681536"/>
          <c:h val="0.61498432487605714"/>
        </c:manualLayout>
      </c:layout>
      <c:lineChart>
        <c:grouping val="standard"/>
        <c:varyColors val="0"/>
        <c:ser>
          <c:idx val="0"/>
          <c:order val="0"/>
          <c:tx>
            <c:strRef>
              <c:f>'Analysis-SalesForce'!$B$43</c:f>
              <c:strCache>
                <c:ptCount val="1"/>
                <c:pt idx="0">
                  <c:v>Return on Capital Employed</c:v>
                </c:pt>
              </c:strCache>
            </c:strRef>
          </c:tx>
          <c:spPr>
            <a:ln w="28575" cap="rnd">
              <a:solidFill>
                <a:schemeClr val="accent1"/>
              </a:solidFill>
              <a:round/>
            </a:ln>
            <a:effectLst/>
          </c:spPr>
          <c:marker>
            <c:symbol val="none"/>
          </c:marker>
          <c:dLbls>
            <c:dLbl>
              <c:idx val="0"/>
              <c:layout>
                <c:manualLayout>
                  <c:x val="-2.8923665791776028E-2"/>
                  <c:y val="2.54975940507436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B2-4C7B-9106-FB03F3A4F1D0}"/>
                </c:ext>
              </c:extLst>
            </c:dLbl>
            <c:dLbl>
              <c:idx val="1"/>
              <c:layout>
                <c:manualLayout>
                  <c:x val="-4.8368110236220473E-2"/>
                  <c:y val="-3.00579615048118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B2-4C7B-9106-FB03F3A4F1D0}"/>
                </c:ext>
              </c:extLst>
            </c:dLbl>
            <c:dLbl>
              <c:idx val="2"/>
              <c:layout>
                <c:manualLayout>
                  <c:x val="-4.8368110236220473E-2"/>
                  <c:y val="-4.39468503937008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B2-4C7B-9106-FB03F3A4F1D0}"/>
                </c:ext>
              </c:extLst>
            </c:dLbl>
            <c:dLbl>
              <c:idx val="3"/>
              <c:layout>
                <c:manualLayout>
                  <c:x val="-1.2256999125109361E-2"/>
                  <c:y val="-1.15394429862934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B2-4C7B-9106-FB03F3A4F1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'Analysis-SalesForce'!$N$40:$Q$40</c:f>
              <c:numCache>
                <c:formatCode>mmm\-yy</c:formatCode>
                <c:ptCount val="4"/>
                <c:pt idx="0">
                  <c:v>43831</c:v>
                </c:pt>
                <c:pt idx="1">
                  <c:v>44197</c:v>
                </c:pt>
                <c:pt idx="2">
                  <c:v>44563</c:v>
                </c:pt>
                <c:pt idx="3">
                  <c:v>44929</c:v>
                </c:pt>
              </c:numCache>
            </c:numRef>
          </c:cat>
          <c:val>
            <c:numRef>
              <c:f>'Analysis-SalesForce'!$N$43:$Q$43</c:f>
              <c:numCache>
                <c:formatCode>0.0%</c:formatCode>
                <c:ptCount val="4"/>
                <c:pt idx="0">
                  <c:v>3.4465780403741997E-3</c:v>
                </c:pt>
                <c:pt idx="1">
                  <c:v>9.219761807725399E-2</c:v>
                </c:pt>
                <c:pt idx="2">
                  <c:v>2.1010665386238307E-2</c:v>
                </c:pt>
                <c:pt idx="3">
                  <c:v>3.0162412993039443E-3</c:v>
                </c:pt>
              </c:numCache>
            </c:numRef>
          </c:val>
          <c:smooth val="0"/>
          <c:extLst>
            <c:ext xmlns:c16="http://schemas.microsoft.com/office/drawing/2014/chart" uri="{C3380CC4-5D6E-409C-BE32-E72D297353CC}">
              <c16:uniqueId val="{00000000-E0B2-4C7B-9106-FB03F3A4F1D0}"/>
            </c:ext>
          </c:extLst>
        </c:ser>
        <c:ser>
          <c:idx val="1"/>
          <c:order val="1"/>
          <c:tx>
            <c:strRef>
              <c:f>'Analysis-SalesForce'!$B$44</c:f>
              <c:strCache>
                <c:ptCount val="1"/>
                <c:pt idx="0">
                  <c:v>Return on Invested Capital</c:v>
                </c:pt>
              </c:strCache>
            </c:strRef>
          </c:tx>
          <c:spPr>
            <a:ln w="28575" cap="rnd">
              <a:solidFill>
                <a:srgbClr val="002060"/>
              </a:solidFill>
              <a:round/>
            </a:ln>
            <a:effectLst/>
          </c:spPr>
          <c:marker>
            <c:symbol val="none"/>
          </c:marker>
          <c:dLbls>
            <c:dLbl>
              <c:idx val="0"/>
              <c:layout>
                <c:manualLayout>
                  <c:x val="-0.12307585195564152"/>
                  <c:y val="-2.9550610836127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B2-4C7B-9106-FB03F3A4F1D0}"/>
                </c:ext>
              </c:extLst>
            </c:dLbl>
            <c:dLbl>
              <c:idx val="1"/>
              <c:layout>
                <c:manualLayout>
                  <c:x val="-5.1923665791776076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B2-4C7B-9106-FB03F3A4F1D0}"/>
                </c:ext>
              </c:extLst>
            </c:dLbl>
            <c:dLbl>
              <c:idx val="2"/>
              <c:layout>
                <c:manualLayout>
                  <c:x val="-3.5256999125109462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B2-4C7B-9106-FB03F3A4F1D0}"/>
                </c:ext>
              </c:extLst>
            </c:dLbl>
            <c:dLbl>
              <c:idx val="3"/>
              <c:layout>
                <c:manualLayout>
                  <c:x val="-2.614588801399825E-2"/>
                  <c:y val="-4.39468503937008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0B2-4C7B-9106-FB03F3A4F1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'Analysis-SalesForce'!$N$40:$Q$40</c:f>
              <c:numCache>
                <c:formatCode>mmm\-yy</c:formatCode>
                <c:ptCount val="4"/>
                <c:pt idx="0">
                  <c:v>43831</c:v>
                </c:pt>
                <c:pt idx="1">
                  <c:v>44197</c:v>
                </c:pt>
                <c:pt idx="2">
                  <c:v>44563</c:v>
                </c:pt>
                <c:pt idx="3">
                  <c:v>44929</c:v>
                </c:pt>
              </c:numCache>
            </c:numRef>
          </c:cat>
          <c:val>
            <c:numRef>
              <c:f>'Analysis-SalesForce'!$N$44:$Q$44</c:f>
              <c:numCache>
                <c:formatCode>0.0%</c:formatCode>
                <c:ptCount val="4"/>
                <c:pt idx="0">
                  <c:v>1.928669830093372E-2</c:v>
                </c:pt>
                <c:pt idx="1">
                  <c:v>0.41449511400651468</c:v>
                </c:pt>
                <c:pt idx="2">
                  <c:v>0.21370430664496079</c:v>
                </c:pt>
                <c:pt idx="3">
                  <c:v>2.9312288613303268E-2</c:v>
                </c:pt>
              </c:numCache>
            </c:numRef>
          </c:val>
          <c:smooth val="0"/>
          <c:extLst>
            <c:ext xmlns:c16="http://schemas.microsoft.com/office/drawing/2014/chart" uri="{C3380CC4-5D6E-409C-BE32-E72D297353CC}">
              <c16:uniqueId val="{00000001-E0B2-4C7B-9106-FB03F3A4F1D0}"/>
            </c:ext>
          </c:extLst>
        </c:ser>
        <c:dLbls>
          <c:showLegendKey val="0"/>
          <c:showVal val="0"/>
          <c:showCatName val="0"/>
          <c:showSerName val="0"/>
          <c:showPercent val="0"/>
          <c:showBubbleSize val="0"/>
        </c:dLbls>
        <c:smooth val="0"/>
        <c:axId val="1603659919"/>
        <c:axId val="1603665327"/>
      </c:lineChart>
      <c:dateAx>
        <c:axId val="160365991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65327"/>
        <c:crosses val="autoZero"/>
        <c:auto val="1"/>
        <c:lblOffset val="100"/>
        <c:baseTimeUnit val="years"/>
      </c:dateAx>
      <c:valAx>
        <c:axId val="160366532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59919"/>
        <c:crosses val="autoZero"/>
        <c:crossBetween val="between"/>
      </c:valAx>
      <c:spPr>
        <a:noFill/>
        <a:ln>
          <a:noFill/>
        </a:ln>
        <a:effectLst/>
      </c:spPr>
    </c:plotArea>
    <c:legend>
      <c:legendPos val="b"/>
      <c:layout>
        <c:manualLayout>
          <c:xMode val="edge"/>
          <c:yMode val="edge"/>
          <c:x val="6.0547043156552339E-3"/>
          <c:y val="0.8548789430915027"/>
          <c:w val="0.99394529568434475"/>
          <c:h val="0.11429914325596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'Analysis-SalesForce'!$B$45</c:f>
              <c:strCache>
                <c:ptCount val="1"/>
                <c:pt idx="0">
                  <c:v>EBITDA Margin</c:v>
                </c:pt>
              </c:strCache>
            </c:strRef>
          </c:tx>
          <c:spPr>
            <a:ln w="28575" cap="rnd">
              <a:solidFill>
                <a:schemeClr val="accent1"/>
              </a:solidFill>
              <a:round/>
            </a:ln>
            <a:effectLst/>
          </c:spPr>
          <c:marker>
            <c:symbol val="none"/>
          </c:marker>
          <c:dLbls>
            <c:dLbl>
              <c:idx val="1"/>
              <c:layout>
                <c:manualLayout>
                  <c:x val="-8.8223899597412128E-2"/>
                  <c:y val="-3.23449849288178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C7-48A5-86E1-3F19BAB41A8E}"/>
                </c:ext>
              </c:extLst>
            </c:dLbl>
            <c:dLbl>
              <c:idx val="2"/>
              <c:layout>
                <c:manualLayout>
                  <c:x val="-7.9696769896412153E-2"/>
                  <c:y val="-4.729063923465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C7-48A5-86E1-3F19BAB41A8E}"/>
                </c:ext>
              </c:extLst>
            </c:dLbl>
            <c:dLbl>
              <c:idx val="3"/>
              <c:layout>
                <c:manualLayout>
                  <c:x val="-7.5433205045912222E-2"/>
                  <c:y val="-4.23087544660439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C7-48A5-86E1-3F19BAB41A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'Analysis-SalesForce'!$N$40:$Q$40</c:f>
              <c:numCache>
                <c:formatCode>mmm\-yy</c:formatCode>
                <c:ptCount val="4"/>
                <c:pt idx="0">
                  <c:v>43831</c:v>
                </c:pt>
                <c:pt idx="1">
                  <c:v>44197</c:v>
                </c:pt>
                <c:pt idx="2">
                  <c:v>44563</c:v>
                </c:pt>
                <c:pt idx="3">
                  <c:v>44929</c:v>
                </c:pt>
              </c:numCache>
            </c:numRef>
          </c:cat>
          <c:val>
            <c:numRef>
              <c:f>'Analysis-SalesForce'!$N$45:$Q$45</c:f>
              <c:numCache>
                <c:formatCode>0.0%</c:formatCode>
                <c:ptCount val="4"/>
                <c:pt idx="0">
                  <c:v>0.21739384723359456</c:v>
                </c:pt>
                <c:pt idx="1">
                  <c:v>0.30420666290231507</c:v>
                </c:pt>
                <c:pt idx="2">
                  <c:v>0.23320247621923598</c:v>
                </c:pt>
                <c:pt idx="3">
                  <c:v>0.1950114825210513</c:v>
                </c:pt>
              </c:numCache>
            </c:numRef>
          </c:val>
          <c:smooth val="0"/>
          <c:extLst>
            <c:ext xmlns:c16="http://schemas.microsoft.com/office/drawing/2014/chart" uri="{C3380CC4-5D6E-409C-BE32-E72D297353CC}">
              <c16:uniqueId val="{00000000-3FC7-48A5-86E1-3F19BAB41A8E}"/>
            </c:ext>
          </c:extLst>
        </c:ser>
        <c:ser>
          <c:idx val="1"/>
          <c:order val="1"/>
          <c:tx>
            <c:strRef>
              <c:f>'Analysis-SalesForce'!$B$46</c:f>
              <c:strCache>
                <c:ptCount val="1"/>
                <c:pt idx="0">
                  <c:v>Net Margin</c:v>
                </c:pt>
              </c:strCache>
            </c:strRef>
          </c:tx>
          <c:spPr>
            <a:ln w="28575" cap="rnd">
              <a:solidFill>
                <a:srgbClr val="002060"/>
              </a:solidFill>
              <a:round/>
            </a:ln>
            <a:effectLst/>
          </c:spPr>
          <c:marker>
            <c:symbol val="none"/>
          </c:marker>
          <c:dLbls>
            <c:dLbl>
              <c:idx val="0"/>
              <c:layout>
                <c:manualLayout>
                  <c:x val="-9.9820795990771899E-2"/>
                  <c:y val="-4.729063923465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C7-48A5-86E1-3F19BAB41A8E}"/>
                </c:ext>
              </c:extLst>
            </c:dLbl>
            <c:dLbl>
              <c:idx val="1"/>
              <c:layout>
                <c:manualLayout>
                  <c:x val="-8.8223899597412128E-2"/>
                  <c:y val="-3.23449849288178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C7-48A5-86E1-3F19BAB41A8E}"/>
                </c:ext>
              </c:extLst>
            </c:dLbl>
            <c:dLbl>
              <c:idx val="2"/>
              <c:layout>
                <c:manualLayout>
                  <c:x val="-4.8658017784772481E-2"/>
                  <c:y val="-4.729063923465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C7-48A5-86E1-3F19BAB41A8E}"/>
                </c:ext>
              </c:extLst>
            </c:dLbl>
            <c:dLbl>
              <c:idx val="3"/>
              <c:layout>
                <c:manualLayout>
                  <c:x val="-5.7185147485772608E-2"/>
                  <c:y val="-4.729063923465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C7-48A5-86E1-3F19BAB41A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'Analysis-SalesForce'!$N$40:$Q$40</c:f>
              <c:numCache>
                <c:formatCode>mmm\-yy</c:formatCode>
                <c:ptCount val="4"/>
                <c:pt idx="0">
                  <c:v>43831</c:v>
                </c:pt>
                <c:pt idx="1">
                  <c:v>44197</c:v>
                </c:pt>
                <c:pt idx="2">
                  <c:v>44563</c:v>
                </c:pt>
                <c:pt idx="3">
                  <c:v>44929</c:v>
                </c:pt>
              </c:numCache>
            </c:numRef>
          </c:cat>
          <c:val>
            <c:numRef>
              <c:f>'Analysis-SalesForce'!$N$46:$Q$46</c:f>
              <c:numCache>
                <c:formatCode>0.0%</c:formatCode>
                <c:ptCount val="4"/>
                <c:pt idx="0">
                  <c:v>7.3692829570710027E-3</c:v>
                </c:pt>
                <c:pt idx="1">
                  <c:v>0.19160549595332205</c:v>
                </c:pt>
                <c:pt idx="2">
                  <c:v>5.4507020987467916E-2</c:v>
                </c:pt>
                <c:pt idx="3">
                  <c:v>6.6343454963000764E-3</c:v>
                </c:pt>
              </c:numCache>
            </c:numRef>
          </c:val>
          <c:smooth val="0"/>
          <c:extLst>
            <c:ext xmlns:c16="http://schemas.microsoft.com/office/drawing/2014/chart" uri="{C3380CC4-5D6E-409C-BE32-E72D297353CC}">
              <c16:uniqueId val="{00000001-3FC7-48A5-86E1-3F19BAB41A8E}"/>
            </c:ext>
          </c:extLst>
        </c:ser>
        <c:dLbls>
          <c:showLegendKey val="0"/>
          <c:showVal val="0"/>
          <c:showCatName val="0"/>
          <c:showSerName val="0"/>
          <c:showPercent val="0"/>
          <c:showBubbleSize val="0"/>
        </c:dLbls>
        <c:smooth val="0"/>
        <c:axId val="1603655343"/>
        <c:axId val="1603659087"/>
      </c:lineChart>
      <c:dateAx>
        <c:axId val="160365534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59087"/>
        <c:crosses val="autoZero"/>
        <c:auto val="1"/>
        <c:lblOffset val="100"/>
        <c:baseTimeUnit val="years"/>
      </c:dateAx>
      <c:valAx>
        <c:axId val="160365908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655343"/>
        <c:crosses val="autoZero"/>
        <c:crossBetween val="between"/>
      </c:valAx>
      <c:spPr>
        <a:noFill/>
        <a:ln>
          <a:noFill/>
        </a:ln>
        <a:effectLst/>
      </c:spPr>
    </c:plotArea>
    <c:legend>
      <c:legendPos val="b"/>
      <c:layout>
        <c:manualLayout>
          <c:xMode val="edge"/>
          <c:yMode val="edge"/>
          <c:x val="9.7419072615924699E-4"/>
          <c:y val="0.89409667541557303"/>
          <c:w val="0.99805161854768154"/>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P/S</a:t>
            </a:r>
            <a:r>
              <a:rPr lang="en-IN" baseline="0"/>
              <a:t> vs P/BV</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49648118984951"/>
          <c:y val="0.21113317592734909"/>
          <c:w val="0.79969189209884306"/>
          <c:h val="0.57279088383253107"/>
        </c:manualLayout>
      </c:layout>
      <c:barChart>
        <c:barDir val="col"/>
        <c:grouping val="clustered"/>
        <c:varyColors val="0"/>
        <c:ser>
          <c:idx val="0"/>
          <c:order val="0"/>
          <c:tx>
            <c:strRef>
              <c:f>'Analysis-SalesForce'!$B$50</c:f>
              <c:strCache>
                <c:ptCount val="1"/>
                <c:pt idx="0">
                  <c:v>Price to Sales</c:v>
                </c:pt>
              </c:strCache>
            </c:strRef>
          </c:tx>
          <c:spPr>
            <a:solidFill>
              <a:schemeClr val="accent1"/>
            </a:solidFill>
            <a:ln>
              <a:noFill/>
            </a:ln>
            <a:effectLst/>
          </c:spPr>
          <c:invertIfNegative val="0"/>
          <c:dLbls>
            <c:dLbl>
              <c:idx val="1"/>
              <c:layout>
                <c:manualLayout>
                  <c:x val="3.9855065641606199E-3"/>
                  <c:y val="1.02739712175100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D1-4BAB-A2A6-E1B34CFDFB08}"/>
                </c:ext>
              </c:extLst>
            </c:dLbl>
            <c:dLbl>
              <c:idx val="2"/>
              <c:layout>
                <c:manualLayout>
                  <c:x val="0"/>
                  <c:y val="1.5410956826265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D1-4BAB-A2A6-E1B34CFDFB08}"/>
                </c:ext>
              </c:extLst>
            </c:dLbl>
            <c:dLbl>
              <c:idx val="3"/>
              <c:layout>
                <c:manualLayout>
                  <c:x val="7.9710131283212398E-3"/>
                  <c:y val="1.54109568262651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D1-4BAB-A2A6-E1B34CFDFB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'Analysis-SalesForce'!$N$49:$Q$49</c:f>
              <c:numCache>
                <c:formatCode>mmm\-yy</c:formatCode>
                <c:ptCount val="4"/>
                <c:pt idx="0">
                  <c:v>43831</c:v>
                </c:pt>
                <c:pt idx="1">
                  <c:v>44197</c:v>
                </c:pt>
                <c:pt idx="2">
                  <c:v>44563</c:v>
                </c:pt>
                <c:pt idx="3">
                  <c:v>44929</c:v>
                </c:pt>
              </c:numCache>
            </c:numRef>
          </c:cat>
          <c:val>
            <c:numRef>
              <c:f>'Analysis-SalesForce'!$N$50:$Q$50</c:f>
              <c:numCache>
                <c:formatCode>#,##0.00\x</c:formatCode>
                <c:ptCount val="4"/>
                <c:pt idx="0">
                  <c:v>11.94408702772254</c:v>
                </c:pt>
                <c:pt idx="1">
                  <c:v>11.778185582533409</c:v>
                </c:pt>
                <c:pt idx="2">
                  <c:v>5.004529669334139</c:v>
                </c:pt>
                <c:pt idx="3">
                  <c:v>6.560028068384792</c:v>
                </c:pt>
              </c:numCache>
            </c:numRef>
          </c:val>
          <c:extLst>
            <c:ext xmlns:c16="http://schemas.microsoft.com/office/drawing/2014/chart" uri="{C3380CC4-5D6E-409C-BE32-E72D297353CC}">
              <c16:uniqueId val="{00000000-C1D1-4BAB-A2A6-E1B34CFDFB08}"/>
            </c:ext>
          </c:extLst>
        </c:ser>
        <c:ser>
          <c:idx val="1"/>
          <c:order val="1"/>
          <c:tx>
            <c:strRef>
              <c:f>'Analysis-SalesForce'!$B$53</c:f>
              <c:strCache>
                <c:ptCount val="1"/>
                <c:pt idx="0">
                  <c:v>Price to Book Value</c:v>
                </c:pt>
              </c:strCache>
            </c:strRef>
          </c:tx>
          <c:spPr>
            <a:solidFill>
              <a:srgbClr val="00FFFF"/>
            </a:solidFill>
            <a:ln>
              <a:noFill/>
            </a:ln>
            <a:effectLst/>
          </c:spPr>
          <c:invertIfNegative val="0"/>
          <c:dLbls>
            <c:dLbl>
              <c:idx val="0"/>
              <c:layout>
                <c:manualLayout>
                  <c:x val="1.1956519692482079E-2"/>
                  <c:y val="1.54109568262651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D1-4BAB-A2A6-E1B34CFDFB08}"/>
                </c:ext>
              </c:extLst>
            </c:dLbl>
            <c:dLbl>
              <c:idx val="1"/>
              <c:layout>
                <c:manualLayout>
                  <c:x val="1.1956519692482079E-2"/>
                  <c:y val="1.54109568262651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D1-4BAB-A2A6-E1B34CFDFB08}"/>
                </c:ext>
              </c:extLst>
            </c:dLbl>
            <c:dLbl>
              <c:idx val="2"/>
              <c:layout>
                <c:manualLayout>
                  <c:x val="1.9927532820803465E-2"/>
                  <c:y val="2.05479424350200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D1-4BAB-A2A6-E1B34CFDFB08}"/>
                </c:ext>
              </c:extLst>
            </c:dLbl>
            <c:dLbl>
              <c:idx val="3"/>
              <c:layout>
                <c:manualLayout>
                  <c:x val="1.5942026256642771E-2"/>
                  <c:y val="1.54109568262651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D1-4BAB-A2A6-E1B34CFDFB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'Analysis-SalesForce'!$N$49:$Q$49</c:f>
              <c:numCache>
                <c:formatCode>mmm\-yy</c:formatCode>
                <c:ptCount val="4"/>
                <c:pt idx="0">
                  <c:v>43831</c:v>
                </c:pt>
                <c:pt idx="1">
                  <c:v>44197</c:v>
                </c:pt>
                <c:pt idx="2">
                  <c:v>44563</c:v>
                </c:pt>
                <c:pt idx="3">
                  <c:v>44929</c:v>
                </c:pt>
              </c:numCache>
            </c:numRef>
          </c:cat>
          <c:val>
            <c:numRef>
              <c:f>'Analysis-SalesForce'!$N$53:$Q$53</c:f>
              <c:numCache>
                <c:formatCode>#,##0.00\x</c:formatCode>
                <c:ptCount val="4"/>
                <c:pt idx="0">
                  <c:v>6.0268555407997635</c:v>
                </c:pt>
                <c:pt idx="1">
                  <c:v>6.0325838093172344</c:v>
                </c:pt>
                <c:pt idx="2">
                  <c:v>2.2807108083466652</c:v>
                </c:pt>
                <c:pt idx="3">
                  <c:v>3.5242207714319984</c:v>
                </c:pt>
              </c:numCache>
            </c:numRef>
          </c:val>
          <c:extLst>
            <c:ext xmlns:c16="http://schemas.microsoft.com/office/drawing/2014/chart" uri="{C3380CC4-5D6E-409C-BE32-E72D297353CC}">
              <c16:uniqueId val="{00000001-C1D1-4BAB-A2A6-E1B34CFDFB08}"/>
            </c:ext>
          </c:extLst>
        </c:ser>
        <c:dLbls>
          <c:showLegendKey val="0"/>
          <c:showVal val="0"/>
          <c:showCatName val="0"/>
          <c:showSerName val="0"/>
          <c:showPercent val="0"/>
          <c:showBubbleSize val="0"/>
        </c:dLbls>
        <c:gapWidth val="219"/>
        <c:overlap val="-27"/>
        <c:axId val="1603707759"/>
        <c:axId val="1603704431"/>
      </c:barChart>
      <c:dateAx>
        <c:axId val="160370775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04431"/>
        <c:crosses val="autoZero"/>
        <c:auto val="1"/>
        <c:lblOffset val="100"/>
        <c:baseTimeUnit val="years"/>
      </c:dateAx>
      <c:valAx>
        <c:axId val="1603704431"/>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07759"/>
        <c:crosses val="autoZero"/>
        <c:crossBetween val="between"/>
      </c:valAx>
      <c:spPr>
        <a:noFill/>
        <a:ln>
          <a:noFill/>
        </a:ln>
        <a:effectLst/>
      </c:spPr>
    </c:plotArea>
    <c:legend>
      <c:legendPos val="b"/>
      <c:layout>
        <c:manualLayout>
          <c:xMode val="edge"/>
          <c:yMode val="edge"/>
          <c:x val="1.4924284242321076E-2"/>
          <c:y val="0.88249084746914475"/>
          <c:w val="0.97015143151535788"/>
          <c:h val="8.66872388783250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32739978015568"/>
          <c:y val="0.20682539682539686"/>
          <c:w val="0.83725379680104095"/>
          <c:h val="0.55998208557263673"/>
        </c:manualLayout>
      </c:layout>
      <c:barChart>
        <c:barDir val="col"/>
        <c:grouping val="clustered"/>
        <c:varyColors val="0"/>
        <c:ser>
          <c:idx val="0"/>
          <c:order val="0"/>
          <c:tx>
            <c:strRef>
              <c:f>'Analysis- Microsoft'!$B$24</c:f>
              <c:strCache>
                <c:ptCount val="1"/>
                <c:pt idx="0">
                  <c:v>Debt to Equity Ratio</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Microsoft'!$L$22:$O$22</c:f>
              <c:numCache>
                <c:formatCode>mmm\-yy</c:formatCode>
                <c:ptCount val="4"/>
                <c:pt idx="0">
                  <c:v>43617</c:v>
                </c:pt>
                <c:pt idx="1">
                  <c:v>43983</c:v>
                </c:pt>
                <c:pt idx="2">
                  <c:v>44349</c:v>
                </c:pt>
                <c:pt idx="3">
                  <c:v>44715</c:v>
                </c:pt>
              </c:numCache>
            </c:numRef>
          </c:cat>
          <c:val>
            <c:numRef>
              <c:f>'Analysis- Microsoft'!$L$24:$O$24</c:f>
              <c:numCache>
                <c:formatCode>#,##0.00\x</c:formatCode>
                <c:ptCount val="4"/>
                <c:pt idx="0">
                  <c:v>0.70534545099188894</c:v>
                </c:pt>
                <c:pt idx="1">
                  <c:v>0.5352904381931296</c:v>
                </c:pt>
                <c:pt idx="2">
                  <c:v>0.4095134800123954</c:v>
                </c:pt>
                <c:pt idx="3">
                  <c:v>0.29890958436910808</c:v>
                </c:pt>
              </c:numCache>
            </c:numRef>
          </c:val>
          <c:extLst>
            <c:ext xmlns:c16="http://schemas.microsoft.com/office/drawing/2014/chart" uri="{C3380CC4-5D6E-409C-BE32-E72D297353CC}">
              <c16:uniqueId val="{00000000-870C-4B4E-937A-EB04B46FAA51}"/>
            </c:ext>
          </c:extLst>
        </c:ser>
        <c:ser>
          <c:idx val="1"/>
          <c:order val="1"/>
          <c:tx>
            <c:strRef>
              <c:f>'Analysis- Microsoft'!$B$25</c:f>
              <c:strCache>
                <c:ptCount val="1"/>
                <c:pt idx="0">
                  <c:v>Debt to Capital Ratio</c:v>
                </c:pt>
              </c:strCache>
            </c:strRef>
          </c:tx>
          <c:spPr>
            <a:solidFill>
              <a:schemeClr val="accent2"/>
            </a:solidFill>
            <a:ln>
              <a:noFill/>
            </a:ln>
            <a:effectLst/>
          </c:spPr>
          <c:invertIfNegative val="0"/>
          <c:dLbls>
            <c:dLbl>
              <c:idx val="0"/>
              <c:layout>
                <c:manualLayout>
                  <c:x val="2.1367521367521368E-2"/>
                  <c:y val="5.291005291005242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0C-4B4E-937A-EB04B46FAA51}"/>
                </c:ext>
              </c:extLst>
            </c:dLbl>
            <c:dLbl>
              <c:idx val="1"/>
              <c:layout>
                <c:manualLayout>
                  <c:x val="1.4245014245014245E-2"/>
                  <c:y val="1.58730158730158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0C-4B4E-937A-EB04B46FAA51}"/>
                </c:ext>
              </c:extLst>
            </c:dLbl>
            <c:dLbl>
              <c:idx val="2"/>
              <c:layout>
                <c:manualLayout>
                  <c:x val="1.0683760683760684E-2"/>
                  <c:y val="1.05820105820105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0C-4B4E-937A-EB04B46FAA51}"/>
                </c:ext>
              </c:extLst>
            </c:dLbl>
            <c:dLbl>
              <c:idx val="3"/>
              <c:layout>
                <c:manualLayout>
                  <c:x val="1.4245014245014245E-2"/>
                  <c:y val="1.05820105820105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0C-4B4E-937A-EB04B46FAA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Microsoft'!$L$22:$O$22</c:f>
              <c:numCache>
                <c:formatCode>mmm\-yy</c:formatCode>
                <c:ptCount val="4"/>
                <c:pt idx="0">
                  <c:v>43617</c:v>
                </c:pt>
                <c:pt idx="1">
                  <c:v>43983</c:v>
                </c:pt>
                <c:pt idx="2">
                  <c:v>44349</c:v>
                </c:pt>
                <c:pt idx="3">
                  <c:v>44715</c:v>
                </c:pt>
              </c:numCache>
            </c:numRef>
          </c:cat>
          <c:val>
            <c:numRef>
              <c:f>'Analysis- Microsoft'!$L$25:$O$25</c:f>
              <c:numCache>
                <c:formatCode>#,##0.00\x</c:formatCode>
                <c:ptCount val="4"/>
                <c:pt idx="0">
                  <c:v>0.4136085451669837</c:v>
                </c:pt>
                <c:pt idx="1">
                  <c:v>0.34865744283740113</c:v>
                </c:pt>
                <c:pt idx="2">
                  <c:v>0.2905353413213147</c:v>
                </c:pt>
                <c:pt idx="3">
                  <c:v>0.23012347276988576</c:v>
                </c:pt>
              </c:numCache>
            </c:numRef>
          </c:val>
          <c:extLst>
            <c:ext xmlns:c16="http://schemas.microsoft.com/office/drawing/2014/chart" uri="{C3380CC4-5D6E-409C-BE32-E72D297353CC}">
              <c16:uniqueId val="{00000001-870C-4B4E-937A-EB04B46FAA51}"/>
            </c:ext>
          </c:extLst>
        </c:ser>
        <c:dLbls>
          <c:showLegendKey val="0"/>
          <c:showVal val="0"/>
          <c:showCatName val="0"/>
          <c:showSerName val="0"/>
          <c:showPercent val="0"/>
          <c:showBubbleSize val="0"/>
        </c:dLbls>
        <c:gapWidth val="219"/>
        <c:overlap val="-27"/>
        <c:axId val="1615570463"/>
        <c:axId val="1615572127"/>
      </c:barChart>
      <c:dateAx>
        <c:axId val="161557046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72127"/>
        <c:crosses val="autoZero"/>
        <c:auto val="1"/>
        <c:lblOffset val="100"/>
        <c:baseTimeUnit val="years"/>
      </c:dateAx>
      <c:valAx>
        <c:axId val="1615572127"/>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70463"/>
        <c:crosses val="autoZero"/>
        <c:crossBetween val="between"/>
      </c:valAx>
      <c:spPr>
        <a:noFill/>
        <a:ln>
          <a:noFill/>
        </a:ln>
        <a:effectLst/>
      </c:spPr>
    </c:plotArea>
    <c:legend>
      <c:legendPos val="b"/>
      <c:layout>
        <c:manualLayout>
          <c:xMode val="edge"/>
          <c:yMode val="edge"/>
          <c:x val="3.8291776027996605E-3"/>
          <c:y val="0.89409667541557303"/>
          <c:w val="0.9895638670166229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r>
              <a:rPr lang="en-IN" baseline="0"/>
              <a:t> vs 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Microsoft'!$B$39</c:f>
              <c:strCache>
                <c:ptCount val="1"/>
                <c:pt idx="0">
                  <c:v>Return on Equity</c:v>
                </c:pt>
              </c:strCache>
            </c:strRef>
          </c:tx>
          <c:spPr>
            <a:ln w="28575" cap="rnd">
              <a:solidFill>
                <a:schemeClr val="accent1"/>
              </a:solidFill>
              <a:round/>
            </a:ln>
            <a:effectLst/>
          </c:spPr>
          <c:marker>
            <c:symbol val="none"/>
          </c:marker>
          <c:dLbls>
            <c:dLbl>
              <c:idx val="0"/>
              <c:layout>
                <c:manualLayout>
                  <c:x val="-8.4233554881363665E-2"/>
                  <c:y val="-4.8981009726725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0E-48C1-A3A8-C197D2E51659}"/>
                </c:ext>
              </c:extLst>
            </c:dLbl>
            <c:dLbl>
              <c:idx val="1"/>
              <c:layout>
                <c:manualLayout>
                  <c:x val="-8.052160239435549E-2"/>
                  <c:y val="-4.89810097267253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0E-48C1-A3A8-C197D2E51659}"/>
                </c:ext>
              </c:extLst>
            </c:dLbl>
            <c:dLbl>
              <c:idx val="2"/>
              <c:layout>
                <c:manualLayout>
                  <c:x val="-7.680964990734733E-2"/>
                  <c:y val="-3.3501133565734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0E-48C1-A3A8-C197D2E51659}"/>
                </c:ext>
              </c:extLst>
            </c:dLbl>
            <c:dLbl>
              <c:idx val="3"/>
              <c:layout>
                <c:manualLayout>
                  <c:x val="-7.3097697420339294E-2"/>
                  <c:y val="-3.3501133565734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0E-48C1-A3A8-C197D2E516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Microsoft'!$L$38:$O$38</c:f>
              <c:numCache>
                <c:formatCode>mmm\-yy</c:formatCode>
                <c:ptCount val="4"/>
                <c:pt idx="0">
                  <c:v>43617</c:v>
                </c:pt>
                <c:pt idx="1">
                  <c:v>43983</c:v>
                </c:pt>
                <c:pt idx="2">
                  <c:v>44349</c:v>
                </c:pt>
                <c:pt idx="3">
                  <c:v>44715</c:v>
                </c:pt>
              </c:numCache>
            </c:numRef>
          </c:cat>
          <c:val>
            <c:numRef>
              <c:f>'Analysis- Microsoft'!$L$39:$O$39</c:f>
              <c:numCache>
                <c:formatCode>0.0%</c:formatCode>
                <c:ptCount val="4"/>
                <c:pt idx="0">
                  <c:v>0.38346525945470539</c:v>
                </c:pt>
                <c:pt idx="1">
                  <c:v>0.37429841763592103</c:v>
                </c:pt>
                <c:pt idx="2">
                  <c:v>0.43152238217314137</c:v>
                </c:pt>
                <c:pt idx="3">
                  <c:v>0.43675469250999749</c:v>
                </c:pt>
              </c:numCache>
            </c:numRef>
          </c:val>
          <c:smooth val="0"/>
          <c:extLst>
            <c:ext xmlns:c16="http://schemas.microsoft.com/office/drawing/2014/chart" uri="{C3380CC4-5D6E-409C-BE32-E72D297353CC}">
              <c16:uniqueId val="{00000000-200E-48C1-A3A8-C197D2E51659}"/>
            </c:ext>
          </c:extLst>
        </c:ser>
        <c:ser>
          <c:idx val="1"/>
          <c:order val="1"/>
          <c:tx>
            <c:strRef>
              <c:f>'Analysis- Microsoft'!$B$40</c:f>
              <c:strCache>
                <c:ptCount val="1"/>
                <c:pt idx="0">
                  <c:v>Return on Asset</c:v>
                </c:pt>
              </c:strCache>
            </c:strRef>
          </c:tx>
          <c:spPr>
            <a:ln w="28575" cap="rnd">
              <a:solidFill>
                <a:srgbClr val="FF9933"/>
              </a:solidFill>
              <a:round/>
            </a:ln>
            <a:effectLst/>
          </c:spPr>
          <c:marker>
            <c:symbol val="none"/>
          </c:marker>
          <c:dLbls>
            <c:dLbl>
              <c:idx val="0"/>
              <c:layout>
                <c:manualLayout>
                  <c:x val="-8.7945507368371867E-2"/>
                  <c:y val="-3.86610922860649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0E-48C1-A3A8-C197D2E51659}"/>
                </c:ext>
              </c:extLst>
            </c:dLbl>
            <c:dLbl>
              <c:idx val="1"/>
              <c:layout>
                <c:manualLayout>
                  <c:x val="-7.680964990734733E-2"/>
                  <c:y val="-4.3821051006395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00E-48C1-A3A8-C197D2E51659}"/>
                </c:ext>
              </c:extLst>
            </c:dLbl>
            <c:dLbl>
              <c:idx val="2"/>
              <c:layout>
                <c:manualLayout>
                  <c:x val="-7.3097697420339225E-2"/>
                  <c:y val="-3.3501133565734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00E-48C1-A3A8-C197D2E51659}"/>
                </c:ext>
              </c:extLst>
            </c:dLbl>
            <c:dLbl>
              <c:idx val="3"/>
              <c:layout>
                <c:manualLayout>
                  <c:x val="-6.5673792446322835E-2"/>
                  <c:y val="-3.3501133565734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00E-48C1-A3A8-C197D2E516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Microsoft'!$L$38:$O$38</c:f>
              <c:numCache>
                <c:formatCode>mmm\-yy</c:formatCode>
                <c:ptCount val="4"/>
                <c:pt idx="0">
                  <c:v>43617</c:v>
                </c:pt>
                <c:pt idx="1">
                  <c:v>43983</c:v>
                </c:pt>
                <c:pt idx="2">
                  <c:v>44349</c:v>
                </c:pt>
                <c:pt idx="3">
                  <c:v>44715</c:v>
                </c:pt>
              </c:numCache>
            </c:numRef>
          </c:cat>
          <c:val>
            <c:numRef>
              <c:f>'Analysis- Microsoft'!$L$40:$O$40</c:f>
              <c:numCache>
                <c:formatCode>0.0%</c:formatCode>
                <c:ptCount val="4"/>
                <c:pt idx="0">
                  <c:v>0.13693658482111698</c:v>
                </c:pt>
                <c:pt idx="1">
                  <c:v>0.14696111326835065</c:v>
                </c:pt>
                <c:pt idx="2">
                  <c:v>0.18356757015869782</c:v>
                </c:pt>
                <c:pt idx="3">
                  <c:v>0.19936958666812848</c:v>
                </c:pt>
              </c:numCache>
            </c:numRef>
          </c:val>
          <c:smooth val="0"/>
          <c:extLst>
            <c:ext xmlns:c16="http://schemas.microsoft.com/office/drawing/2014/chart" uri="{C3380CC4-5D6E-409C-BE32-E72D297353CC}">
              <c16:uniqueId val="{00000001-200E-48C1-A3A8-C197D2E51659}"/>
            </c:ext>
          </c:extLst>
        </c:ser>
        <c:dLbls>
          <c:showLegendKey val="0"/>
          <c:showVal val="0"/>
          <c:showCatName val="0"/>
          <c:showSerName val="0"/>
          <c:showPercent val="0"/>
          <c:showBubbleSize val="0"/>
        </c:dLbls>
        <c:smooth val="0"/>
        <c:axId val="1674369215"/>
        <c:axId val="1674370047"/>
      </c:lineChart>
      <c:dateAx>
        <c:axId val="167436921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70047"/>
        <c:crosses val="autoZero"/>
        <c:auto val="1"/>
        <c:lblOffset val="100"/>
        <c:baseTimeUnit val="years"/>
      </c:dateAx>
      <c:valAx>
        <c:axId val="167437004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69215"/>
        <c:crosses val="autoZero"/>
        <c:crossBetween val="between"/>
      </c:valAx>
      <c:spPr>
        <a:noFill/>
        <a:ln>
          <a:noFill/>
        </a:ln>
        <a:effectLst/>
      </c:spPr>
    </c:plotArea>
    <c:legend>
      <c:legendPos val="b"/>
      <c:layout>
        <c:manualLayout>
          <c:xMode val="edge"/>
          <c:yMode val="edge"/>
          <c:x val="1.2622047244094502E-2"/>
          <c:y val="0.89409667541557303"/>
          <c:w val="0.983089238845144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ROCE</a:t>
            </a:r>
            <a:r>
              <a:rPr lang="en-IN" baseline="0"/>
              <a:t> vs ROIC</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Microsoft'!$B$41</c:f>
              <c:strCache>
                <c:ptCount val="1"/>
                <c:pt idx="0">
                  <c:v>Return on Capital Employed</c:v>
                </c:pt>
              </c:strCache>
            </c:strRef>
          </c:tx>
          <c:spPr>
            <a:solidFill>
              <a:srgbClr val="FF5050"/>
            </a:solidFill>
            <a:ln>
              <a:noFill/>
            </a:ln>
            <a:effectLst/>
          </c:spPr>
          <c:invertIfNegative val="0"/>
          <c:dLbls>
            <c:dLbl>
              <c:idx val="0"/>
              <c:layout>
                <c:manualLayout>
                  <c:x val="-1.8642803877703208E-2"/>
                  <c:y val="1.683501683501678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2924-4CF3-AE61-0A49B94C99EE}"/>
                </c:ext>
              </c:extLst>
            </c:dLbl>
            <c:dLbl>
              <c:idx val="1"/>
              <c:layout>
                <c:manualLayout>
                  <c:x val="-1.8642803877703208E-2"/>
                  <c:y val="2.24466891133557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924-4CF3-AE61-0A49B94C99EE}"/>
                </c:ext>
              </c:extLst>
            </c:dLbl>
            <c:dLbl>
              <c:idx val="2"/>
              <c:layout>
                <c:manualLayout>
                  <c:x val="-1.6696319000393409E-2"/>
                  <c:y val="2.82947586097192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924-4CF3-AE61-0A49B94C99EE}"/>
                </c:ext>
              </c:extLst>
            </c:dLbl>
            <c:dLbl>
              <c:idx val="3"/>
              <c:layout>
                <c:manualLayout>
                  <c:x val="-1.2611343045206735E-2"/>
                  <c:y val="2.268308633138024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924-4CF3-AE61-0A49B94C99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Microsoft'!$L$38:$O$38</c:f>
              <c:numCache>
                <c:formatCode>mmm\-yy</c:formatCode>
                <c:ptCount val="4"/>
                <c:pt idx="0">
                  <c:v>43617</c:v>
                </c:pt>
                <c:pt idx="1">
                  <c:v>43983</c:v>
                </c:pt>
                <c:pt idx="2">
                  <c:v>44349</c:v>
                </c:pt>
                <c:pt idx="3">
                  <c:v>44715</c:v>
                </c:pt>
              </c:numCache>
            </c:numRef>
          </c:cat>
          <c:val>
            <c:numRef>
              <c:f>'Analysis- Microsoft'!$L$41:$O$41</c:f>
              <c:numCache>
                <c:formatCode>0.0%</c:formatCode>
                <c:ptCount val="4"/>
                <c:pt idx="0">
                  <c:v>0.22486075136956471</c:v>
                </c:pt>
                <c:pt idx="1">
                  <c:v>0.24379648848489521</c:v>
                </c:pt>
                <c:pt idx="2">
                  <c:v>0.30614987958068096</c:v>
                </c:pt>
                <c:pt idx="3">
                  <c:v>0.33624718592105324</c:v>
                </c:pt>
              </c:numCache>
            </c:numRef>
          </c:val>
          <c:extLst>
            <c:ext xmlns:c16="http://schemas.microsoft.com/office/drawing/2014/chart" uri="{C3380CC4-5D6E-409C-BE32-E72D297353CC}">
              <c16:uniqueId val="{00000000-2924-4CF3-AE61-0A49B94C99EE}"/>
            </c:ext>
          </c:extLst>
        </c:ser>
        <c:ser>
          <c:idx val="1"/>
          <c:order val="1"/>
          <c:tx>
            <c:strRef>
              <c:f>'Analysis- Microsoft'!$B$42</c:f>
              <c:strCache>
                <c:ptCount val="1"/>
                <c:pt idx="0">
                  <c:v>Return on Invested Capital</c:v>
                </c:pt>
              </c:strCache>
            </c:strRef>
          </c:tx>
          <c:spPr>
            <a:solidFill>
              <a:schemeClr val="accent2"/>
            </a:solidFill>
            <a:ln>
              <a:noFill/>
            </a:ln>
            <a:effectLst/>
          </c:spPr>
          <c:invertIfNegative val="0"/>
          <c:dLbls>
            <c:dLbl>
              <c:idx val="0"/>
              <c:layout>
                <c:manualLayout>
                  <c:x val="7.2927125720023255E-3"/>
                  <c:y val="1.754376662513140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924-4CF3-AE61-0A49B94C99EE}"/>
                </c:ext>
              </c:extLst>
            </c:dLbl>
            <c:dLbl>
              <c:idx val="1"/>
              <c:layout>
                <c:manualLayout>
                  <c:x val="1.1021273347542966E-2"/>
                  <c:y val="1.754376662513140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924-4CF3-AE61-0A49B94C99EE}"/>
                </c:ext>
              </c:extLst>
            </c:dLbl>
            <c:dLbl>
              <c:idx val="2"/>
              <c:layout>
                <c:manualLayout>
                  <c:x val="3.7285607755406414E-3"/>
                  <c:y val="1.122334455667783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2924-4CF3-AE61-0A49B94C99EE}"/>
                </c:ext>
              </c:extLst>
            </c:dLbl>
            <c:dLbl>
              <c:idx val="3"/>
              <c:layout>
                <c:manualLayout>
                  <c:x val="7.4571215510812828E-3"/>
                  <c:y val="5.6116722783389195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2924-4CF3-AE61-0A49B94C99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Microsoft'!$L$38:$O$38</c:f>
              <c:numCache>
                <c:formatCode>mmm\-yy</c:formatCode>
                <c:ptCount val="4"/>
                <c:pt idx="0">
                  <c:v>43617</c:v>
                </c:pt>
                <c:pt idx="1">
                  <c:v>43983</c:v>
                </c:pt>
                <c:pt idx="2">
                  <c:v>44349</c:v>
                </c:pt>
                <c:pt idx="3">
                  <c:v>44715</c:v>
                </c:pt>
              </c:numCache>
            </c:numRef>
          </c:cat>
          <c:val>
            <c:numRef>
              <c:f>'Analysis- Microsoft'!$L$42:$O$42</c:f>
              <c:numCache>
                <c:formatCode>0.0%</c:formatCode>
                <c:ptCount val="4"/>
                <c:pt idx="0">
                  <c:v>0.26162092967437395</c:v>
                </c:pt>
                <c:pt idx="1">
                  <c:v>0.27248337015180696</c:v>
                </c:pt>
                <c:pt idx="2">
                  <c:v>0.3678791008213651</c:v>
                </c:pt>
                <c:pt idx="3">
                  <c:v>0.44859017687544711</c:v>
                </c:pt>
              </c:numCache>
            </c:numRef>
          </c:val>
          <c:extLst>
            <c:ext xmlns:c16="http://schemas.microsoft.com/office/drawing/2014/chart" uri="{C3380CC4-5D6E-409C-BE32-E72D297353CC}">
              <c16:uniqueId val="{00000001-2924-4CF3-AE61-0A49B94C99EE}"/>
            </c:ext>
          </c:extLst>
        </c:ser>
        <c:dLbls>
          <c:showLegendKey val="0"/>
          <c:showVal val="0"/>
          <c:showCatName val="0"/>
          <c:showSerName val="0"/>
          <c:showPercent val="0"/>
          <c:showBubbleSize val="0"/>
        </c:dLbls>
        <c:gapWidth val="219"/>
        <c:overlap val="-27"/>
        <c:axId val="1859446399"/>
        <c:axId val="1859446815"/>
      </c:barChart>
      <c:dateAx>
        <c:axId val="185944639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446815"/>
        <c:crosses val="autoZero"/>
        <c:auto val="1"/>
        <c:lblOffset val="100"/>
        <c:baseTimeUnit val="years"/>
      </c:dateAx>
      <c:valAx>
        <c:axId val="185944681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446399"/>
        <c:crosses val="autoZero"/>
        <c:crossBetween val="between"/>
      </c:valAx>
      <c:spPr>
        <a:noFill/>
        <a:ln>
          <a:noFill/>
        </a:ln>
        <a:effectLst/>
      </c:spPr>
    </c:plotArea>
    <c:legend>
      <c:legendPos val="b"/>
      <c:layout>
        <c:manualLayout>
          <c:xMode val="edge"/>
          <c:yMode val="edge"/>
          <c:x val="1.2444663167104074E-2"/>
          <c:y val="0.89409667541557303"/>
          <c:w val="0.98066622922134739"/>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Microsoft'!$B$43</c:f>
              <c:strCache>
                <c:ptCount val="1"/>
                <c:pt idx="0">
                  <c:v>EBITDA Margin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Microsoft'!$L$38:$O$38</c:f>
              <c:numCache>
                <c:formatCode>mmm\-yy</c:formatCode>
                <c:ptCount val="4"/>
                <c:pt idx="0">
                  <c:v>43617</c:v>
                </c:pt>
                <c:pt idx="1">
                  <c:v>43983</c:v>
                </c:pt>
                <c:pt idx="2">
                  <c:v>44349</c:v>
                </c:pt>
                <c:pt idx="3">
                  <c:v>44715</c:v>
                </c:pt>
              </c:numCache>
            </c:numRef>
          </c:cat>
          <c:val>
            <c:numRef>
              <c:f>'Analysis- Microsoft'!$L$43:$O$43</c:f>
              <c:numCache>
                <c:formatCode>0.0%</c:formatCode>
                <c:ptCount val="4"/>
                <c:pt idx="0">
                  <c:v>0.43999268930333829</c:v>
                </c:pt>
                <c:pt idx="1">
                  <c:v>0.46031535153655212</c:v>
                </c:pt>
                <c:pt idx="2">
                  <c:v>0.49252772357336633</c:v>
                </c:pt>
                <c:pt idx="3">
                  <c:v>0.49516316134563976</c:v>
                </c:pt>
              </c:numCache>
            </c:numRef>
          </c:val>
          <c:smooth val="0"/>
          <c:extLst>
            <c:ext xmlns:c16="http://schemas.microsoft.com/office/drawing/2014/chart" uri="{C3380CC4-5D6E-409C-BE32-E72D297353CC}">
              <c16:uniqueId val="{00000000-47AA-4EC9-B33F-B0D5C1273D85}"/>
            </c:ext>
          </c:extLst>
        </c:ser>
        <c:ser>
          <c:idx val="1"/>
          <c:order val="1"/>
          <c:tx>
            <c:strRef>
              <c:f>'Analysis- Microsoft'!$B$44</c:f>
              <c:strCache>
                <c:ptCount val="1"/>
                <c:pt idx="0">
                  <c:v>Net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Microsoft'!$L$38:$O$38</c:f>
              <c:numCache>
                <c:formatCode>mmm\-yy</c:formatCode>
                <c:ptCount val="4"/>
                <c:pt idx="0">
                  <c:v>43617</c:v>
                </c:pt>
                <c:pt idx="1">
                  <c:v>43983</c:v>
                </c:pt>
                <c:pt idx="2">
                  <c:v>44349</c:v>
                </c:pt>
                <c:pt idx="3">
                  <c:v>44715</c:v>
                </c:pt>
              </c:numCache>
            </c:numRef>
          </c:cat>
          <c:val>
            <c:numRef>
              <c:f>'Analysis- Microsoft'!$L$44:$O$44</c:f>
              <c:numCache>
                <c:formatCode>0.0%</c:formatCode>
                <c:ptCount val="4"/>
                <c:pt idx="0">
                  <c:v>0.31181710544090652</c:v>
                </c:pt>
                <c:pt idx="1">
                  <c:v>0.30962486452470023</c:v>
                </c:pt>
                <c:pt idx="2">
                  <c:v>0.36451739564989766</c:v>
                </c:pt>
                <c:pt idx="3">
                  <c:v>0.36686336813436221</c:v>
                </c:pt>
              </c:numCache>
            </c:numRef>
          </c:val>
          <c:smooth val="0"/>
          <c:extLst>
            <c:ext xmlns:c16="http://schemas.microsoft.com/office/drawing/2014/chart" uri="{C3380CC4-5D6E-409C-BE32-E72D297353CC}">
              <c16:uniqueId val="{00000001-47AA-4EC9-B33F-B0D5C1273D85}"/>
            </c:ext>
          </c:extLst>
        </c:ser>
        <c:dLbls>
          <c:showLegendKey val="0"/>
          <c:showVal val="0"/>
          <c:showCatName val="0"/>
          <c:showSerName val="0"/>
          <c:showPercent val="0"/>
          <c:showBubbleSize val="0"/>
        </c:dLbls>
        <c:smooth val="0"/>
        <c:axId val="1618776911"/>
        <c:axId val="1618776495"/>
      </c:lineChart>
      <c:dateAx>
        <c:axId val="161877691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76495"/>
        <c:crosses val="autoZero"/>
        <c:auto val="1"/>
        <c:lblOffset val="100"/>
        <c:baseTimeUnit val="years"/>
      </c:dateAx>
      <c:valAx>
        <c:axId val="161877649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76911"/>
        <c:crosses val="autoZero"/>
        <c:crossBetween val="between"/>
      </c:valAx>
      <c:spPr>
        <a:noFill/>
        <a:ln>
          <a:noFill/>
        </a:ln>
        <a:effectLst/>
      </c:spPr>
    </c:plotArea>
    <c:legend>
      <c:legendPos val="b"/>
      <c:layout>
        <c:manualLayout>
          <c:xMode val="edge"/>
          <c:yMode val="edge"/>
          <c:x val="1.5399825021872282E-2"/>
          <c:y val="0.89409667541557303"/>
          <c:w val="0.97197812773403303"/>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FF9933"/>
              </a:solidFill>
              <a:round/>
            </a:ln>
            <a:effectLst/>
          </c:spPr>
          <c:marker>
            <c:symbol val="none"/>
          </c:marker>
          <c:dLbls>
            <c:dLbl>
              <c:idx val="0"/>
              <c:layout>
                <c:manualLayout>
                  <c:x val="-0.12716988466642112"/>
                  <c:y val="-3.26669052732044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3666517899837419"/>
                      <c:h val="9.2206432243914713E-2"/>
                    </c:manualLayout>
                  </c15:layout>
                </c:ext>
                <c:ext xmlns:c16="http://schemas.microsoft.com/office/drawing/2014/chart" uri="{C3380CC4-5D6E-409C-BE32-E72D297353CC}">
                  <c16:uniqueId val="{00000004-65DD-4687-AE6A-EE3A00D2D455}"/>
                </c:ext>
              </c:extLst>
            </c:dLbl>
            <c:dLbl>
              <c:idx val="1"/>
              <c:layout>
                <c:manualLayout>
                  <c:x val="-8.6250577252453692E-2"/>
                  <c:y val="-4.217895490336435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5DD-4687-AE6A-EE3A00D2D455}"/>
                </c:ext>
              </c:extLst>
            </c:dLbl>
            <c:dLbl>
              <c:idx val="2"/>
              <c:layout>
                <c:manualLayout>
                  <c:x val="-4.9180664916885386E-2"/>
                  <c:y val="-3.468759113444153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5DD-4687-AE6A-EE3A00D2D455}"/>
                </c:ext>
              </c:extLst>
            </c:dLbl>
            <c:dLbl>
              <c:idx val="3"/>
              <c:layout>
                <c:manualLayout>
                  <c:x val="-2.9736220472440945E-2"/>
                  <c:y val="-3.468759113444153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5DD-4687-AE6A-EE3A00D2D4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Microsoft'!$L$47:$O$47</c:f>
              <c:numCache>
                <c:formatCode>mmm\-yy</c:formatCode>
                <c:ptCount val="4"/>
                <c:pt idx="0">
                  <c:v>43617</c:v>
                </c:pt>
                <c:pt idx="1">
                  <c:v>43983</c:v>
                </c:pt>
                <c:pt idx="2">
                  <c:v>44349</c:v>
                </c:pt>
                <c:pt idx="3">
                  <c:v>44715</c:v>
                </c:pt>
              </c:numCache>
            </c:numRef>
          </c:cat>
          <c:val>
            <c:numRef>
              <c:f>'Analysis- Microsoft'!$L$49:$O$49</c:f>
              <c:numCache>
                <c:formatCode>#,##0.00\x</c:formatCode>
                <c:ptCount val="4"/>
                <c:pt idx="0">
                  <c:v>30.581039755351682</c:v>
                </c:pt>
                <c:pt idx="1">
                  <c:v>37.962105643503989</c:v>
                </c:pt>
                <c:pt idx="2">
                  <c:v>41.161397724861679</c:v>
                </c:pt>
                <c:pt idx="3">
                  <c:v>24.567626275124418</c:v>
                </c:pt>
              </c:numCache>
            </c:numRef>
          </c:val>
          <c:smooth val="0"/>
          <c:extLst>
            <c:ext xmlns:c16="http://schemas.microsoft.com/office/drawing/2014/chart" uri="{C3380CC4-5D6E-409C-BE32-E72D297353CC}">
              <c16:uniqueId val="{00000000-65DD-4687-AE6A-EE3A00D2D455}"/>
            </c:ext>
          </c:extLst>
        </c:ser>
        <c:dLbls>
          <c:showLegendKey val="0"/>
          <c:showVal val="0"/>
          <c:showCatName val="0"/>
          <c:showSerName val="0"/>
          <c:showPercent val="0"/>
          <c:showBubbleSize val="0"/>
        </c:dLbls>
        <c:smooth val="0"/>
        <c:axId val="1863287743"/>
        <c:axId val="1863289407"/>
      </c:lineChart>
      <c:dateAx>
        <c:axId val="186328774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289407"/>
        <c:crosses val="autoZero"/>
        <c:auto val="1"/>
        <c:lblOffset val="100"/>
        <c:baseTimeUnit val="years"/>
      </c:dateAx>
      <c:valAx>
        <c:axId val="1863289407"/>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28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657514850117418"/>
          <c:y val="0.26760461760461762"/>
          <c:w val="0.7995652023760188"/>
          <c:h val="0.39997557123541377"/>
        </c:manualLayout>
      </c:layout>
      <c:lineChart>
        <c:grouping val="standard"/>
        <c:varyColors val="0"/>
        <c:ser>
          <c:idx val="0"/>
          <c:order val="0"/>
          <c:tx>
            <c:strRef>
              <c:f>'Analysis -Enphase Energy'!$B$24</c:f>
              <c:strCache>
                <c:ptCount val="1"/>
                <c:pt idx="0">
                  <c:v>Debt to Equity Ratio</c:v>
                </c:pt>
              </c:strCache>
            </c:strRef>
          </c:tx>
          <c:spPr>
            <a:ln w="28575" cap="rnd">
              <a:solidFill>
                <a:schemeClr val="accent1"/>
              </a:solidFill>
              <a:round/>
            </a:ln>
            <a:effectLst/>
          </c:spPr>
          <c:marker>
            <c:symbol val="none"/>
          </c:marker>
          <c:dLbls>
            <c:dLbl>
              <c:idx val="1"/>
              <c:layout>
                <c:manualLayout>
                  <c:x val="-8.5197541096836582E-2"/>
                  <c:y val="-6.848859801615714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C90-472F-8E38-B17E3FFAD82D}"/>
                </c:ext>
              </c:extLst>
            </c:dLbl>
            <c:dLbl>
              <c:idx val="2"/>
              <c:layout>
                <c:manualLayout>
                  <c:x val="-8.0811576184555881E-2"/>
                  <c:y val="-5.405858358614264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C90-472F-8E38-B17E3FFAD8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-Enphase Energy'!$L$22:$O$22</c:f>
              <c:numCache>
                <c:formatCode>mmm\-yy</c:formatCode>
                <c:ptCount val="4"/>
                <c:pt idx="0">
                  <c:v>43800</c:v>
                </c:pt>
                <c:pt idx="1">
                  <c:v>44166</c:v>
                </c:pt>
                <c:pt idx="2">
                  <c:v>44532</c:v>
                </c:pt>
                <c:pt idx="3">
                  <c:v>44898</c:v>
                </c:pt>
              </c:numCache>
            </c:numRef>
          </c:cat>
          <c:val>
            <c:numRef>
              <c:f>'Analysis -Enphase Energy'!$L$24:$O$24</c:f>
              <c:numCache>
                <c:formatCode>#,##0.00\x</c:formatCode>
                <c:ptCount val="4"/>
                <c:pt idx="0">
                  <c:v>0.38772353900636269</c:v>
                </c:pt>
                <c:pt idx="1">
                  <c:v>0.68361525889837249</c:v>
                </c:pt>
                <c:pt idx="2">
                  <c:v>2.4121877963958269</c:v>
                </c:pt>
                <c:pt idx="3">
                  <c:v>1.5629835278043249</c:v>
                </c:pt>
              </c:numCache>
            </c:numRef>
          </c:val>
          <c:smooth val="0"/>
          <c:extLst>
            <c:ext xmlns:c16="http://schemas.microsoft.com/office/drawing/2014/chart" uri="{C3380CC4-5D6E-409C-BE32-E72D297353CC}">
              <c16:uniqueId val="{00000000-7649-4AE7-8805-F0D36162F317}"/>
            </c:ext>
          </c:extLst>
        </c:ser>
        <c:ser>
          <c:idx val="1"/>
          <c:order val="1"/>
          <c:tx>
            <c:strRef>
              <c:f>'Analysis -Enphase Energy'!$B$25</c:f>
              <c:strCache>
                <c:ptCount val="1"/>
                <c:pt idx="0">
                  <c:v>Debt to Capital Ratio</c:v>
                </c:pt>
              </c:strCache>
            </c:strRef>
          </c:tx>
          <c:spPr>
            <a:ln w="28575" cap="rnd">
              <a:solidFill>
                <a:schemeClr val="accent2"/>
              </a:solidFill>
              <a:round/>
            </a:ln>
            <a:effectLst/>
          </c:spPr>
          <c:marker>
            <c:symbol val="none"/>
          </c:marker>
          <c:dLbls>
            <c:dLbl>
              <c:idx val="0"/>
              <c:layout>
                <c:manualLayout>
                  <c:x val="-0.12028526039508221"/>
                  <c:y val="-3.5535330810921363E-3"/>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7C90-472F-8E38-B17E3FFAD82D}"/>
                </c:ext>
              </c:extLst>
            </c:dLbl>
            <c:dLbl>
              <c:idx val="1"/>
              <c:layout>
                <c:manualLayout>
                  <c:x val="-2.3794032324906754E-2"/>
                  <c:y val="2.530649577893659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C90-472F-8E38-B17E3FFAD82D}"/>
                </c:ext>
              </c:extLst>
            </c:dLbl>
            <c:dLbl>
              <c:idx val="2"/>
              <c:layout>
                <c:manualLayout>
                  <c:x val="-6.7653681447713776E-2"/>
                  <c:y val="-3.96285691561282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C90-472F-8E38-B17E3FFAD82D}"/>
                </c:ext>
              </c:extLst>
            </c:dLbl>
            <c:dLbl>
              <c:idx val="3"/>
              <c:layout>
                <c:manualLayout>
                  <c:x val="-5.8881751623152366E-2"/>
                  <c:y val="-2.519855472611378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C90-472F-8E38-B17E3FFAD8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-Enphase Energy'!$L$22:$O$22</c:f>
              <c:numCache>
                <c:formatCode>mmm\-yy</c:formatCode>
                <c:ptCount val="4"/>
                <c:pt idx="0">
                  <c:v>43800</c:v>
                </c:pt>
                <c:pt idx="1">
                  <c:v>44166</c:v>
                </c:pt>
                <c:pt idx="2">
                  <c:v>44532</c:v>
                </c:pt>
                <c:pt idx="3">
                  <c:v>44898</c:v>
                </c:pt>
              </c:numCache>
            </c:numRef>
          </c:cat>
          <c:val>
            <c:numRef>
              <c:f>'Analysis -Enphase Energy'!$L$25:$O$25</c:f>
              <c:numCache>
                <c:formatCode>#,##0.00\x</c:formatCode>
                <c:ptCount val="4"/>
                <c:pt idx="0">
                  <c:v>0.27939537530939368</c:v>
                </c:pt>
                <c:pt idx="1">
                  <c:v>0.40604007078533927</c:v>
                </c:pt>
                <c:pt idx="2">
                  <c:v>0.70693289476732069</c:v>
                </c:pt>
                <c:pt idx="3">
                  <c:v>0.60982972026484816</c:v>
                </c:pt>
              </c:numCache>
            </c:numRef>
          </c:val>
          <c:smooth val="0"/>
          <c:extLst>
            <c:ext xmlns:c16="http://schemas.microsoft.com/office/drawing/2014/chart" uri="{C3380CC4-5D6E-409C-BE32-E72D297353CC}">
              <c16:uniqueId val="{00000001-7649-4AE7-8805-F0D36162F317}"/>
            </c:ext>
          </c:extLst>
        </c:ser>
        <c:dLbls>
          <c:showLegendKey val="0"/>
          <c:showVal val="0"/>
          <c:showCatName val="0"/>
          <c:showSerName val="0"/>
          <c:showPercent val="0"/>
          <c:showBubbleSize val="0"/>
        </c:dLbls>
        <c:smooth val="0"/>
        <c:axId val="733635216"/>
        <c:axId val="733619408"/>
      </c:lineChart>
      <c:dateAx>
        <c:axId val="7336352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19408"/>
        <c:crosses val="autoZero"/>
        <c:auto val="1"/>
        <c:lblOffset val="100"/>
        <c:baseTimeUnit val="years"/>
      </c:dateAx>
      <c:valAx>
        <c:axId val="733619408"/>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35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a:t>
            </a:r>
            <a:r>
              <a:rPr lang="en-IN"/>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Broadcomm'!$B$23</c:f>
              <c:strCache>
                <c:ptCount val="1"/>
                <c:pt idx="0">
                  <c:v>Debt to Equity Ratio</c:v>
                </c:pt>
              </c:strCache>
            </c:strRef>
          </c:tx>
          <c:spPr>
            <a:solidFill>
              <a:srgbClr val="FF3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Broadcomm'!$L$21:$O$21</c:f>
              <c:numCache>
                <c:formatCode>mmm\-yy</c:formatCode>
                <c:ptCount val="4"/>
                <c:pt idx="0">
                  <c:v>43525</c:v>
                </c:pt>
                <c:pt idx="1">
                  <c:v>43891</c:v>
                </c:pt>
                <c:pt idx="2">
                  <c:v>44257</c:v>
                </c:pt>
                <c:pt idx="3">
                  <c:v>44623</c:v>
                </c:pt>
              </c:numCache>
            </c:numRef>
          </c:cat>
          <c:val>
            <c:numRef>
              <c:f>'Analysis- Broadcomm'!$L$23:$O$23</c:f>
              <c:numCache>
                <c:formatCode>#,##0.00\x</c:formatCode>
                <c:ptCount val="4"/>
                <c:pt idx="0">
                  <c:v>1.3150234553546369</c:v>
                </c:pt>
                <c:pt idx="1">
                  <c:v>1.7199463851889085</c:v>
                </c:pt>
                <c:pt idx="2">
                  <c:v>1.5916192612771412</c:v>
                </c:pt>
                <c:pt idx="3">
                  <c:v>1.7400590074419833</c:v>
                </c:pt>
              </c:numCache>
            </c:numRef>
          </c:val>
          <c:extLst>
            <c:ext xmlns:c16="http://schemas.microsoft.com/office/drawing/2014/chart" uri="{C3380CC4-5D6E-409C-BE32-E72D297353CC}">
              <c16:uniqueId val="{00000000-D0E7-4223-964C-F9ED5595DA4C}"/>
            </c:ext>
          </c:extLst>
        </c:ser>
        <c:ser>
          <c:idx val="1"/>
          <c:order val="1"/>
          <c:tx>
            <c:strRef>
              <c:f>'Analysis- Broadcomm'!$B$24</c:f>
              <c:strCache>
                <c:ptCount val="1"/>
                <c:pt idx="0">
                  <c:v>Debt to Capital Ratio</c:v>
                </c:pt>
              </c:strCache>
            </c:strRef>
          </c:tx>
          <c:spPr>
            <a:solidFill>
              <a:schemeClr val="accent2"/>
            </a:solidFill>
            <a:ln>
              <a:noFill/>
            </a:ln>
            <a:effectLst/>
          </c:spPr>
          <c:invertIfNegative val="0"/>
          <c:dLbls>
            <c:dLbl>
              <c:idx val="0"/>
              <c:layout>
                <c:manualLayout>
                  <c:x val="2.6041666666666626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0E7-4223-964C-F9ED5595DA4C}"/>
                </c:ext>
              </c:extLst>
            </c:dLbl>
            <c:dLbl>
              <c:idx val="1"/>
              <c:layout>
                <c:manualLayout>
                  <c:x val="2.1701388888888808E-2"/>
                  <c:y val="1.0718113612004188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0E7-4223-964C-F9ED5595DA4C}"/>
                </c:ext>
              </c:extLst>
            </c:dLbl>
            <c:dLbl>
              <c:idx val="2"/>
              <c:layout>
                <c:manualLayout>
                  <c:x val="3.0381944444444444E-2"/>
                  <c:y val="1.60771704180064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D0E7-4223-964C-F9ED5595DA4C}"/>
                </c:ext>
              </c:extLst>
            </c:dLbl>
            <c:dLbl>
              <c:idx val="3"/>
              <c:layout>
                <c:manualLayout>
                  <c:x val="3.0381944444444444E-2"/>
                  <c:y val="5.359056806002143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0E7-4223-964C-F9ED5595DA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Broadcomm'!$L$21:$O$21</c:f>
              <c:numCache>
                <c:formatCode>mmm\-yy</c:formatCode>
                <c:ptCount val="4"/>
                <c:pt idx="0">
                  <c:v>43525</c:v>
                </c:pt>
                <c:pt idx="1">
                  <c:v>43891</c:v>
                </c:pt>
                <c:pt idx="2">
                  <c:v>44257</c:v>
                </c:pt>
                <c:pt idx="3">
                  <c:v>44623</c:v>
                </c:pt>
              </c:numCache>
            </c:numRef>
          </c:cat>
          <c:val>
            <c:numRef>
              <c:f>'Analysis- Broadcomm'!$L$24:$O$24</c:f>
              <c:numCache>
                <c:formatCode>#,##0.00\x</c:formatCode>
                <c:ptCount val="4"/>
                <c:pt idx="0">
                  <c:v>0.56803893382289272</c:v>
                </c:pt>
                <c:pt idx="1">
                  <c:v>0.63234569422200326</c:v>
                </c:pt>
                <c:pt idx="2">
                  <c:v>0.61414085203734625</c:v>
                </c:pt>
                <c:pt idx="3">
                  <c:v>0.63504435587554631</c:v>
                </c:pt>
              </c:numCache>
            </c:numRef>
          </c:val>
          <c:extLst>
            <c:ext xmlns:c16="http://schemas.microsoft.com/office/drawing/2014/chart" uri="{C3380CC4-5D6E-409C-BE32-E72D297353CC}">
              <c16:uniqueId val="{00000001-D0E7-4223-964C-F9ED5595DA4C}"/>
            </c:ext>
          </c:extLst>
        </c:ser>
        <c:dLbls>
          <c:showLegendKey val="0"/>
          <c:showVal val="0"/>
          <c:showCatName val="0"/>
          <c:showSerName val="0"/>
          <c:showPercent val="0"/>
          <c:showBubbleSize val="0"/>
        </c:dLbls>
        <c:gapWidth val="219"/>
        <c:overlap val="-27"/>
        <c:axId val="689945712"/>
        <c:axId val="689955696"/>
      </c:barChart>
      <c:dateAx>
        <c:axId val="6899457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55696"/>
        <c:crosses val="autoZero"/>
        <c:auto val="1"/>
        <c:lblOffset val="100"/>
        <c:baseTimeUnit val="years"/>
      </c:dateAx>
      <c:valAx>
        <c:axId val="689955696"/>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45712"/>
        <c:crosses val="autoZero"/>
        <c:crossBetween val="between"/>
      </c:valAx>
      <c:spPr>
        <a:noFill/>
        <a:ln>
          <a:noFill/>
        </a:ln>
        <a:effectLst/>
      </c:spPr>
    </c:plotArea>
    <c:legend>
      <c:legendPos val="b"/>
      <c:layout>
        <c:manualLayout>
          <c:xMode val="edge"/>
          <c:yMode val="edge"/>
          <c:x val="9.6668853893262952E-3"/>
          <c:y val="0.89409667541557303"/>
          <c:w val="0.98066622922134739"/>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r>
              <a:rPr lang="en-IN" baseline="0"/>
              <a:t> vs ROA</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Broadcomm'!$B$38</c:f>
              <c:strCache>
                <c:ptCount val="1"/>
                <c:pt idx="0">
                  <c:v>Return on Equity</c:v>
                </c:pt>
              </c:strCache>
            </c:strRef>
          </c:tx>
          <c:spPr>
            <a:ln w="28575" cap="rnd">
              <a:solidFill>
                <a:srgbClr val="FF5050"/>
              </a:solidFill>
              <a:round/>
            </a:ln>
            <a:effectLst/>
          </c:spPr>
          <c:marker>
            <c:symbol val="none"/>
          </c:marker>
          <c:dLbls>
            <c:dLbl>
              <c:idx val="0"/>
              <c:layout>
                <c:manualLayout>
                  <c:x val="-7.4145888013998282E-2"/>
                  <c:y val="-4.3946850393700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8DD3-4AD6-AA91-4D80D3ACAAEE}"/>
                </c:ext>
              </c:extLst>
            </c:dLbl>
            <c:dLbl>
              <c:idx val="1"/>
              <c:layout>
                <c:manualLayout>
                  <c:x val="-8.2563495850897423E-2"/>
                  <c:y val="-6.118834283645578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8DD3-4AD6-AA91-4D80D3ACAAEE}"/>
                </c:ext>
              </c:extLst>
            </c:dLbl>
            <c:dLbl>
              <c:idx val="2"/>
              <c:layout>
                <c:manualLayout>
                  <c:x val="-0.10091366420106586"/>
                  <c:y val="-4.394696352611101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8DD3-4AD6-AA91-4D80D3ACAAEE}"/>
                </c:ext>
              </c:extLst>
            </c:dLbl>
            <c:dLbl>
              <c:idx val="3"/>
              <c:layout>
                <c:manualLayout>
                  <c:x val="-5.4701443569553906E-2"/>
                  <c:y val="-4.394685039370083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8DD3-4AD6-AA91-4D80D3ACAA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Broadcomm'!$L$37:$O$37</c:f>
              <c:numCache>
                <c:formatCode>mmm\-yy</c:formatCode>
                <c:ptCount val="4"/>
                <c:pt idx="0">
                  <c:v>43525</c:v>
                </c:pt>
                <c:pt idx="1">
                  <c:v>43891</c:v>
                </c:pt>
                <c:pt idx="2">
                  <c:v>44257</c:v>
                </c:pt>
                <c:pt idx="3">
                  <c:v>44623</c:v>
                </c:pt>
              </c:numCache>
            </c:numRef>
          </c:cat>
          <c:val>
            <c:numRef>
              <c:f>'Analysis- Broadcomm'!$L$38:$O$38</c:f>
              <c:numCache>
                <c:formatCode>0.0%</c:formatCode>
                <c:ptCount val="4"/>
                <c:pt idx="0">
                  <c:v>0.10805500982318271</c:v>
                </c:pt>
                <c:pt idx="1">
                  <c:v>0.11154393901315238</c:v>
                </c:pt>
                <c:pt idx="2">
                  <c:v>0.25787196538738882</c:v>
                </c:pt>
                <c:pt idx="3">
                  <c:v>0.49420934431282754</c:v>
                </c:pt>
              </c:numCache>
            </c:numRef>
          </c:val>
          <c:smooth val="0"/>
          <c:extLst>
            <c:ext xmlns:c16="http://schemas.microsoft.com/office/drawing/2014/chart" uri="{C3380CC4-5D6E-409C-BE32-E72D297353CC}">
              <c16:uniqueId val="{00000000-8DD3-4AD6-AA91-4D80D3ACAAEE}"/>
            </c:ext>
          </c:extLst>
        </c:ser>
        <c:ser>
          <c:idx val="1"/>
          <c:order val="1"/>
          <c:tx>
            <c:strRef>
              <c:f>'Analysis- Broadcomm'!$B$39</c:f>
              <c:strCache>
                <c:ptCount val="1"/>
                <c:pt idx="0">
                  <c:v>Return on Asset</c:v>
                </c:pt>
              </c:strCache>
            </c:strRef>
          </c:tx>
          <c:spPr>
            <a:ln w="28575" cap="rnd">
              <a:solidFill>
                <a:schemeClr val="accent2"/>
              </a:solidFill>
              <a:round/>
            </a:ln>
            <a:effectLst/>
          </c:spPr>
          <c:marker>
            <c:symbol val="none"/>
          </c:marker>
          <c:dLbls>
            <c:dLbl>
              <c:idx val="0"/>
              <c:layout>
                <c:manualLayout>
                  <c:x val="-7.0590332458442692E-2"/>
                  <c:y val="-3.005796150481198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DD3-4AD6-AA91-4D80D3ACAAEE}"/>
                </c:ext>
              </c:extLst>
            </c:dLbl>
            <c:dLbl>
              <c:idx val="1"/>
              <c:layout>
                <c:manualLayout>
                  <c:x val="-6.0994459025955086E-2"/>
                  <c:y val="-3.468775454792299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DD3-4AD6-AA91-4D80D3ACAAEE}"/>
                </c:ext>
              </c:extLst>
            </c:dLbl>
            <c:dLbl>
              <c:idx val="2"/>
              <c:layout>
                <c:manualLayout>
                  <c:x val="-6.5203213234709304E-2"/>
                  <c:y val="-4.155217666757183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DD3-4AD6-AA91-4D80D3ACAAEE}"/>
                </c:ext>
              </c:extLst>
            </c:dLbl>
            <c:dLbl>
              <c:idx val="3"/>
              <c:layout>
                <c:manualLayout>
                  <c:x val="-5.4701443569553906E-2"/>
                  <c:y val="-4.394685039370087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DD3-4AD6-AA91-4D80D3ACAA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Broadcomm'!$L$37:$O$37</c:f>
              <c:numCache>
                <c:formatCode>mmm\-yy</c:formatCode>
                <c:ptCount val="4"/>
                <c:pt idx="0">
                  <c:v>43525</c:v>
                </c:pt>
                <c:pt idx="1">
                  <c:v>43891</c:v>
                </c:pt>
                <c:pt idx="2">
                  <c:v>44257</c:v>
                </c:pt>
                <c:pt idx="3">
                  <c:v>44623</c:v>
                </c:pt>
              </c:numCache>
            </c:numRef>
          </c:cat>
          <c:val>
            <c:numRef>
              <c:f>'Analysis- Broadcomm'!$L$39:$O$39</c:f>
              <c:numCache>
                <c:formatCode>0.0%</c:formatCode>
                <c:ptCount val="4"/>
                <c:pt idx="0">
                  <c:v>3.9930066821744478E-2</c:v>
                </c:pt>
                <c:pt idx="1">
                  <c:v>3.5070391002594389E-2</c:v>
                </c:pt>
                <c:pt idx="2">
                  <c:v>8.5179303956596536E-2</c:v>
                </c:pt>
                <c:pt idx="3">
                  <c:v>0.15321710876598998</c:v>
                </c:pt>
              </c:numCache>
            </c:numRef>
          </c:val>
          <c:smooth val="0"/>
          <c:extLst>
            <c:ext xmlns:c16="http://schemas.microsoft.com/office/drawing/2014/chart" uri="{C3380CC4-5D6E-409C-BE32-E72D297353CC}">
              <c16:uniqueId val="{00000001-8DD3-4AD6-AA91-4D80D3ACAAEE}"/>
            </c:ext>
          </c:extLst>
        </c:ser>
        <c:dLbls>
          <c:showLegendKey val="0"/>
          <c:showVal val="0"/>
          <c:showCatName val="0"/>
          <c:showSerName val="0"/>
          <c:showPercent val="0"/>
          <c:showBubbleSize val="0"/>
        </c:dLbls>
        <c:smooth val="0"/>
        <c:axId val="689942800"/>
        <c:axId val="689921168"/>
      </c:lineChart>
      <c:dateAx>
        <c:axId val="68994280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21168"/>
        <c:crosses val="autoZero"/>
        <c:auto val="1"/>
        <c:lblOffset val="100"/>
        <c:baseTimeUnit val="years"/>
      </c:dateAx>
      <c:valAx>
        <c:axId val="6899211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42800"/>
        <c:crosses val="autoZero"/>
        <c:crossBetween val="between"/>
      </c:valAx>
      <c:spPr>
        <a:noFill/>
        <a:ln>
          <a:noFill/>
        </a:ln>
        <a:effectLst/>
      </c:spPr>
    </c:plotArea>
    <c:legend>
      <c:legendPos val="b"/>
      <c:layout>
        <c:manualLayout>
          <c:xMode val="edge"/>
          <c:yMode val="edge"/>
          <c:x val="1.5399825021872282E-2"/>
          <c:y val="0.89409667541557303"/>
          <c:w val="0.9692003499562552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ROCE</a:t>
            </a:r>
            <a:r>
              <a:rPr lang="en-IN" baseline="0"/>
              <a:t> vs ROIC</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27513984994299"/>
          <c:y val="0.2109783845278726"/>
          <c:w val="0.77780230122749805"/>
          <c:h val="0.43948518807162756"/>
        </c:manualLayout>
      </c:layout>
      <c:lineChart>
        <c:grouping val="standard"/>
        <c:varyColors val="0"/>
        <c:ser>
          <c:idx val="0"/>
          <c:order val="0"/>
          <c:tx>
            <c:strRef>
              <c:f>'Analysis- Broadcomm'!$B$40</c:f>
              <c:strCache>
                <c:ptCount val="1"/>
                <c:pt idx="0">
                  <c:v>Return on Capital Employed</c:v>
                </c:pt>
              </c:strCache>
            </c:strRef>
          </c:tx>
          <c:spPr>
            <a:ln w="28575" cap="rnd">
              <a:solidFill>
                <a:srgbClr val="FF5050"/>
              </a:solidFill>
              <a:round/>
            </a:ln>
            <a:effectLst/>
          </c:spPr>
          <c:marker>
            <c:symbol val="none"/>
          </c:marker>
          <c:dLbls>
            <c:dLbl>
              <c:idx val="0"/>
              <c:layout>
                <c:manualLayout>
                  <c:x val="-7.7493769718179173E-2"/>
                  <c:y val="-3.693128376017854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381-44D9-A500-D813E3716FA7}"/>
                </c:ext>
              </c:extLst>
            </c:dLbl>
            <c:dLbl>
              <c:idx val="1"/>
              <c:layout>
                <c:manualLayout>
                  <c:x val="-7.9597649725602557E-2"/>
                  <c:y val="-5.684027124595784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289966595084704"/>
                      <c:h val="7.3862567520356887E-2"/>
                    </c:manualLayout>
                  </c15:layout>
                </c:ext>
                <c:ext xmlns:c16="http://schemas.microsoft.com/office/drawing/2014/chart" uri="{C3380CC4-5D6E-409C-BE32-E72D297353CC}">
                  <c16:uniqueId val="{00000003-B381-44D9-A500-D813E3716FA7}"/>
                </c:ext>
              </c:extLst>
            </c:dLbl>
            <c:dLbl>
              <c:idx val="2"/>
              <c:layout>
                <c:manualLayout>
                  <c:x val="-8.7089729314138845E-2"/>
                  <c:y val="-5.96844123153548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B381-44D9-A500-D813E3716FA7}"/>
                </c:ext>
              </c:extLst>
            </c:dLbl>
            <c:dLbl>
              <c:idx val="3"/>
              <c:layout>
                <c:manualLayout>
                  <c:x val="-8.2880975105384558E-2"/>
                  <c:y val="-5.968441231535477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381-44D9-A500-D813E3716F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Broadcomm'!$L$37:$O$37</c:f>
              <c:numCache>
                <c:formatCode>mmm\-yy</c:formatCode>
                <c:ptCount val="4"/>
                <c:pt idx="0">
                  <c:v>43525</c:v>
                </c:pt>
                <c:pt idx="1">
                  <c:v>43891</c:v>
                </c:pt>
                <c:pt idx="2">
                  <c:v>44257</c:v>
                </c:pt>
                <c:pt idx="3">
                  <c:v>44623</c:v>
                </c:pt>
              </c:numCache>
            </c:numRef>
          </c:cat>
          <c:val>
            <c:numRef>
              <c:f>'Analysis- Broadcomm'!$L$40:$O$40</c:f>
              <c:numCache>
                <c:formatCode>0.0%</c:formatCode>
                <c:ptCount val="4"/>
                <c:pt idx="0">
                  <c:v>4.6675557248999806E-2</c:v>
                </c:pt>
                <c:pt idx="1">
                  <c:v>4.1009609461623756E-2</c:v>
                </c:pt>
                <c:pt idx="2">
                  <c:v>9.9502256847832801E-2</c:v>
                </c:pt>
                <c:pt idx="3">
                  <c:v>0.18036448958601184</c:v>
                </c:pt>
              </c:numCache>
            </c:numRef>
          </c:val>
          <c:smooth val="0"/>
          <c:extLst>
            <c:ext xmlns:c16="http://schemas.microsoft.com/office/drawing/2014/chart" uri="{C3380CC4-5D6E-409C-BE32-E72D297353CC}">
              <c16:uniqueId val="{00000000-B381-44D9-A500-D813E3716FA7}"/>
            </c:ext>
          </c:extLst>
        </c:ser>
        <c:ser>
          <c:idx val="1"/>
          <c:order val="1"/>
          <c:tx>
            <c:strRef>
              <c:f>'Analysis- Broadcomm'!$B$41</c:f>
              <c:strCache>
                <c:ptCount val="1"/>
                <c:pt idx="0">
                  <c:v>Return on Invested Capital</c:v>
                </c:pt>
              </c:strCache>
            </c:strRef>
          </c:tx>
          <c:spPr>
            <a:ln w="28575" cap="rnd">
              <a:solidFill>
                <a:schemeClr val="accent2"/>
              </a:solidFill>
              <a:round/>
            </a:ln>
            <a:effectLst/>
          </c:spPr>
          <c:marker>
            <c:symbol val="none"/>
          </c:marker>
          <c:dLbls>
            <c:dLbl>
              <c:idx val="0"/>
              <c:layout>
                <c:manualLayout>
                  <c:x val="-9.1298483522892979E-2"/>
                  <c:y val="-4.83078480377666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B381-44D9-A500-D813E3716FA7}"/>
                </c:ext>
              </c:extLst>
            </c:dLbl>
            <c:dLbl>
              <c:idx val="1"/>
              <c:layout>
                <c:manualLayout>
                  <c:x val="-8.2880975105384558E-2"/>
                  <c:y val="-5.968441231535477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B381-44D9-A500-D813E3716FA7}"/>
                </c:ext>
              </c:extLst>
            </c:dLbl>
            <c:dLbl>
              <c:idx val="2"/>
              <c:layout>
                <c:manualLayout>
                  <c:x val="-8.2880975105384627E-2"/>
                  <c:y val="-5.968441231535477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B381-44D9-A500-D813E3716FA7}"/>
                </c:ext>
              </c:extLst>
            </c:dLbl>
            <c:dLbl>
              <c:idx val="3"/>
              <c:layout>
                <c:manualLayout>
                  <c:x val="-7.867222089663034E-2"/>
                  <c:y val="-5.399613017656072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B381-44D9-A500-D813E3716F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Broadcomm'!$L$37:$O$37</c:f>
              <c:numCache>
                <c:formatCode>mmm\-yy</c:formatCode>
                <c:ptCount val="4"/>
                <c:pt idx="0">
                  <c:v>43525</c:v>
                </c:pt>
                <c:pt idx="1">
                  <c:v>43891</c:v>
                </c:pt>
                <c:pt idx="2">
                  <c:v>44257</c:v>
                </c:pt>
                <c:pt idx="3">
                  <c:v>44623</c:v>
                </c:pt>
              </c:numCache>
            </c:numRef>
          </c:cat>
          <c:val>
            <c:numRef>
              <c:f>'Analysis- Broadcomm'!$L$41:$O$41</c:f>
              <c:numCache>
                <c:formatCode>0.0%</c:formatCode>
                <c:ptCount val="4"/>
                <c:pt idx="0">
                  <c:v>0.48271538599319364</c:v>
                </c:pt>
                <c:pt idx="1">
                  <c:v>0.33150753143283956</c:v>
                </c:pt>
                <c:pt idx="2">
                  <c:v>0.50873310677309724</c:v>
                </c:pt>
                <c:pt idx="3">
                  <c:v>0.8206946983546618</c:v>
                </c:pt>
              </c:numCache>
            </c:numRef>
          </c:val>
          <c:smooth val="0"/>
          <c:extLst>
            <c:ext xmlns:c16="http://schemas.microsoft.com/office/drawing/2014/chart" uri="{C3380CC4-5D6E-409C-BE32-E72D297353CC}">
              <c16:uniqueId val="{00000001-B381-44D9-A500-D813E3716FA7}"/>
            </c:ext>
          </c:extLst>
        </c:ser>
        <c:dLbls>
          <c:showLegendKey val="0"/>
          <c:showVal val="0"/>
          <c:showCatName val="0"/>
          <c:showSerName val="0"/>
          <c:showPercent val="0"/>
          <c:showBubbleSize val="0"/>
        </c:dLbls>
        <c:smooth val="0"/>
        <c:axId val="686777456"/>
        <c:axId val="686799504"/>
      </c:lineChart>
      <c:dateAx>
        <c:axId val="68677745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99504"/>
        <c:crosses val="autoZero"/>
        <c:auto val="1"/>
        <c:lblOffset val="100"/>
        <c:baseTimeUnit val="years"/>
      </c:dateAx>
      <c:valAx>
        <c:axId val="6867995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77456"/>
        <c:crosses val="autoZero"/>
        <c:crossBetween val="between"/>
      </c:valAx>
      <c:spPr>
        <a:noFill/>
        <a:ln>
          <a:noFill/>
        </a:ln>
        <a:effectLst/>
      </c:spPr>
    </c:plotArea>
    <c:legend>
      <c:legendPos val="b"/>
      <c:layout>
        <c:manualLayout>
          <c:xMode val="edge"/>
          <c:yMode val="edge"/>
          <c:x val="1.2622047244094483E-2"/>
          <c:y val="0.79170764917183989"/>
          <c:w val="0.9830892388451441"/>
          <c:h val="0.180514722349126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Broadcomm'!$B$42</c:f>
              <c:strCache>
                <c:ptCount val="1"/>
                <c:pt idx="0">
                  <c:v>EBITDA Margin</c:v>
                </c:pt>
              </c:strCache>
            </c:strRef>
          </c:tx>
          <c:spPr>
            <a:ln w="28575" cap="rnd">
              <a:solidFill>
                <a:srgbClr val="FF5050"/>
              </a:solidFill>
              <a:round/>
            </a:ln>
            <a:effectLst/>
          </c:spPr>
          <c:marker>
            <c:symbol val="none"/>
          </c:marker>
          <c:dLbls>
            <c:dLbl>
              <c:idx val="0"/>
              <c:layout>
                <c:manualLayout>
                  <c:x val="-8.7089729314138761E-2"/>
                  <c:y val="-4.57418784190437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E85-473C-AE4C-C20B4533A716}"/>
                </c:ext>
              </c:extLst>
            </c:dLbl>
            <c:dLbl>
              <c:idx val="1"/>
              <c:layout>
                <c:manualLayout>
                  <c:x val="-8.2880975105384558E-2"/>
                  <c:y val="-5.18468845240498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E85-473C-AE4C-C20B4533A716}"/>
                </c:ext>
              </c:extLst>
            </c:dLbl>
            <c:dLbl>
              <c:idx val="2"/>
              <c:layout>
                <c:manualLayout>
                  <c:x val="-7.8672220896630424E-2"/>
                  <c:y val="-5.18468845240498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E85-473C-AE4C-C20B4533A716}"/>
                </c:ext>
              </c:extLst>
            </c:dLbl>
            <c:dLbl>
              <c:idx val="3"/>
              <c:layout>
                <c:manualLayout>
                  <c:x val="-7.867222089663034E-2"/>
                  <c:y val="-3.96368723140376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85-473C-AE4C-C20B4533A7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Broadcomm'!$L$37:$O$37</c:f>
              <c:numCache>
                <c:formatCode>mmm\-yy</c:formatCode>
                <c:ptCount val="4"/>
                <c:pt idx="0">
                  <c:v>43525</c:v>
                </c:pt>
                <c:pt idx="1">
                  <c:v>43891</c:v>
                </c:pt>
                <c:pt idx="2">
                  <c:v>44257</c:v>
                </c:pt>
                <c:pt idx="3">
                  <c:v>44623</c:v>
                </c:pt>
              </c:numCache>
            </c:numRef>
          </c:cat>
          <c:val>
            <c:numRef>
              <c:f>'Analysis- Broadcomm'!$L$42:$O$42</c:f>
              <c:numCache>
                <c:formatCode>0.0%</c:formatCode>
                <c:ptCount val="4"/>
                <c:pt idx="0">
                  <c:v>0.41943620834624062</c:v>
                </c:pt>
                <c:pt idx="1">
                  <c:v>0.46571500334896182</c:v>
                </c:pt>
                <c:pt idx="2">
                  <c:v>0.53519125683060109</c:v>
                </c:pt>
                <c:pt idx="3">
                  <c:v>0.57690570129205188</c:v>
                </c:pt>
              </c:numCache>
            </c:numRef>
          </c:val>
          <c:smooth val="0"/>
          <c:extLst>
            <c:ext xmlns:c16="http://schemas.microsoft.com/office/drawing/2014/chart" uri="{C3380CC4-5D6E-409C-BE32-E72D297353CC}">
              <c16:uniqueId val="{00000000-6E85-473C-AE4C-C20B4533A716}"/>
            </c:ext>
          </c:extLst>
        </c:ser>
        <c:ser>
          <c:idx val="1"/>
          <c:order val="1"/>
          <c:tx>
            <c:strRef>
              <c:f>'Analysis- Broadcomm'!$B$43</c:f>
              <c:strCache>
                <c:ptCount val="1"/>
                <c:pt idx="0">
                  <c:v>Net Margin</c:v>
                </c:pt>
              </c:strCache>
            </c:strRef>
          </c:tx>
          <c:spPr>
            <a:ln w="28575" cap="rnd">
              <a:solidFill>
                <a:schemeClr val="accent2"/>
              </a:solidFill>
              <a:round/>
            </a:ln>
            <a:effectLst/>
          </c:spPr>
          <c:marker>
            <c:symbol val="none"/>
          </c:marker>
          <c:dLbls>
            <c:dLbl>
              <c:idx val="0"/>
              <c:layout>
                <c:manualLayout>
                  <c:x val="-8.9363119382804418E-2"/>
                  <c:y val="-3.96368723140376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85-473C-AE4C-C20B4533A716}"/>
                </c:ext>
              </c:extLst>
            </c:dLbl>
            <c:dLbl>
              <c:idx val="1"/>
              <c:layout>
                <c:manualLayout>
                  <c:x val="-8.9269665155491923E-2"/>
                  <c:y val="-4.57418784190438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85-473C-AE4C-C20B4533A716}"/>
                </c:ext>
              </c:extLst>
            </c:dLbl>
            <c:dLbl>
              <c:idx val="2"/>
              <c:layout>
                <c:manualLayout>
                  <c:x val="-8.9269665155491923E-2"/>
                  <c:y val="-5.18468845240498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85-473C-AE4C-C20B4533A716}"/>
                </c:ext>
              </c:extLst>
            </c:dLbl>
            <c:dLbl>
              <c:idx val="3"/>
              <c:layout>
                <c:manualLayout>
                  <c:x val="-6.0463043971355435E-2"/>
                  <c:y val="-3.96368723140376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85-473C-AE4C-C20B4533A7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Broadcomm'!$L$37:$O$37</c:f>
              <c:numCache>
                <c:formatCode>mmm\-yy</c:formatCode>
                <c:ptCount val="4"/>
                <c:pt idx="0">
                  <c:v>43525</c:v>
                </c:pt>
                <c:pt idx="1">
                  <c:v>43891</c:v>
                </c:pt>
                <c:pt idx="2">
                  <c:v>44257</c:v>
                </c:pt>
                <c:pt idx="3">
                  <c:v>44623</c:v>
                </c:pt>
              </c:numCache>
            </c:numRef>
          </c:cat>
          <c:val>
            <c:numRef>
              <c:f>'Analysis- Broadcomm'!$L$43:$O$43</c:f>
              <c:numCache>
                <c:formatCode>0.0%</c:formatCode>
                <c:ptCount val="4"/>
                <c:pt idx="0">
                  <c:v>0.11926361906447759</c:v>
                </c:pt>
                <c:pt idx="1">
                  <c:v>0.11147856664434025</c:v>
                </c:pt>
                <c:pt idx="2">
                  <c:v>0.2344990892531876</c:v>
                </c:pt>
                <c:pt idx="3">
                  <c:v>0.33801162545553115</c:v>
                </c:pt>
              </c:numCache>
            </c:numRef>
          </c:val>
          <c:smooth val="0"/>
          <c:extLst>
            <c:ext xmlns:c16="http://schemas.microsoft.com/office/drawing/2014/chart" uri="{C3380CC4-5D6E-409C-BE32-E72D297353CC}">
              <c16:uniqueId val="{00000001-6E85-473C-AE4C-C20B4533A716}"/>
            </c:ext>
          </c:extLst>
        </c:ser>
        <c:dLbls>
          <c:showLegendKey val="0"/>
          <c:showVal val="0"/>
          <c:showCatName val="0"/>
          <c:showSerName val="0"/>
          <c:showPercent val="0"/>
          <c:showBubbleSize val="0"/>
        </c:dLbls>
        <c:smooth val="0"/>
        <c:axId val="686796592"/>
        <c:axId val="686802000"/>
      </c:lineChart>
      <c:dateAx>
        <c:axId val="6867965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02000"/>
        <c:crosses val="autoZero"/>
        <c:auto val="1"/>
        <c:lblOffset val="100"/>
        <c:baseTimeUnit val="years"/>
      </c:dateAx>
      <c:valAx>
        <c:axId val="68680200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96592"/>
        <c:crosses val="autoZero"/>
        <c:crossBetween val="between"/>
      </c:valAx>
      <c:spPr>
        <a:noFill/>
        <a:ln>
          <a:noFill/>
        </a:ln>
        <a:effectLst/>
      </c:spPr>
    </c:plotArea>
    <c:legend>
      <c:legendPos val="b"/>
      <c:layout>
        <c:manualLayout>
          <c:xMode val="edge"/>
          <c:yMode val="edge"/>
          <c:x val="7.0664916885389475E-3"/>
          <c:y val="0.89409667541557303"/>
          <c:w val="0.98864479440069974"/>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t>
            </a:r>
            <a:r>
              <a:rPr lang="en-IN" baseline="0"/>
              <a:t> vs 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21412838470567"/>
          <c:y val="0.21644518272425251"/>
          <c:w val="0.78953461533388725"/>
          <c:h val="0.53951613606438731"/>
        </c:manualLayout>
      </c:layout>
      <c:lineChart>
        <c:grouping val="standard"/>
        <c:varyColors val="0"/>
        <c:ser>
          <c:idx val="0"/>
          <c:order val="0"/>
          <c:tx>
            <c:strRef>
              <c:f>'Analysis- Broadcomm'!$B$47</c:f>
              <c:strCache>
                <c:ptCount val="1"/>
                <c:pt idx="0">
                  <c:v>Price to Sales</c:v>
                </c:pt>
              </c:strCache>
            </c:strRef>
          </c:tx>
          <c:spPr>
            <a:ln w="28575" cap="rnd">
              <a:solidFill>
                <a:srgbClr val="FF5050"/>
              </a:solidFill>
              <a:round/>
            </a:ln>
            <a:effectLst/>
          </c:spPr>
          <c:marker>
            <c:symbol val="none"/>
          </c:marker>
          <c:dLbls>
            <c:dLbl>
              <c:idx val="0"/>
              <c:layout>
                <c:manualLayout>
                  <c:x val="-8.9719595352088566E-2"/>
                  <c:y val="-5.25610170821671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437-4160-BF7F-8356A7F90D23}"/>
                </c:ext>
              </c:extLst>
            </c:dLbl>
            <c:dLbl>
              <c:idx val="1"/>
              <c:layout>
                <c:manualLayout>
                  <c:x val="-8.1344385971854019E-2"/>
                  <c:y val="-5.80981156425214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37-4160-BF7F-8356A7F90D23}"/>
                </c:ext>
              </c:extLst>
            </c:dLbl>
            <c:dLbl>
              <c:idx val="2"/>
              <c:layout>
                <c:manualLayout>
                  <c:x val="-8.6704519975204175E-2"/>
                  <c:y val="-4.7023918521812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37-4160-BF7F-8356A7F90D23}"/>
                </c:ext>
              </c:extLst>
            </c:dLbl>
            <c:dLbl>
              <c:idx val="3"/>
              <c:layout>
                <c:manualLayout>
                  <c:x val="-4.3655943760798899E-2"/>
                  <c:y val="-3.04126228407495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37-4160-BF7F-8356A7F90D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Broadcomm'!$L$46:$O$46</c:f>
              <c:numCache>
                <c:formatCode>mmm\-yy</c:formatCode>
                <c:ptCount val="4"/>
                <c:pt idx="0">
                  <c:v>43525</c:v>
                </c:pt>
                <c:pt idx="1">
                  <c:v>43891</c:v>
                </c:pt>
                <c:pt idx="2">
                  <c:v>44257</c:v>
                </c:pt>
                <c:pt idx="3">
                  <c:v>44623</c:v>
                </c:pt>
              </c:numCache>
            </c:numRef>
          </c:cat>
          <c:val>
            <c:numRef>
              <c:f>'Analysis- Broadcomm'!$L$47:$O$47</c:f>
              <c:numCache>
                <c:formatCode>#,##0.00\x</c:formatCode>
                <c:ptCount val="4"/>
                <c:pt idx="0">
                  <c:v>5.5631278488294909</c:v>
                </c:pt>
                <c:pt idx="1">
                  <c:v>7.4543703951774951</c:v>
                </c:pt>
                <c:pt idx="2">
                  <c:v>10.008378870673953</c:v>
                </c:pt>
                <c:pt idx="3">
                  <c:v>7.0370147275848565</c:v>
                </c:pt>
              </c:numCache>
            </c:numRef>
          </c:val>
          <c:smooth val="0"/>
          <c:extLst>
            <c:ext xmlns:c16="http://schemas.microsoft.com/office/drawing/2014/chart" uri="{C3380CC4-5D6E-409C-BE32-E72D297353CC}">
              <c16:uniqueId val="{00000000-4437-4160-BF7F-8356A7F90D23}"/>
            </c:ext>
          </c:extLst>
        </c:ser>
        <c:ser>
          <c:idx val="1"/>
          <c:order val="1"/>
          <c:tx>
            <c:strRef>
              <c:f>'Analysis- Broadcomm'!$B$48</c:f>
              <c:strCache>
                <c:ptCount val="1"/>
                <c:pt idx="0">
                  <c:v>Price to Earnings</c:v>
                </c:pt>
              </c:strCache>
            </c:strRef>
          </c:tx>
          <c:spPr>
            <a:ln w="28575" cap="rnd">
              <a:solidFill>
                <a:schemeClr val="accent2"/>
              </a:solidFill>
              <a:round/>
            </a:ln>
            <a:effectLst/>
          </c:spPr>
          <c:marker>
            <c:symbol val="none"/>
          </c:marker>
          <c:dLbls>
            <c:dLbl>
              <c:idx val="1"/>
              <c:layout>
                <c:manualLayout>
                  <c:x val="-8.2516915285086853E-2"/>
                  <c:y val="-4.70239185218127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37-4160-BF7F-8356A7F90D23}"/>
                </c:ext>
              </c:extLst>
            </c:dLbl>
            <c:dLbl>
              <c:idx val="3"/>
              <c:layout>
                <c:manualLayout>
                  <c:x val="-4.7582400189926009E-2"/>
                  <c:y val="-4.7023918521812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37-4160-BF7F-8356A7F90D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Broadcomm'!$L$46:$O$46</c:f>
              <c:numCache>
                <c:formatCode>mmm\-yy</c:formatCode>
                <c:ptCount val="4"/>
                <c:pt idx="0">
                  <c:v>43525</c:v>
                </c:pt>
                <c:pt idx="1">
                  <c:v>43891</c:v>
                </c:pt>
                <c:pt idx="2">
                  <c:v>44257</c:v>
                </c:pt>
                <c:pt idx="3">
                  <c:v>44623</c:v>
                </c:pt>
              </c:numCache>
            </c:numRef>
          </c:cat>
          <c:val>
            <c:numRef>
              <c:f>'Analysis- Broadcomm'!$L$48:$O$48</c:f>
              <c:numCache>
                <c:formatCode>#,##0.00\x</c:formatCode>
                <c:ptCount val="4"/>
                <c:pt idx="0">
                  <c:v>46.645640074211499</c:v>
                </c:pt>
                <c:pt idx="1">
                  <c:v>66.868193766428845</c:v>
                </c:pt>
                <c:pt idx="2">
                  <c:v>42.679819791828493</c:v>
                </c:pt>
                <c:pt idx="3">
                  <c:v>20.818854138822061</c:v>
                </c:pt>
              </c:numCache>
            </c:numRef>
          </c:val>
          <c:smooth val="0"/>
          <c:extLst>
            <c:ext xmlns:c16="http://schemas.microsoft.com/office/drawing/2014/chart" uri="{C3380CC4-5D6E-409C-BE32-E72D297353CC}">
              <c16:uniqueId val="{00000001-4437-4160-BF7F-8356A7F90D23}"/>
            </c:ext>
          </c:extLst>
        </c:ser>
        <c:dLbls>
          <c:showLegendKey val="0"/>
          <c:showVal val="0"/>
          <c:showCatName val="0"/>
          <c:showSerName val="0"/>
          <c:showPercent val="0"/>
          <c:showBubbleSize val="0"/>
        </c:dLbls>
        <c:smooth val="0"/>
        <c:axId val="686813232"/>
        <c:axId val="686809072"/>
      </c:lineChart>
      <c:dateAx>
        <c:axId val="6868132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09072"/>
        <c:crosses val="autoZero"/>
        <c:auto val="1"/>
        <c:lblOffset val="100"/>
        <c:baseTimeUnit val="years"/>
      </c:dateAx>
      <c:valAx>
        <c:axId val="686809072"/>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13232"/>
        <c:crosses val="autoZero"/>
        <c:crossBetween val="between"/>
      </c:valAx>
      <c:spPr>
        <a:noFill/>
        <a:ln>
          <a:noFill/>
        </a:ln>
        <a:effectLst/>
      </c:spPr>
    </c:plotArea>
    <c:legend>
      <c:legendPos val="b"/>
      <c:layout>
        <c:manualLayout>
          <c:xMode val="edge"/>
          <c:yMode val="edge"/>
          <c:x val="1.2622047244094502E-2"/>
          <c:y val="0.89409667541557303"/>
          <c:w val="0.9775336832895885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Capital</a:t>
            </a:r>
            <a:r>
              <a:rPr lang="en-IN" baseline="0"/>
              <a:t> Structure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Amgen'!$B$25</c:f>
              <c:strCache>
                <c:ptCount val="1"/>
                <c:pt idx="0">
                  <c:v>Debt to Equity Ratio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Amgen'!$L$23:$O$23</c:f>
              <c:numCache>
                <c:formatCode>mmm\-yy</c:formatCode>
                <c:ptCount val="4"/>
                <c:pt idx="0">
                  <c:v>43800</c:v>
                </c:pt>
                <c:pt idx="1">
                  <c:v>44166</c:v>
                </c:pt>
                <c:pt idx="2">
                  <c:v>44532</c:v>
                </c:pt>
                <c:pt idx="3">
                  <c:v>44898</c:v>
                </c:pt>
              </c:numCache>
            </c:numRef>
          </c:cat>
          <c:val>
            <c:numRef>
              <c:f>'Analysis- Amgen'!$L$25:$O$25</c:f>
              <c:numCache>
                <c:formatCode>#,##0.00\x</c:formatCode>
                <c:ptCount val="4"/>
                <c:pt idx="0">
                  <c:v>3.0913884007029875</c:v>
                </c:pt>
                <c:pt idx="1">
                  <c:v>3.5057923264959081</c:v>
                </c:pt>
                <c:pt idx="2">
                  <c:v>4.9714925373134324</c:v>
                </c:pt>
                <c:pt idx="3">
                  <c:v>10.637803878721661</c:v>
                </c:pt>
              </c:numCache>
            </c:numRef>
          </c:val>
          <c:extLst>
            <c:ext xmlns:c16="http://schemas.microsoft.com/office/drawing/2014/chart" uri="{C3380CC4-5D6E-409C-BE32-E72D297353CC}">
              <c16:uniqueId val="{00000000-B25A-4317-831A-DD2A6015D607}"/>
            </c:ext>
          </c:extLst>
        </c:ser>
        <c:ser>
          <c:idx val="1"/>
          <c:order val="1"/>
          <c:tx>
            <c:strRef>
              <c:f>'Analysis- Amgen'!$B$26</c:f>
              <c:strCache>
                <c:ptCount val="1"/>
                <c:pt idx="0">
                  <c:v>Debt to Capital Ratio</c:v>
                </c:pt>
              </c:strCache>
            </c:strRef>
          </c:tx>
          <c:spPr>
            <a:solidFill>
              <a:srgbClr val="66FFFF"/>
            </a:solidFill>
            <a:ln>
              <a:noFill/>
            </a:ln>
            <a:effectLst/>
          </c:spPr>
          <c:invertIfNegative val="0"/>
          <c:dLbls>
            <c:dLbl>
              <c:idx val="0"/>
              <c:layout>
                <c:manualLayout>
                  <c:x val="1.6542597187758478E-2"/>
                  <c:y val="1.7006802721088437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25A-4317-831A-DD2A6015D607}"/>
                </c:ext>
              </c:extLst>
            </c:dLbl>
            <c:dLbl>
              <c:idx val="1"/>
              <c:layout>
                <c:manualLayout>
                  <c:x val="2.4814058602476104E-2"/>
                  <c:y val="-1.039292604736326E-1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517783291976838"/>
                      <c:h val="7.3611334297498526E-2"/>
                    </c:manualLayout>
                  </c15:layout>
                </c:ext>
                <c:ext xmlns:c16="http://schemas.microsoft.com/office/drawing/2014/chart" uri="{C3380CC4-5D6E-409C-BE32-E72D297353CC}">
                  <c16:uniqueId val="{00000003-B25A-4317-831A-DD2A6015D607}"/>
                </c:ext>
              </c:extLst>
            </c:dLbl>
            <c:dLbl>
              <c:idx val="2"/>
              <c:layout>
                <c:manualLayout>
                  <c:x val="1.6542597187758402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B25A-4317-831A-DD2A6015D607}"/>
                </c:ext>
              </c:extLst>
            </c:dLbl>
            <c:dLbl>
              <c:idx val="3"/>
              <c:layout>
                <c:manualLayout>
                  <c:x val="2.0678246484698098E-2"/>
                  <c:y val="-1.039292604736326E-1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25A-4317-831A-DD2A6015D6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Amgen'!$L$23:$O$23</c:f>
              <c:numCache>
                <c:formatCode>mmm\-yy</c:formatCode>
                <c:ptCount val="4"/>
                <c:pt idx="0">
                  <c:v>43800</c:v>
                </c:pt>
                <c:pt idx="1">
                  <c:v>44166</c:v>
                </c:pt>
                <c:pt idx="2">
                  <c:v>44532</c:v>
                </c:pt>
                <c:pt idx="3">
                  <c:v>44898</c:v>
                </c:pt>
              </c:numCache>
            </c:numRef>
          </c:cat>
          <c:val>
            <c:numRef>
              <c:f>'Analysis- Amgen'!$L$26:$O$26</c:f>
              <c:numCache>
                <c:formatCode>#,##0.00\x</c:formatCode>
                <c:ptCount val="4"/>
                <c:pt idx="0">
                  <c:v>0.75558419243986252</c:v>
                </c:pt>
                <c:pt idx="1">
                  <c:v>0.77806345087864137</c:v>
                </c:pt>
                <c:pt idx="2">
                  <c:v>0.83253767902221998</c:v>
                </c:pt>
                <c:pt idx="3">
                  <c:v>0.91407313523916822</c:v>
                </c:pt>
              </c:numCache>
            </c:numRef>
          </c:val>
          <c:extLst>
            <c:ext xmlns:c16="http://schemas.microsoft.com/office/drawing/2014/chart" uri="{C3380CC4-5D6E-409C-BE32-E72D297353CC}">
              <c16:uniqueId val="{00000001-B25A-4317-831A-DD2A6015D607}"/>
            </c:ext>
          </c:extLst>
        </c:ser>
        <c:dLbls>
          <c:showLegendKey val="0"/>
          <c:showVal val="0"/>
          <c:showCatName val="0"/>
          <c:showSerName val="0"/>
          <c:showPercent val="0"/>
          <c:showBubbleSize val="0"/>
        </c:dLbls>
        <c:gapWidth val="219"/>
        <c:overlap val="-27"/>
        <c:axId val="2131723664"/>
        <c:axId val="2131717840"/>
      </c:barChart>
      <c:dateAx>
        <c:axId val="21317236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17840"/>
        <c:crosses val="autoZero"/>
        <c:auto val="1"/>
        <c:lblOffset val="100"/>
        <c:baseTimeUnit val="years"/>
      </c:dateAx>
      <c:valAx>
        <c:axId val="2131717840"/>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23664"/>
        <c:crosses val="autoZero"/>
        <c:crossBetween val="between"/>
      </c:valAx>
      <c:spPr>
        <a:noFill/>
        <a:ln>
          <a:noFill/>
        </a:ln>
        <a:effectLst/>
      </c:spPr>
    </c:plotArea>
    <c:legend>
      <c:legendPos val="b"/>
      <c:layout>
        <c:manualLayout>
          <c:xMode val="edge"/>
          <c:yMode val="edge"/>
          <c:x val="1.2444663167104074E-2"/>
          <c:y val="0.89409667541557303"/>
          <c:w val="0.9778884514435695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ROA</a:t>
            </a:r>
            <a:r>
              <a:rPr lang="en-IN" baseline="0"/>
              <a:t> vs ROCE vs ROIC</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ROA</c:v>
          </c:tx>
          <c:spPr>
            <a:solidFill>
              <a:schemeClr val="accent1"/>
            </a:solidFill>
            <a:ln>
              <a:noFill/>
            </a:ln>
            <a:effectLst/>
          </c:spPr>
          <c:invertIfNegative val="0"/>
          <c:dLbls>
            <c:dLbl>
              <c:idx val="0"/>
              <c:layout>
                <c:manualLayout>
                  <c:x val="-1.2531017369727048E-2"/>
                  <c:y val="2.4073928258967526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19D-4558-AC72-29621A9D0EF6}"/>
                </c:ext>
              </c:extLst>
            </c:dLbl>
            <c:dLbl>
              <c:idx val="1"/>
              <c:layout>
                <c:manualLayout>
                  <c:x val="-2.4813895781637754E-2"/>
                  <c:y val="3.333333333333333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19D-4558-AC72-29621A9D0EF6}"/>
                </c:ext>
              </c:extLst>
            </c:dLbl>
            <c:dLbl>
              <c:idx val="2"/>
              <c:layout>
                <c:manualLayout>
                  <c:x val="-1.6542597187758554E-2"/>
                  <c:y val="3.333333333333322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19D-4558-AC72-29621A9D0EF6}"/>
                </c:ext>
              </c:extLst>
            </c:dLbl>
            <c:dLbl>
              <c:idx val="3"/>
              <c:layout>
                <c:manualLayout>
                  <c:x val="-2.8949545078577336E-2"/>
                  <c:y val="3.333333333333322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519D-4558-AC72-29621A9D0E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Amgen'!$L$39:$O$39</c:f>
              <c:numCache>
                <c:formatCode>mmm\-yy</c:formatCode>
                <c:ptCount val="4"/>
                <c:pt idx="0">
                  <c:v>43800</c:v>
                </c:pt>
                <c:pt idx="1">
                  <c:v>44166</c:v>
                </c:pt>
                <c:pt idx="2">
                  <c:v>44532</c:v>
                </c:pt>
                <c:pt idx="3">
                  <c:v>44898</c:v>
                </c:pt>
              </c:numCache>
            </c:numRef>
          </c:cat>
          <c:val>
            <c:numRef>
              <c:f>'Analysis- Amgen'!$L$41:$O$41</c:f>
              <c:numCache>
                <c:formatCode>0.0%</c:formatCode>
                <c:ptCount val="4"/>
                <c:pt idx="0">
                  <c:v>0.13134138375734838</c:v>
                </c:pt>
                <c:pt idx="1">
                  <c:v>0.11539683548325602</c:v>
                </c:pt>
                <c:pt idx="2">
                  <c:v>9.6345949480912282E-2</c:v>
                </c:pt>
                <c:pt idx="3">
                  <c:v>0.10061270557884554</c:v>
                </c:pt>
              </c:numCache>
            </c:numRef>
          </c:val>
          <c:extLst>
            <c:ext xmlns:c16="http://schemas.microsoft.com/office/drawing/2014/chart" uri="{C3380CC4-5D6E-409C-BE32-E72D297353CC}">
              <c16:uniqueId val="{00000000-519D-4558-AC72-29621A9D0EF6}"/>
            </c:ext>
          </c:extLst>
        </c:ser>
        <c:ser>
          <c:idx val="1"/>
          <c:order val="1"/>
          <c:tx>
            <c:v>ROCE</c:v>
          </c:tx>
          <c:spPr>
            <a:solidFill>
              <a:srgbClr val="66FFFF"/>
            </a:solidFill>
            <a:ln>
              <a:noFill/>
            </a:ln>
            <a:effectLst/>
          </c:spPr>
          <c:invertIfNegative val="0"/>
          <c:dLbls>
            <c:dLbl>
              <c:idx val="0"/>
              <c:layout>
                <c:manualLayout>
                  <c:x val="-1.6542597187758478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519D-4558-AC72-29621A9D0EF6}"/>
                </c:ext>
              </c:extLst>
            </c:dLbl>
            <c:dLbl>
              <c:idx val="1"/>
              <c:layout>
                <c:manualLayout>
                  <c:x val="-2.4813895781637719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519D-4558-AC72-29621A9D0EF6}"/>
                </c:ext>
              </c:extLst>
            </c:dLbl>
            <c:dLbl>
              <c:idx val="2"/>
              <c:layout>
                <c:manualLayout>
                  <c:x val="-2.0678246484698098E-2"/>
                  <c:y val="-1.0185067526415994E-1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519D-4558-AC72-29621A9D0EF6}"/>
                </c:ext>
              </c:extLst>
            </c:dLbl>
            <c:dLbl>
              <c:idx val="3"/>
              <c:layout>
                <c:manualLayout>
                  <c:x val="-1.6542597187758478E-2"/>
                  <c:y val="5.5555555555555558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519D-4558-AC72-29621A9D0E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Amgen'!$L$39:$O$39</c:f>
              <c:numCache>
                <c:formatCode>mmm\-yy</c:formatCode>
                <c:ptCount val="4"/>
                <c:pt idx="0">
                  <c:v>43800</c:v>
                </c:pt>
                <c:pt idx="1">
                  <c:v>44166</c:v>
                </c:pt>
                <c:pt idx="2">
                  <c:v>44532</c:v>
                </c:pt>
                <c:pt idx="3">
                  <c:v>44898</c:v>
                </c:pt>
              </c:numCache>
            </c:numRef>
          </c:cat>
          <c:val>
            <c:numRef>
              <c:f>'Analysis- Amgen'!$L$42:$O$42</c:f>
              <c:numCache>
                <c:formatCode>0.0%</c:formatCode>
                <c:ptCount val="4"/>
                <c:pt idx="0">
                  <c:v>0.19815039417828986</c:v>
                </c:pt>
                <c:pt idx="1">
                  <c:v>0.17134096001887014</c:v>
                </c:pt>
                <c:pt idx="2">
                  <c:v>0.14729185933165037</c:v>
                </c:pt>
                <c:pt idx="3">
                  <c:v>0.15378115758343897</c:v>
                </c:pt>
              </c:numCache>
            </c:numRef>
          </c:val>
          <c:extLst>
            <c:ext xmlns:c16="http://schemas.microsoft.com/office/drawing/2014/chart" uri="{C3380CC4-5D6E-409C-BE32-E72D297353CC}">
              <c16:uniqueId val="{00000001-519D-4558-AC72-29621A9D0EF6}"/>
            </c:ext>
          </c:extLst>
        </c:ser>
        <c:ser>
          <c:idx val="2"/>
          <c:order val="2"/>
          <c:tx>
            <c:v>ROIC</c:v>
          </c:tx>
          <c:spPr>
            <a:solidFill>
              <a:srgbClr val="3333FF"/>
            </a:solidFill>
            <a:ln>
              <a:noFill/>
            </a:ln>
            <a:effectLst/>
          </c:spPr>
          <c:invertIfNegative val="0"/>
          <c:dLbls>
            <c:dLbl>
              <c:idx val="0"/>
              <c:layout>
                <c:manualLayout>
                  <c:x val="-4.1356492969396195E-3"/>
                  <c:y val="1.1111111111111112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519D-4558-AC72-29621A9D0EF6}"/>
                </c:ext>
              </c:extLst>
            </c:dLbl>
            <c:dLbl>
              <c:idx val="1"/>
              <c:layout>
                <c:manualLayout>
                  <c:x val="-4.1356492969396195E-3"/>
                  <c:y val="1.6666666666666666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519D-4558-AC72-29621A9D0EF6}"/>
                </c:ext>
              </c:extLst>
            </c:dLbl>
            <c:dLbl>
              <c:idx val="2"/>
              <c:layout>
                <c:manualLayout>
                  <c:x val="4.1356492969396195E-3"/>
                  <c:y val="2.222222222222222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519D-4558-AC72-29621A9D0EF6}"/>
                </c:ext>
              </c:extLst>
            </c:dLbl>
            <c:dLbl>
              <c:idx val="3"/>
              <c:layout>
                <c:manualLayout>
                  <c:x val="8.271298593879239E-3"/>
                  <c:y val="2.222222222222222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519D-4558-AC72-29621A9D0E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Amgen'!$L$39:$O$39</c:f>
              <c:numCache>
                <c:formatCode>mmm\-yy</c:formatCode>
                <c:ptCount val="4"/>
                <c:pt idx="0">
                  <c:v>43800</c:v>
                </c:pt>
                <c:pt idx="1">
                  <c:v>44166</c:v>
                </c:pt>
                <c:pt idx="2">
                  <c:v>44532</c:v>
                </c:pt>
                <c:pt idx="3">
                  <c:v>44898</c:v>
                </c:pt>
              </c:numCache>
            </c:numRef>
          </c:cat>
          <c:val>
            <c:numRef>
              <c:f>'Analysis- Amgen'!$L$43:$O$43</c:f>
              <c:numCache>
                <c:formatCode>0.0%</c:formatCode>
                <c:ptCount val="4"/>
                <c:pt idx="0">
                  <c:v>0.74451723155796068</c:v>
                </c:pt>
                <c:pt idx="1">
                  <c:v>0.50514603616133513</c:v>
                </c:pt>
                <c:pt idx="2">
                  <c:v>0.47581752119499393</c:v>
                </c:pt>
                <c:pt idx="3">
                  <c:v>0.54938789200067084</c:v>
                </c:pt>
              </c:numCache>
            </c:numRef>
          </c:val>
          <c:extLst>
            <c:ext xmlns:c16="http://schemas.microsoft.com/office/drawing/2014/chart" uri="{C3380CC4-5D6E-409C-BE32-E72D297353CC}">
              <c16:uniqueId val="{00000002-519D-4558-AC72-29621A9D0EF6}"/>
            </c:ext>
          </c:extLst>
        </c:ser>
        <c:dLbls>
          <c:dLblPos val="outEnd"/>
          <c:showLegendKey val="0"/>
          <c:showVal val="1"/>
          <c:showCatName val="0"/>
          <c:showSerName val="0"/>
          <c:showPercent val="0"/>
          <c:showBubbleSize val="0"/>
        </c:dLbls>
        <c:gapWidth val="219"/>
        <c:overlap val="-27"/>
        <c:axId val="179488560"/>
        <c:axId val="179484400"/>
      </c:barChart>
      <c:dateAx>
        <c:axId val="1794885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4400"/>
        <c:crosses val="autoZero"/>
        <c:auto val="1"/>
        <c:lblOffset val="100"/>
        <c:baseTimeUnit val="years"/>
      </c:dateAx>
      <c:valAx>
        <c:axId val="17948440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8560"/>
        <c:crosses val="autoZero"/>
        <c:crossBetween val="between"/>
      </c:valAx>
      <c:spPr>
        <a:noFill/>
        <a:ln>
          <a:noFill/>
        </a:ln>
        <a:effectLst/>
      </c:spPr>
    </c:plotArea>
    <c:legend>
      <c:legendPos val="b"/>
      <c:layout>
        <c:manualLayout>
          <c:xMode val="edge"/>
          <c:yMode val="edge"/>
          <c:x val="1.5889107611548544E-2"/>
          <c:y val="0.89409667541557303"/>
          <c:w val="0.97377712160979879"/>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Amgen'!$B$44</c:f>
              <c:strCache>
                <c:ptCount val="1"/>
                <c:pt idx="0">
                  <c:v>EBITDA Margin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Amgen'!$L$39:$O$39</c:f>
              <c:numCache>
                <c:formatCode>mmm\-yy</c:formatCode>
                <c:ptCount val="4"/>
                <c:pt idx="0">
                  <c:v>43800</c:v>
                </c:pt>
                <c:pt idx="1">
                  <c:v>44166</c:v>
                </c:pt>
                <c:pt idx="2">
                  <c:v>44532</c:v>
                </c:pt>
                <c:pt idx="3">
                  <c:v>44898</c:v>
                </c:pt>
              </c:numCache>
            </c:numRef>
          </c:cat>
          <c:val>
            <c:numRef>
              <c:f>'Analysis- Amgen'!$L$44:$O$44</c:f>
              <c:numCache>
                <c:formatCode>0.0%</c:formatCode>
                <c:ptCount val="4"/>
                <c:pt idx="0">
                  <c:v>0.54074993579316843</c:v>
                </c:pt>
                <c:pt idx="1">
                  <c:v>0.5111705475141598</c:v>
                </c:pt>
                <c:pt idx="2">
                  <c:v>0.43481273336156129</c:v>
                </c:pt>
                <c:pt idx="3">
                  <c:v>0.46229533107928428</c:v>
                </c:pt>
              </c:numCache>
            </c:numRef>
          </c:val>
          <c:smooth val="0"/>
          <c:extLst>
            <c:ext xmlns:c16="http://schemas.microsoft.com/office/drawing/2014/chart" uri="{C3380CC4-5D6E-409C-BE32-E72D297353CC}">
              <c16:uniqueId val="{00000000-96CA-4E9E-9FCD-C6E2791C0638}"/>
            </c:ext>
          </c:extLst>
        </c:ser>
        <c:ser>
          <c:idx val="1"/>
          <c:order val="1"/>
          <c:tx>
            <c:strRef>
              <c:f>'Analysis- Amgen'!$B$45</c:f>
              <c:strCache>
                <c:ptCount val="1"/>
                <c:pt idx="0">
                  <c:v>Net Margin</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Amgen'!$L$39:$O$39</c:f>
              <c:numCache>
                <c:formatCode>mmm\-yy</c:formatCode>
                <c:ptCount val="4"/>
                <c:pt idx="0">
                  <c:v>43800</c:v>
                </c:pt>
                <c:pt idx="1">
                  <c:v>44166</c:v>
                </c:pt>
                <c:pt idx="2">
                  <c:v>44532</c:v>
                </c:pt>
                <c:pt idx="3">
                  <c:v>44898</c:v>
                </c:pt>
              </c:numCache>
            </c:numRef>
          </c:cat>
          <c:val>
            <c:numRef>
              <c:f>'Analysis- Amgen'!$L$45:$O$45</c:f>
              <c:numCache>
                <c:formatCode>0.0%</c:formatCode>
                <c:ptCount val="4"/>
                <c:pt idx="0">
                  <c:v>0.33567331564078418</c:v>
                </c:pt>
                <c:pt idx="1">
                  <c:v>0.2857142857142857</c:v>
                </c:pt>
                <c:pt idx="2">
                  <c:v>0.2268370607028754</c:v>
                </c:pt>
                <c:pt idx="3">
                  <c:v>0.24890779926300194</c:v>
                </c:pt>
              </c:numCache>
            </c:numRef>
          </c:val>
          <c:smooth val="0"/>
          <c:extLst>
            <c:ext xmlns:c16="http://schemas.microsoft.com/office/drawing/2014/chart" uri="{C3380CC4-5D6E-409C-BE32-E72D297353CC}">
              <c16:uniqueId val="{00000001-96CA-4E9E-9FCD-C6E2791C0638}"/>
            </c:ext>
          </c:extLst>
        </c:ser>
        <c:dLbls>
          <c:showLegendKey val="0"/>
          <c:showVal val="0"/>
          <c:showCatName val="0"/>
          <c:showSerName val="0"/>
          <c:showPercent val="0"/>
          <c:showBubbleSize val="0"/>
        </c:dLbls>
        <c:smooth val="0"/>
        <c:axId val="179450288"/>
        <c:axId val="179444464"/>
      </c:lineChart>
      <c:dateAx>
        <c:axId val="1794502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4464"/>
        <c:crosses val="autoZero"/>
        <c:auto val="1"/>
        <c:lblOffset val="100"/>
        <c:baseTimeUnit val="years"/>
      </c:dateAx>
      <c:valAx>
        <c:axId val="1794444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0288"/>
        <c:crosses val="autoZero"/>
        <c:crossBetween val="between"/>
      </c:valAx>
      <c:spPr>
        <a:noFill/>
        <a:ln>
          <a:noFill/>
        </a:ln>
        <a:effectLst/>
      </c:spPr>
    </c:plotArea>
    <c:legend>
      <c:legendPos val="b"/>
      <c:layout>
        <c:manualLayout>
          <c:xMode val="edge"/>
          <c:yMode val="edge"/>
          <c:x val="1.2085301837270359E-2"/>
          <c:y val="0.89409667541557303"/>
          <c:w val="0.98694050743657047"/>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P/S</a:t>
            </a:r>
            <a:r>
              <a:rPr lang="en-IN" baseline="0"/>
              <a:t> vs P/E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Amgen'!$B$49</c:f>
              <c:strCache>
                <c:ptCount val="1"/>
                <c:pt idx="0">
                  <c:v>Price to 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Amgen'!$L$48:$O$48</c:f>
              <c:numCache>
                <c:formatCode>mmm\-yy</c:formatCode>
                <c:ptCount val="4"/>
                <c:pt idx="0">
                  <c:v>43800</c:v>
                </c:pt>
                <c:pt idx="1">
                  <c:v>44166</c:v>
                </c:pt>
                <c:pt idx="2">
                  <c:v>44532</c:v>
                </c:pt>
                <c:pt idx="3">
                  <c:v>44898</c:v>
                </c:pt>
              </c:numCache>
            </c:numRef>
          </c:cat>
          <c:val>
            <c:numRef>
              <c:f>'Analysis- Amgen'!$L$49:$O$49</c:f>
              <c:numCache>
                <c:formatCode>#,##0.00\x</c:formatCode>
                <c:ptCount val="4"/>
                <c:pt idx="0">
                  <c:v>6.1022172759181581</c:v>
                </c:pt>
                <c:pt idx="1">
                  <c:v>5.264710509754563</c:v>
                </c:pt>
                <c:pt idx="2">
                  <c:v>4.8774009777127683</c:v>
                </c:pt>
                <c:pt idx="3">
                  <c:v>5.3234813661056872</c:v>
                </c:pt>
              </c:numCache>
            </c:numRef>
          </c:val>
          <c:smooth val="0"/>
          <c:extLst>
            <c:ext xmlns:c16="http://schemas.microsoft.com/office/drawing/2014/chart" uri="{C3380CC4-5D6E-409C-BE32-E72D297353CC}">
              <c16:uniqueId val="{00000000-7A60-4993-9689-AB394828C7B3}"/>
            </c:ext>
          </c:extLst>
        </c:ser>
        <c:ser>
          <c:idx val="1"/>
          <c:order val="1"/>
          <c:tx>
            <c:strRef>
              <c:f>'Analysis- Amgen'!$B$50</c:f>
              <c:strCache>
                <c:ptCount val="1"/>
                <c:pt idx="0">
                  <c:v>Price to Earnings</c:v>
                </c:pt>
              </c:strCache>
            </c:strRef>
          </c:tx>
          <c:spPr>
            <a:ln w="28575" cap="rnd">
              <a:solidFill>
                <a:srgbClr val="3333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Amgen'!$L$48:$O$48</c:f>
              <c:numCache>
                <c:formatCode>mmm\-yy</c:formatCode>
                <c:ptCount val="4"/>
                <c:pt idx="0">
                  <c:v>43800</c:v>
                </c:pt>
                <c:pt idx="1">
                  <c:v>44166</c:v>
                </c:pt>
                <c:pt idx="2">
                  <c:v>44532</c:v>
                </c:pt>
                <c:pt idx="3">
                  <c:v>44898</c:v>
                </c:pt>
              </c:numCache>
            </c:numRef>
          </c:cat>
          <c:val>
            <c:numRef>
              <c:f>'Analysis- Amgen'!$L$50:$O$50</c:f>
              <c:numCache>
                <c:formatCode>#,##0.00\x</c:formatCode>
                <c:ptCount val="4"/>
                <c:pt idx="0">
                  <c:v>18.179035960214232</c:v>
                </c:pt>
                <c:pt idx="1">
                  <c:v>18.42648678414097</c:v>
                </c:pt>
                <c:pt idx="2">
                  <c:v>21.501781774987272</c:v>
                </c:pt>
                <c:pt idx="3">
                  <c:v>21.387362637362639</c:v>
                </c:pt>
              </c:numCache>
            </c:numRef>
          </c:val>
          <c:smooth val="0"/>
          <c:extLst>
            <c:ext xmlns:c16="http://schemas.microsoft.com/office/drawing/2014/chart" uri="{C3380CC4-5D6E-409C-BE32-E72D297353CC}">
              <c16:uniqueId val="{00000001-7A60-4993-9689-AB394828C7B3}"/>
            </c:ext>
          </c:extLst>
        </c:ser>
        <c:dLbls>
          <c:showLegendKey val="0"/>
          <c:showVal val="0"/>
          <c:showCatName val="0"/>
          <c:showSerName val="0"/>
          <c:showPercent val="0"/>
          <c:showBubbleSize val="0"/>
        </c:dLbls>
        <c:smooth val="0"/>
        <c:axId val="2124943280"/>
        <c:axId val="2124953264"/>
      </c:lineChart>
      <c:dateAx>
        <c:axId val="21249432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53264"/>
        <c:crosses val="autoZero"/>
        <c:auto val="1"/>
        <c:lblOffset val="100"/>
        <c:baseTimeUnit val="years"/>
      </c:dateAx>
      <c:valAx>
        <c:axId val="2124953264"/>
        <c:scaling>
          <c:orientation val="minMax"/>
        </c:scaling>
        <c:delete val="0"/>
        <c:axPos val="l"/>
        <c:numFmt formatCode="#,##0.00\x"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43280"/>
        <c:crosses val="autoZero"/>
        <c:crossBetween val="between"/>
      </c:valAx>
      <c:spPr>
        <a:noFill/>
        <a:ln>
          <a:noFill/>
        </a:ln>
        <a:effectLst/>
      </c:spPr>
    </c:plotArea>
    <c:legend>
      <c:legendPos val="b"/>
      <c:layout>
        <c:manualLayout>
          <c:xMode val="edge"/>
          <c:yMode val="edge"/>
          <c:x val="7.0664916885389475E-3"/>
          <c:y val="0.89409667541557303"/>
          <c:w val="0.98031146106736655"/>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067692520011042"/>
          <c:y val="0.28412554309059074"/>
          <c:w val="0.78865097985095223"/>
          <c:h val="0.59302834861127207"/>
        </c:manualLayout>
      </c:layout>
      <c:lineChart>
        <c:grouping val="standard"/>
        <c:varyColors val="0"/>
        <c:ser>
          <c:idx val="0"/>
          <c:order val="0"/>
          <c:spPr>
            <a:ln w="28575" cap="rnd">
              <a:solidFill>
                <a:srgbClr val="FF993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-Enphase Energy'!$L$38:$O$38</c:f>
              <c:numCache>
                <c:formatCode>mmm\-yy</c:formatCode>
                <c:ptCount val="4"/>
                <c:pt idx="0">
                  <c:v>43800</c:v>
                </c:pt>
                <c:pt idx="1">
                  <c:v>44166</c:v>
                </c:pt>
                <c:pt idx="2">
                  <c:v>44532</c:v>
                </c:pt>
                <c:pt idx="3">
                  <c:v>44898</c:v>
                </c:pt>
              </c:numCache>
            </c:numRef>
          </c:cat>
          <c:val>
            <c:numRef>
              <c:f>'Analysis -Enphase Energy'!$L$39:$O$39</c:f>
              <c:numCache>
                <c:formatCode>0.0%</c:formatCode>
                <c:ptCount val="4"/>
                <c:pt idx="0">
                  <c:v>0.59199447489456747</c:v>
                </c:pt>
                <c:pt idx="1">
                  <c:v>0.27685317762860207</c:v>
                </c:pt>
                <c:pt idx="2">
                  <c:v>0.33812138513325024</c:v>
                </c:pt>
                <c:pt idx="3">
                  <c:v>0.4813166128252741</c:v>
                </c:pt>
              </c:numCache>
            </c:numRef>
          </c:val>
          <c:smooth val="0"/>
          <c:extLst>
            <c:ext xmlns:c16="http://schemas.microsoft.com/office/drawing/2014/chart" uri="{C3380CC4-5D6E-409C-BE32-E72D297353CC}">
              <c16:uniqueId val="{00000000-9887-425C-B2FE-B64B431F5939}"/>
            </c:ext>
          </c:extLst>
        </c:ser>
        <c:dLbls>
          <c:showLegendKey val="0"/>
          <c:showVal val="0"/>
          <c:showCatName val="0"/>
          <c:showSerName val="0"/>
          <c:showPercent val="0"/>
          <c:showBubbleSize val="0"/>
        </c:dLbls>
        <c:smooth val="0"/>
        <c:axId val="726490384"/>
        <c:axId val="726494544"/>
      </c:lineChart>
      <c:dateAx>
        <c:axId val="7264903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94544"/>
        <c:crosses val="autoZero"/>
        <c:auto val="1"/>
        <c:lblOffset val="100"/>
        <c:baseTimeUnit val="years"/>
      </c:dateAx>
      <c:valAx>
        <c:axId val="7264945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9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-Enphase Energy'!$B$43</c:f>
              <c:strCache>
                <c:ptCount val="1"/>
                <c:pt idx="0">
                  <c:v>EBITDA Margin</c:v>
                </c:pt>
              </c:strCache>
            </c:strRef>
          </c:tx>
          <c:spPr>
            <a:ln w="28575" cap="rnd">
              <a:solidFill>
                <a:schemeClr val="accent1"/>
              </a:solidFill>
              <a:round/>
            </a:ln>
            <a:effectLst/>
          </c:spPr>
          <c:marker>
            <c:symbol val="none"/>
          </c:marker>
          <c:dLbls>
            <c:dLbl>
              <c:idx val="0"/>
              <c:layout>
                <c:manualLayout>
                  <c:x val="-8.436651311528981E-2"/>
                  <c:y val="5.42872774772957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48-4AE3-AB2C-432BED6D2B23}"/>
                </c:ext>
              </c:extLst>
            </c:dLbl>
            <c:dLbl>
              <c:idx val="1"/>
              <c:layout>
                <c:manualLayout>
                  <c:x val="-8.3726699341153787E-2"/>
                  <c:y val="-5.429362090608243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2068435641973324"/>
                      <c:h val="0.10134086500057056"/>
                    </c:manualLayout>
                  </c15:layout>
                </c:ext>
                <c:ext xmlns:c16="http://schemas.microsoft.com/office/drawing/2014/chart" uri="{C3380CC4-5D6E-409C-BE32-E72D297353CC}">
                  <c16:uniqueId val="{00000003-2B48-4AE3-AB2C-432BED6D2B23}"/>
                </c:ext>
              </c:extLst>
            </c:dLbl>
            <c:dLbl>
              <c:idx val="3"/>
              <c:layout>
                <c:manualLayout>
                  <c:x val="-8.7978400021425887E-2"/>
                  <c:y val="-6.1539997717676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48-4AE3-AB2C-432BED6D2B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-Enphase Energy'!$L$38:$O$38</c:f>
              <c:numCache>
                <c:formatCode>mmm\-yy</c:formatCode>
                <c:ptCount val="4"/>
                <c:pt idx="0">
                  <c:v>43800</c:v>
                </c:pt>
                <c:pt idx="1">
                  <c:v>44166</c:v>
                </c:pt>
                <c:pt idx="2">
                  <c:v>44532</c:v>
                </c:pt>
                <c:pt idx="3">
                  <c:v>44898</c:v>
                </c:pt>
              </c:numCache>
            </c:numRef>
          </c:cat>
          <c:val>
            <c:numRef>
              <c:f>'Analysis -Enphase Energy'!$L$43:$O$43</c:f>
              <c:numCache>
                <c:formatCode>0.0%</c:formatCode>
                <c:ptCount val="4"/>
                <c:pt idx="0">
                  <c:v>0.18247313533002421</c:v>
                </c:pt>
                <c:pt idx="1">
                  <c:v>0.2046860573974239</c:v>
                </c:pt>
                <c:pt idx="2">
                  <c:v>0.14364107206039728</c:v>
                </c:pt>
                <c:pt idx="3">
                  <c:v>0.22207706792320236</c:v>
                </c:pt>
              </c:numCache>
            </c:numRef>
          </c:val>
          <c:smooth val="0"/>
          <c:extLst>
            <c:ext xmlns:c16="http://schemas.microsoft.com/office/drawing/2014/chart" uri="{C3380CC4-5D6E-409C-BE32-E72D297353CC}">
              <c16:uniqueId val="{00000000-2B48-4AE3-AB2C-432BED6D2B23}"/>
            </c:ext>
          </c:extLst>
        </c:ser>
        <c:ser>
          <c:idx val="1"/>
          <c:order val="1"/>
          <c:tx>
            <c:strRef>
              <c:f>'Analysis -Enphase Energy'!$B$44</c:f>
              <c:strCache>
                <c:ptCount val="1"/>
                <c:pt idx="0">
                  <c:v>Net Margin</c:v>
                </c:pt>
              </c:strCache>
            </c:strRef>
          </c:tx>
          <c:spPr>
            <a:ln w="28575" cap="rnd">
              <a:solidFill>
                <a:schemeClr val="accent2"/>
              </a:solidFill>
              <a:round/>
            </a:ln>
            <a:effectLst/>
          </c:spPr>
          <c:marker>
            <c:symbol val="none"/>
          </c:marker>
          <c:dLbls>
            <c:dLbl>
              <c:idx val="1"/>
              <c:layout>
                <c:manualLayout>
                  <c:x val="-9.6708357898994027E-2"/>
                  <c:y val="4.941805072200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48-4AE3-AB2C-432BED6D2B23}"/>
                </c:ext>
              </c:extLst>
            </c:dLbl>
            <c:dLbl>
              <c:idx val="2"/>
              <c:layout>
                <c:manualLayout>
                  <c:x val="-8.3726699341153857E-2"/>
                  <c:y val="3.9909277644642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48-4AE3-AB2C-432BED6D2B23}"/>
                </c:ext>
              </c:extLst>
            </c:dLbl>
            <c:dLbl>
              <c:idx val="3"/>
              <c:layout>
                <c:manualLayout>
                  <c:x val="-6.67198966200655E-2"/>
                  <c:y val="3.26629008330480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48-4AE3-AB2C-432BED6D2B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-Enphase Energy'!$L$38:$O$38</c:f>
              <c:numCache>
                <c:formatCode>mmm\-yy</c:formatCode>
                <c:ptCount val="4"/>
                <c:pt idx="0">
                  <c:v>43800</c:v>
                </c:pt>
                <c:pt idx="1">
                  <c:v>44166</c:v>
                </c:pt>
                <c:pt idx="2">
                  <c:v>44532</c:v>
                </c:pt>
                <c:pt idx="3">
                  <c:v>44898</c:v>
                </c:pt>
              </c:numCache>
            </c:numRef>
          </c:cat>
          <c:val>
            <c:numRef>
              <c:f>'Analysis -Enphase Energy'!$L$44:$O$44</c:f>
              <c:numCache>
                <c:formatCode>0.0%</c:formatCode>
                <c:ptCount val="4"/>
                <c:pt idx="0">
                  <c:v>0.25811225740109844</c:v>
                </c:pt>
                <c:pt idx="1">
                  <c:v>0.17302514769022179</c:v>
                </c:pt>
                <c:pt idx="2">
                  <c:v>0.10524156524117452</c:v>
                </c:pt>
                <c:pt idx="3">
                  <c:v>0.17047921941023308</c:v>
                </c:pt>
              </c:numCache>
            </c:numRef>
          </c:val>
          <c:smooth val="0"/>
          <c:extLst>
            <c:ext xmlns:c16="http://schemas.microsoft.com/office/drawing/2014/chart" uri="{C3380CC4-5D6E-409C-BE32-E72D297353CC}">
              <c16:uniqueId val="{00000001-2B48-4AE3-AB2C-432BED6D2B23}"/>
            </c:ext>
          </c:extLst>
        </c:ser>
        <c:dLbls>
          <c:showLegendKey val="0"/>
          <c:showVal val="0"/>
          <c:showCatName val="0"/>
          <c:showSerName val="0"/>
          <c:showPercent val="0"/>
          <c:showBubbleSize val="0"/>
        </c:dLbls>
        <c:smooth val="0"/>
        <c:axId val="733622736"/>
        <c:axId val="733620240"/>
      </c:lineChart>
      <c:dateAx>
        <c:axId val="7336227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20240"/>
        <c:crosses val="autoZero"/>
        <c:auto val="1"/>
        <c:lblOffset val="100"/>
        <c:baseTimeUnit val="years"/>
      </c:dateAx>
      <c:valAx>
        <c:axId val="73362024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2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Profitability</a:t>
            </a:r>
            <a:r>
              <a:rPr lang="en-IN" baseline="0"/>
              <a:t> Ratios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-Enphase Energy'!$B$40</c:f>
              <c:strCache>
                <c:ptCount val="1"/>
                <c:pt idx="0">
                  <c:v>Return on Asset</c:v>
                </c:pt>
              </c:strCache>
            </c:strRef>
          </c:tx>
          <c:spPr>
            <a:solidFill>
              <a:schemeClr val="accent1"/>
            </a:solidFill>
            <a:ln>
              <a:noFill/>
            </a:ln>
            <a:effectLst/>
          </c:spPr>
          <c:invertIfNegative val="0"/>
          <c:dLbls>
            <c:dLbl>
              <c:idx val="0"/>
              <c:layout>
                <c:manualLayout>
                  <c:x val="-3.6360929465522967E-3"/>
                  <c:y val="1.025770256539487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99C-4122-A0F0-1CD800E8871E}"/>
                </c:ext>
              </c:extLst>
            </c:dLbl>
            <c:dLbl>
              <c:idx val="1"/>
              <c:layout>
                <c:manualLayout>
                  <c:x val="-7.2721858931045933E-3"/>
                  <c:y val="5.1288512826974369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99C-4122-A0F0-1CD800E8871E}"/>
                </c:ext>
              </c:extLst>
            </c:dLbl>
            <c:dLbl>
              <c:idx val="2"/>
              <c:layout>
                <c:manualLayout>
                  <c:x val="-1.3192612137203246E-2"/>
                  <c:y val="3.2175032175032175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D83-49AC-AEBB-1AAA9A7937A1}"/>
                </c:ext>
              </c:extLst>
            </c:dLbl>
            <c:dLbl>
              <c:idx val="3"/>
              <c:layout>
                <c:manualLayout>
                  <c:x val="-3.6360929465522967E-3"/>
                  <c:y val="2.0515405130789748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99C-4122-A0F0-1CD800E887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-Enphase Energy'!$L$38:$O$38</c:f>
              <c:numCache>
                <c:formatCode>mmm\-yy</c:formatCode>
                <c:ptCount val="4"/>
                <c:pt idx="0">
                  <c:v>43800</c:v>
                </c:pt>
                <c:pt idx="1">
                  <c:v>44166</c:v>
                </c:pt>
                <c:pt idx="2">
                  <c:v>44532</c:v>
                </c:pt>
                <c:pt idx="3">
                  <c:v>44898</c:v>
                </c:pt>
              </c:numCache>
            </c:numRef>
          </c:cat>
          <c:val>
            <c:numRef>
              <c:f>'Analysis -Enphase Energy'!$L$40:$O$40</c:f>
              <c:numCache>
                <c:formatCode>0.0%</c:formatCode>
                <c:ptCount val="4"/>
                <c:pt idx="0">
                  <c:v>0.22594335852881917</c:v>
                </c:pt>
                <c:pt idx="1">
                  <c:v>0.11165300949419299</c:v>
                </c:pt>
                <c:pt idx="2">
                  <c:v>6.9952425290584708E-2</c:v>
                </c:pt>
                <c:pt idx="3">
                  <c:v>0.12883460645596378</c:v>
                </c:pt>
              </c:numCache>
            </c:numRef>
          </c:val>
          <c:extLst>
            <c:ext xmlns:c16="http://schemas.microsoft.com/office/drawing/2014/chart" uri="{C3380CC4-5D6E-409C-BE32-E72D297353CC}">
              <c16:uniqueId val="{00000000-FD83-49AC-AEBB-1AAA9A7937A1}"/>
            </c:ext>
          </c:extLst>
        </c:ser>
        <c:ser>
          <c:idx val="1"/>
          <c:order val="1"/>
          <c:tx>
            <c:strRef>
              <c:f>'Analysis -Enphase Energy'!$B$41</c:f>
              <c:strCache>
                <c:ptCount val="1"/>
                <c:pt idx="0">
                  <c:v>Return on Capital Employed</c:v>
                </c:pt>
              </c:strCache>
            </c:strRef>
          </c:tx>
          <c:spPr>
            <a:solidFill>
              <a:schemeClr val="accent2"/>
            </a:solidFill>
            <a:ln>
              <a:noFill/>
            </a:ln>
            <a:effectLst/>
          </c:spPr>
          <c:invertIfNegative val="0"/>
          <c:dLbls>
            <c:dLbl>
              <c:idx val="0"/>
              <c:layout>
                <c:manualLayout>
                  <c:x val="-1.759014951627089E-2"/>
                  <c:y val="3.217503217503220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D83-49AC-AEBB-1AAA9A7937A1}"/>
                </c:ext>
              </c:extLst>
            </c:dLbl>
            <c:dLbl>
              <c:idx val="1"/>
              <c:layout>
                <c:manualLayout>
                  <c:x val="-1.090827883965689E-2"/>
                  <c:y val="1.0257702565394778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99C-4122-A0F0-1CD800E8871E}"/>
                </c:ext>
              </c:extLst>
            </c:dLbl>
            <c:dLbl>
              <c:idx val="2"/>
              <c:layout>
                <c:manualLayout>
                  <c:x val="-1.3192718652297895E-2"/>
                  <c:y val="1.1563742332973102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D83-49AC-AEBB-1AAA9A7937A1}"/>
                </c:ext>
              </c:extLst>
            </c:dLbl>
            <c:dLbl>
              <c:idx val="3"/>
              <c:layout>
                <c:manualLayout>
                  <c:x val="-2.5452650625866078E-2"/>
                  <c:y val="1.538655384809230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99C-4122-A0F0-1CD800E887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'Analysis -Enphase Energy'!$L$38:$O$38</c:f>
              <c:numCache>
                <c:formatCode>mmm\-yy</c:formatCode>
                <c:ptCount val="4"/>
                <c:pt idx="0">
                  <c:v>43800</c:v>
                </c:pt>
                <c:pt idx="1">
                  <c:v>44166</c:v>
                </c:pt>
                <c:pt idx="2">
                  <c:v>44532</c:v>
                </c:pt>
                <c:pt idx="3">
                  <c:v>44898</c:v>
                </c:pt>
              </c:numCache>
            </c:numRef>
          </c:cat>
          <c:val>
            <c:numRef>
              <c:f>'Analysis -Enphase Energy'!$L$41:$O$41</c:f>
              <c:numCache>
                <c:formatCode>0.0%</c:formatCode>
                <c:ptCount val="4"/>
                <c:pt idx="0">
                  <c:v>0.42659395640031239</c:v>
                </c:pt>
                <c:pt idx="1">
                  <c:v>0.16443969378713838</c:v>
                </c:pt>
                <c:pt idx="2">
                  <c:v>9.9092255558265563E-2</c:v>
                </c:pt>
                <c:pt idx="3">
                  <c:v>0.187795437467213</c:v>
                </c:pt>
              </c:numCache>
            </c:numRef>
          </c:val>
          <c:extLst>
            <c:ext xmlns:c16="http://schemas.microsoft.com/office/drawing/2014/chart" uri="{C3380CC4-5D6E-409C-BE32-E72D297353CC}">
              <c16:uniqueId val="{00000001-FD83-49AC-AEBB-1AAA9A7937A1}"/>
            </c:ext>
          </c:extLst>
        </c:ser>
        <c:ser>
          <c:idx val="2"/>
          <c:order val="2"/>
          <c:tx>
            <c:strRef>
              <c:f>'Analysis -Enphase Energy'!$B$42</c:f>
              <c:strCache>
                <c:ptCount val="1"/>
                <c:pt idx="0">
                  <c:v>Return on Invested Capital</c:v>
                </c:pt>
              </c:strCache>
            </c:strRef>
          </c:tx>
          <c:spPr>
            <a:solidFill>
              <a:schemeClr val="accent3"/>
            </a:solidFill>
            <a:ln>
              <a:noFill/>
            </a:ln>
            <a:effectLst/>
          </c:spPr>
          <c:invertIfNegative val="0"/>
          <c:dLbls>
            <c:dLbl>
              <c:idx val="1"/>
              <c:layout>
                <c:manualLayout>
                  <c:x val="-4.3975373790678023E-3"/>
                  <c:y val="1.287001287001286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FD83-49AC-AEBB-1AAA9A7937A1}"/>
                </c:ext>
              </c:extLst>
            </c:dLbl>
            <c:dLbl>
              <c:idx val="2"/>
              <c:layout>
                <c:manualLayout>
                  <c:x val="8.7950747581355248E-3"/>
                  <c:y val="-6.435006435006434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D83-49AC-AEBB-1AAA9A7937A1}"/>
                </c:ext>
              </c:extLst>
            </c:dLbl>
            <c:dLbl>
              <c:idx val="3"/>
              <c:layout>
                <c:manualLayout>
                  <c:x val="1.7590100665376245E-2"/>
                  <c:y val="1.146803069879993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FD83-49AC-AEBB-1AAA9A793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'Analysis -Enphase Energy'!$L$38:$O$38</c:f>
              <c:numCache>
                <c:formatCode>mmm\-yy</c:formatCode>
                <c:ptCount val="4"/>
                <c:pt idx="0">
                  <c:v>43800</c:v>
                </c:pt>
                <c:pt idx="1">
                  <c:v>44166</c:v>
                </c:pt>
                <c:pt idx="2">
                  <c:v>44532</c:v>
                </c:pt>
                <c:pt idx="3">
                  <c:v>44898</c:v>
                </c:pt>
              </c:numCache>
            </c:numRef>
          </c:cat>
          <c:val>
            <c:numRef>
              <c:f>'Analysis -Enphase Energy'!$L$42:$O$42</c:f>
              <c:numCache>
                <c:formatCode>0.0%</c:formatCode>
                <c:ptCount val="4"/>
                <c:pt idx="0">
                  <c:v>0.47480399176190857</c:v>
                </c:pt>
                <c:pt idx="1">
                  <c:v>0.29149055122049905</c:v>
                </c:pt>
                <c:pt idx="2">
                  <c:v>0.12995196792143324</c:v>
                </c:pt>
                <c:pt idx="3">
                  <c:v>0.2259281623017538</c:v>
                </c:pt>
              </c:numCache>
            </c:numRef>
          </c:val>
          <c:extLst>
            <c:ext xmlns:c16="http://schemas.microsoft.com/office/drawing/2014/chart" uri="{C3380CC4-5D6E-409C-BE32-E72D297353CC}">
              <c16:uniqueId val="{00000002-FD83-49AC-AEBB-1AAA9A7937A1}"/>
            </c:ext>
          </c:extLst>
        </c:ser>
        <c:dLbls>
          <c:showLegendKey val="0"/>
          <c:showVal val="0"/>
          <c:showCatName val="0"/>
          <c:showSerName val="0"/>
          <c:showPercent val="0"/>
          <c:showBubbleSize val="0"/>
        </c:dLbls>
        <c:gapWidth val="219"/>
        <c:overlap val="-27"/>
        <c:axId val="726372624"/>
        <c:axId val="726370128"/>
      </c:barChart>
      <c:dateAx>
        <c:axId val="7263726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370128"/>
        <c:crosses val="autoZero"/>
        <c:auto val="1"/>
        <c:lblOffset val="100"/>
        <c:baseTimeUnit val="years"/>
      </c:dateAx>
      <c:valAx>
        <c:axId val="72637012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372624"/>
        <c:crosses val="autoZero"/>
        <c:crossBetween val="between"/>
      </c:valAx>
      <c:spPr>
        <a:noFill/>
        <a:ln>
          <a:noFill/>
        </a:ln>
        <a:effectLst/>
      </c:spPr>
    </c:plotArea>
    <c:legend>
      <c:legendPos val="b"/>
      <c:layout>
        <c:manualLayout>
          <c:xMode val="edge"/>
          <c:yMode val="edge"/>
          <c:x val="4.7572693228277911E-3"/>
          <c:y val="0.88267692113845964"/>
          <c:w val="0.99412126799436562"/>
          <c:h val="8.65499711653557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image" Target="../media/image10.png"/><Relationship Id="rId5" Type="http://schemas.openxmlformats.org/officeDocument/2006/relationships/chart" Target="../charts/chart44.xml"/><Relationship Id="rId4" Type="http://schemas.openxmlformats.org/officeDocument/2006/relationships/chart" Target="../charts/chart4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image" Target="../media/image11.png"/><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image" Target="../media/image12.png"/><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image" Target="../media/image13.jpeg"/><Relationship Id="rId6" Type="http://schemas.openxmlformats.org/officeDocument/2006/relationships/chart" Target="../charts/chart59.xml"/><Relationship Id="rId5" Type="http://schemas.openxmlformats.org/officeDocument/2006/relationships/chart" Target="../charts/chart58.xml"/><Relationship Id="rId4" Type="http://schemas.openxmlformats.org/officeDocument/2006/relationships/chart" Target="../charts/chart5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61.xml"/><Relationship Id="rId2" Type="http://schemas.openxmlformats.org/officeDocument/2006/relationships/chart" Target="../charts/chart60.xml"/><Relationship Id="rId1" Type="http://schemas.openxmlformats.org/officeDocument/2006/relationships/image" Target="../media/image14.jpeg"/><Relationship Id="rId6" Type="http://schemas.openxmlformats.org/officeDocument/2006/relationships/chart" Target="../charts/chart64.xml"/><Relationship Id="rId5" Type="http://schemas.openxmlformats.org/officeDocument/2006/relationships/chart" Target="../charts/chart63.xml"/><Relationship Id="rId4" Type="http://schemas.openxmlformats.org/officeDocument/2006/relationships/chart" Target="../charts/chart62.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image" Target="../media/image15.png"/><Relationship Id="rId5" Type="http://schemas.openxmlformats.org/officeDocument/2006/relationships/chart" Target="../charts/chart68.xml"/><Relationship Id="rId4" Type="http://schemas.openxmlformats.org/officeDocument/2006/relationships/chart" Target="../charts/chart6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jpe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4.png"/><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5.png"/><Relationship Id="rId5" Type="http://schemas.openxmlformats.org/officeDocument/2006/relationships/chart" Target="../charts/chart21.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6.png"/><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image" Target="../media/image7.png"/><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image" Target="../media/image8.png"/><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image" Target="../media/image9.png"/><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editAs="oneCell">
    <xdr:from>
      <xdr:col>15</xdr:col>
      <xdr:colOff>60960</xdr:colOff>
      <xdr:row>1</xdr:row>
      <xdr:rowOff>1</xdr:rowOff>
    </xdr:from>
    <xdr:to>
      <xdr:col>16</xdr:col>
      <xdr:colOff>411480</xdr:colOff>
      <xdr:row>4</xdr:row>
      <xdr:rowOff>17487</xdr:rowOff>
    </xdr:to>
    <xdr:pic>
      <xdr:nvPicPr>
        <xdr:cNvPr id="3" name="Picture 2" descr="Logos &amp; Brand Guidelines | NVIDI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78340" y="182881"/>
          <a:ext cx="1280160" cy="680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38100</xdr:colOff>
      <xdr:row>10</xdr:row>
      <xdr:rowOff>7620</xdr:rowOff>
    </xdr:from>
    <xdr:to>
      <xdr:col>22</xdr:col>
      <xdr:colOff>106680</xdr:colOff>
      <xdr:row>20</xdr:row>
      <xdr:rowOff>175260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xdr:colOff>
      <xdr:row>21</xdr:row>
      <xdr:rowOff>30480</xdr:rowOff>
    </xdr:from>
    <xdr:to>
      <xdr:col>22</xdr:col>
      <xdr:colOff>106680</xdr:colOff>
      <xdr:row>33</xdr:row>
      <xdr:rowOff>137160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45720</xdr:colOff>
      <xdr:row>33</xdr:row>
      <xdr:rowOff>167640</xdr:rowOff>
    </xdr:from>
    <xdr:to>
      <xdr:col>22</xdr:col>
      <xdr:colOff>152400</xdr:colOff>
      <xdr:row>45</xdr:row>
      <xdr:rowOff>160020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53340</xdr:colOff>
      <xdr:row>46</xdr:row>
      <xdr:rowOff>7620</xdr:rowOff>
    </xdr:from>
    <xdr:to>
      <xdr:col>22</xdr:col>
      <xdr:colOff>144780</xdr:colOff>
      <xdr:row>58</xdr:row>
      <xdr:rowOff>152400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53340</xdr:colOff>
      <xdr:row>59</xdr:row>
      <xdr:rowOff>7620</xdr:rowOff>
    </xdr:from>
    <xdr:to>
      <xdr:col>22</xdr:col>
      <xdr:colOff>137160</xdr:colOff>
      <xdr:row>72</xdr:row>
      <xdr:rowOff>76200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17</xdr:col>
      <xdr:colOff>15395</xdr:colOff>
      <xdr:row>0</xdr:row>
      <xdr:rowOff>177029</xdr:rowOff>
    </xdr:from>
    <xdr:to>
      <xdr:col>22</xdr:col>
      <xdr:colOff>346364</xdr:colOff>
      <xdr:row>6</xdr:row>
      <xdr:rowOff>46180</xdr:rowOff>
    </xdr:to>
    <xdr:pic>
      <xdr:nvPicPr>
        <xdr:cNvPr id="3" name="Picture 2" descr="ExxonMobil PNG Images Transparent Background | PNG Play"/>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30" t="27764" r="5569" b="19071"/>
        <a:stretch/>
      </xdr:blipFill>
      <xdr:spPr bwMode="auto">
        <a:xfrm>
          <a:off x="10937395" y="177029"/>
          <a:ext cx="3371272" cy="977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15396</xdr:colOff>
      <xdr:row>13</xdr:row>
      <xdr:rowOff>184726</xdr:rowOff>
    </xdr:from>
    <xdr:to>
      <xdr:col>22</xdr:col>
      <xdr:colOff>469516</xdr:colOff>
      <xdr:row>27</xdr:row>
      <xdr:rowOff>132388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38484</xdr:colOff>
      <xdr:row>28</xdr:row>
      <xdr:rowOff>7698</xdr:rowOff>
    </xdr:from>
    <xdr:to>
      <xdr:col>22</xdr:col>
      <xdr:colOff>469515</xdr:colOff>
      <xdr:row>41</xdr:row>
      <xdr:rowOff>16934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46181</xdr:colOff>
      <xdr:row>41</xdr:row>
      <xdr:rowOff>53878</xdr:rowOff>
    </xdr:from>
    <xdr:to>
      <xdr:col>22</xdr:col>
      <xdr:colOff>484909</xdr:colOff>
      <xdr:row>54</xdr:row>
      <xdr:rowOff>93902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23090</xdr:colOff>
      <xdr:row>54</xdr:row>
      <xdr:rowOff>123150</xdr:rowOff>
    </xdr:from>
    <xdr:to>
      <xdr:col>22</xdr:col>
      <xdr:colOff>492606</xdr:colOff>
      <xdr:row>66</xdr:row>
      <xdr:rowOff>78508</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19</xdr:col>
      <xdr:colOff>119380</xdr:colOff>
      <xdr:row>1</xdr:row>
      <xdr:rowOff>43147</xdr:rowOff>
    </xdr:from>
    <xdr:to>
      <xdr:col>24</xdr:col>
      <xdr:colOff>228600</xdr:colOff>
      <xdr:row>5</xdr:row>
      <xdr:rowOff>56537</xdr:rowOff>
    </xdr:to>
    <xdr:pic>
      <xdr:nvPicPr>
        <xdr:cNvPr id="7" name="Picture 6" descr="File:PayPal logo.svg - Wikimedia Common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16920" y="226027"/>
          <a:ext cx="3157220" cy="744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38100</xdr:colOff>
      <xdr:row>10</xdr:row>
      <xdr:rowOff>0</xdr:rowOff>
    </xdr:from>
    <xdr:to>
      <xdr:col>24</xdr:col>
      <xdr:colOff>259080</xdr:colOff>
      <xdr:row>21</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53340</xdr:colOff>
      <xdr:row>50</xdr:row>
      <xdr:rowOff>91440</xdr:rowOff>
    </xdr:from>
    <xdr:to>
      <xdr:col>24</xdr:col>
      <xdr:colOff>259080</xdr:colOff>
      <xdr:row>64</xdr:row>
      <xdr:rowOff>30480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45720</xdr:colOff>
      <xdr:row>64</xdr:row>
      <xdr:rowOff>83820</xdr:rowOff>
    </xdr:from>
    <xdr:to>
      <xdr:col>24</xdr:col>
      <xdr:colOff>259080</xdr:colOff>
      <xdr:row>77</xdr:row>
      <xdr:rowOff>137160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53340</xdr:colOff>
      <xdr:row>22</xdr:row>
      <xdr:rowOff>22860</xdr:rowOff>
    </xdr:from>
    <xdr:to>
      <xdr:col>24</xdr:col>
      <xdr:colOff>266700</xdr:colOff>
      <xdr:row>35</xdr:row>
      <xdr:rowOff>129540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53340</xdr:colOff>
      <xdr:row>35</xdr:row>
      <xdr:rowOff>167640</xdr:rowOff>
    </xdr:from>
    <xdr:to>
      <xdr:col>24</xdr:col>
      <xdr:colOff>259080</xdr:colOff>
      <xdr:row>50</xdr:row>
      <xdr:rowOff>45720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20</xdr:col>
      <xdr:colOff>298344</xdr:colOff>
      <xdr:row>0</xdr:row>
      <xdr:rowOff>169332</xdr:rowOff>
    </xdr:from>
    <xdr:to>
      <xdr:col>23</xdr:col>
      <xdr:colOff>372431</xdr:colOff>
      <xdr:row>6</xdr:row>
      <xdr:rowOff>123152</xdr:rowOff>
    </xdr:to>
    <xdr:pic>
      <xdr:nvPicPr>
        <xdr:cNvPr id="2" name="Picture 1" descr="File:Salesforce.com logo.svg - Wikipedi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35496" y="169332"/>
          <a:ext cx="1898269" cy="106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30788</xdr:colOff>
      <xdr:row>14</xdr:row>
      <xdr:rowOff>7696</xdr:rowOff>
    </xdr:from>
    <xdr:to>
      <xdr:col>25</xdr:col>
      <xdr:colOff>15240</xdr:colOff>
      <xdr:row>26</xdr:row>
      <xdr:rowOff>78508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30788</xdr:colOff>
      <xdr:row>26</xdr:row>
      <xdr:rowOff>123151</xdr:rowOff>
    </xdr:from>
    <xdr:to>
      <xdr:col>25</xdr:col>
      <xdr:colOff>30480</xdr:colOff>
      <xdr:row>37</xdr:row>
      <xdr:rowOff>155478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23092</xdr:colOff>
      <xdr:row>38</xdr:row>
      <xdr:rowOff>7696</xdr:rowOff>
    </xdr:from>
    <xdr:to>
      <xdr:col>25</xdr:col>
      <xdr:colOff>30480</xdr:colOff>
      <xdr:row>51</xdr:row>
      <xdr:rowOff>78508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23091</xdr:colOff>
      <xdr:row>51</xdr:row>
      <xdr:rowOff>115454</xdr:rowOff>
    </xdr:from>
    <xdr:to>
      <xdr:col>25</xdr:col>
      <xdr:colOff>38101</xdr:colOff>
      <xdr:row>65</xdr:row>
      <xdr:rowOff>78508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30787</xdr:colOff>
      <xdr:row>65</xdr:row>
      <xdr:rowOff>130771</xdr:rowOff>
    </xdr:from>
    <xdr:to>
      <xdr:col>25</xdr:col>
      <xdr:colOff>38100</xdr:colOff>
      <xdr:row>79</xdr:row>
      <xdr:rowOff>9159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17</xdr:col>
      <xdr:colOff>65946</xdr:colOff>
      <xdr:row>0</xdr:row>
      <xdr:rowOff>168015</xdr:rowOff>
    </xdr:from>
    <xdr:to>
      <xdr:col>22</xdr:col>
      <xdr:colOff>160020</xdr:colOff>
      <xdr:row>4</xdr:row>
      <xdr:rowOff>148045</xdr:rowOff>
    </xdr:to>
    <xdr:pic>
      <xdr:nvPicPr>
        <xdr:cNvPr id="2" name="Picture 1" descr="Microsoft Logo and symbol, meaning, history, PNG, brand"/>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331" b="24429"/>
        <a:stretch/>
      </xdr:blipFill>
      <xdr:spPr bwMode="auto">
        <a:xfrm>
          <a:off x="9949086" y="168015"/>
          <a:ext cx="3142074" cy="71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30480</xdr:colOff>
      <xdr:row>12</xdr:row>
      <xdr:rowOff>7620</xdr:rowOff>
    </xdr:from>
    <xdr:to>
      <xdr:col>22</xdr:col>
      <xdr:colOff>358140</xdr:colOff>
      <xdr:row>25</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30480</xdr:colOff>
      <xdr:row>25</xdr:row>
      <xdr:rowOff>76200</xdr:rowOff>
    </xdr:from>
    <xdr:to>
      <xdr:col>22</xdr:col>
      <xdr:colOff>403860</xdr:colOff>
      <xdr:row>38</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38100</xdr:colOff>
      <xdr:row>39</xdr:row>
      <xdr:rowOff>53340</xdr:rowOff>
    </xdr:from>
    <xdr:to>
      <xdr:col>22</xdr:col>
      <xdr:colOff>396240</xdr:colOff>
      <xdr:row>51</xdr:row>
      <xdr:rowOff>121920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45720</xdr:colOff>
      <xdr:row>51</xdr:row>
      <xdr:rowOff>167640</xdr:rowOff>
    </xdr:from>
    <xdr:to>
      <xdr:col>22</xdr:col>
      <xdr:colOff>396240</xdr:colOff>
      <xdr:row>64</xdr:row>
      <xdr:rowOff>45720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30480</xdr:colOff>
      <xdr:row>64</xdr:row>
      <xdr:rowOff>76200</xdr:rowOff>
    </xdr:from>
    <xdr:to>
      <xdr:col>22</xdr:col>
      <xdr:colOff>403860</xdr:colOff>
      <xdr:row>75</xdr:row>
      <xdr:rowOff>160020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18</xdr:col>
      <xdr:colOff>297180</xdr:colOff>
      <xdr:row>0</xdr:row>
      <xdr:rowOff>108057</xdr:rowOff>
    </xdr:from>
    <xdr:to>
      <xdr:col>22</xdr:col>
      <xdr:colOff>47963</xdr:colOff>
      <xdr:row>6</xdr:row>
      <xdr:rowOff>98063</xdr:rowOff>
    </xdr:to>
    <xdr:pic>
      <xdr:nvPicPr>
        <xdr:cNvPr id="2" name="Picture 1" descr="Broadcom Completes Acquisition of NetLogic Microsystems, In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89920" y="108057"/>
          <a:ext cx="2189183" cy="1087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30480</xdr:colOff>
      <xdr:row>12</xdr:row>
      <xdr:rowOff>175260</xdr:rowOff>
    </xdr:from>
    <xdr:to>
      <xdr:col>22</xdr:col>
      <xdr:colOff>594360</xdr:colOff>
      <xdr:row>25</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38100</xdr:colOff>
      <xdr:row>26</xdr:row>
      <xdr:rowOff>7620</xdr:rowOff>
    </xdr:from>
    <xdr:to>
      <xdr:col>23</xdr:col>
      <xdr:colOff>7620</xdr:colOff>
      <xdr:row>38</xdr:row>
      <xdr:rowOff>22860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45720</xdr:colOff>
      <xdr:row>38</xdr:row>
      <xdr:rowOff>60960</xdr:rowOff>
    </xdr:from>
    <xdr:to>
      <xdr:col>23</xdr:col>
      <xdr:colOff>15240</xdr:colOff>
      <xdr:row>50</xdr:row>
      <xdr:rowOff>99060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53340</xdr:colOff>
      <xdr:row>50</xdr:row>
      <xdr:rowOff>129540</xdr:rowOff>
    </xdr:from>
    <xdr:to>
      <xdr:col>23</xdr:col>
      <xdr:colOff>22860</xdr:colOff>
      <xdr:row>62</xdr:row>
      <xdr:rowOff>15240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15240</xdr:colOff>
      <xdr:row>62</xdr:row>
      <xdr:rowOff>68580</xdr:rowOff>
    </xdr:from>
    <xdr:to>
      <xdr:col>23</xdr:col>
      <xdr:colOff>0</xdr:colOff>
      <xdr:row>74</xdr:row>
      <xdr:rowOff>167640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17</xdr:col>
      <xdr:colOff>0</xdr:colOff>
      <xdr:row>2</xdr:row>
      <xdr:rowOff>0</xdr:rowOff>
    </xdr:from>
    <xdr:to>
      <xdr:col>17</xdr:col>
      <xdr:colOff>304800</xdr:colOff>
      <xdr:row>3</xdr:row>
      <xdr:rowOff>121920</xdr:rowOff>
    </xdr:to>
    <xdr:sp macro="" textlink="">
      <xdr:nvSpPr>
        <xdr:cNvPr id="15362" name="AutoShape 2" descr="Amgen | A Worldwide Pioneer in Biotechnology"/>
        <xdr:cNvSpPr>
          <a:spLocks noChangeAspect="1" noChangeArrowheads="1"/>
        </xdr:cNvSpPr>
      </xdr:nvSpPr>
      <xdr:spPr bwMode="auto">
        <a:xfrm>
          <a:off x="9883140" y="36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3</xdr:row>
      <xdr:rowOff>0</xdr:rowOff>
    </xdr:from>
    <xdr:to>
      <xdr:col>19</xdr:col>
      <xdr:colOff>304800</xdr:colOff>
      <xdr:row>4</xdr:row>
      <xdr:rowOff>121920</xdr:rowOff>
    </xdr:to>
    <xdr:sp macro="" textlink="">
      <xdr:nvSpPr>
        <xdr:cNvPr id="15363" name="AutoShape 3" descr="Amgen | A Worldwide Pioneer in Biotechnology"/>
        <xdr:cNvSpPr>
          <a:spLocks noChangeAspect="1" noChangeArrowheads="1"/>
        </xdr:cNvSpPr>
      </xdr:nvSpPr>
      <xdr:spPr bwMode="auto">
        <a:xfrm>
          <a:off x="11102340" y="548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2</xdr:row>
      <xdr:rowOff>0</xdr:rowOff>
    </xdr:from>
    <xdr:to>
      <xdr:col>21</xdr:col>
      <xdr:colOff>304800</xdr:colOff>
      <xdr:row>3</xdr:row>
      <xdr:rowOff>121920</xdr:rowOff>
    </xdr:to>
    <xdr:sp macro="" textlink="">
      <xdr:nvSpPr>
        <xdr:cNvPr id="15364" name="AutoShape 4" descr="Amgen | A Worldwide Pioneer in Biotechnology"/>
        <xdr:cNvSpPr>
          <a:spLocks noChangeAspect="1" noChangeArrowheads="1"/>
        </xdr:cNvSpPr>
      </xdr:nvSpPr>
      <xdr:spPr bwMode="auto">
        <a:xfrm>
          <a:off x="12321540" y="36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579120</xdr:colOff>
      <xdr:row>1</xdr:row>
      <xdr:rowOff>70011</xdr:rowOff>
    </xdr:from>
    <xdr:to>
      <xdr:col>22</xdr:col>
      <xdr:colOff>449580</xdr:colOff>
      <xdr:row>5</xdr:row>
      <xdr:rowOff>144780</xdr:rowOff>
    </xdr:to>
    <xdr:pic>
      <xdr:nvPicPr>
        <xdr:cNvPr id="6" name="Picture 5" descr="PharmaBoardroom - Am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0940" y="252891"/>
          <a:ext cx="2918460" cy="806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30480</xdr:colOff>
      <xdr:row>13</xdr:row>
      <xdr:rowOff>7620</xdr:rowOff>
    </xdr:from>
    <xdr:to>
      <xdr:col>22</xdr:col>
      <xdr:colOff>586740</xdr:colOff>
      <xdr:row>25</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22860</xdr:colOff>
      <xdr:row>25</xdr:row>
      <xdr:rowOff>114300</xdr:rowOff>
    </xdr:from>
    <xdr:to>
      <xdr:col>22</xdr:col>
      <xdr:colOff>594360</xdr:colOff>
      <xdr:row>38</xdr:row>
      <xdr:rowOff>22860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22013</xdr:colOff>
      <xdr:row>38</xdr:row>
      <xdr:rowOff>93980</xdr:rowOff>
    </xdr:from>
    <xdr:to>
      <xdr:col>22</xdr:col>
      <xdr:colOff>594361</xdr:colOff>
      <xdr:row>50</xdr:row>
      <xdr:rowOff>116840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33867</xdr:colOff>
      <xdr:row>50</xdr:row>
      <xdr:rowOff>135466</xdr:rowOff>
    </xdr:from>
    <xdr:to>
      <xdr:col>22</xdr:col>
      <xdr:colOff>594361</xdr:colOff>
      <xdr:row>63</xdr:row>
      <xdr:rowOff>59266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99060</xdr:colOff>
      <xdr:row>1</xdr:row>
      <xdr:rowOff>7620</xdr:rowOff>
    </xdr:from>
    <xdr:to>
      <xdr:col>16</xdr:col>
      <xdr:colOff>601980</xdr:colOff>
      <xdr:row>6</xdr:row>
      <xdr:rowOff>0</xdr:rowOff>
    </xdr:to>
    <xdr:pic>
      <xdr:nvPicPr>
        <xdr:cNvPr id="3" name="Picture 2" descr="Highest paying jobs at Enphase Energy"/>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0500"/>
          <a:ext cx="111252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37321</xdr:colOff>
      <xdr:row>12</xdr:row>
      <xdr:rowOff>154</xdr:rowOff>
    </xdr:from>
    <xdr:to>
      <xdr:col>23</xdr:col>
      <xdr:colOff>93306</xdr:colOff>
      <xdr:row>25</xdr:row>
      <xdr:rowOff>31102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29703</xdr:colOff>
      <xdr:row>38</xdr:row>
      <xdr:rowOff>169507</xdr:rowOff>
    </xdr:from>
    <xdr:to>
      <xdr:col>23</xdr:col>
      <xdr:colOff>93306</xdr:colOff>
      <xdr:row>51</xdr:row>
      <xdr:rowOff>139959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21770</xdr:colOff>
      <xdr:row>51</xdr:row>
      <xdr:rowOff>159864</xdr:rowOff>
    </xdr:from>
    <xdr:to>
      <xdr:col>23</xdr:col>
      <xdr:colOff>69980</xdr:colOff>
      <xdr:row>65</xdr:row>
      <xdr:rowOff>155510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37322</xdr:colOff>
      <xdr:row>25</xdr:row>
      <xdr:rowOff>50854</xdr:rowOff>
    </xdr:from>
    <xdr:to>
      <xdr:col>23</xdr:col>
      <xdr:colOff>108858</xdr:colOff>
      <xdr:row>38</xdr:row>
      <xdr:rowOff>101083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149135</xdr:colOff>
      <xdr:row>0</xdr:row>
      <xdr:rowOff>53340</xdr:rowOff>
    </xdr:from>
    <xdr:to>
      <xdr:col>16</xdr:col>
      <xdr:colOff>38643</xdr:colOff>
      <xdr:row>5</xdr:row>
      <xdr:rowOff>152400</xdr:rowOff>
    </xdr:to>
    <xdr:pic>
      <xdr:nvPicPr>
        <xdr:cNvPr id="3" name="Picture 2" descr="AMD Logo and symbol, meaning, history, PNG, brand | ? logo, Amd, Logo  evolutio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3933" b="24423"/>
        <a:stretch/>
      </xdr:blipFill>
      <xdr:spPr bwMode="auto">
        <a:xfrm>
          <a:off x="8813075" y="53340"/>
          <a:ext cx="3402328" cy="1097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60960</xdr:colOff>
      <xdr:row>12</xdr:row>
      <xdr:rowOff>7620</xdr:rowOff>
    </xdr:from>
    <xdr:to>
      <xdr:col>22</xdr:col>
      <xdr:colOff>403860</xdr:colOff>
      <xdr:row>22</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60960</xdr:colOff>
      <xdr:row>22</xdr:row>
      <xdr:rowOff>144780</xdr:rowOff>
    </xdr:from>
    <xdr:to>
      <xdr:col>22</xdr:col>
      <xdr:colOff>396240</xdr:colOff>
      <xdr:row>34</xdr:row>
      <xdr:rowOff>144780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xdr:colOff>
      <xdr:row>35</xdr:row>
      <xdr:rowOff>22860</xdr:rowOff>
    </xdr:from>
    <xdr:to>
      <xdr:col>22</xdr:col>
      <xdr:colOff>388620</xdr:colOff>
      <xdr:row>46</xdr:row>
      <xdr:rowOff>99060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68580</xdr:colOff>
      <xdr:row>46</xdr:row>
      <xdr:rowOff>160020</xdr:rowOff>
    </xdr:from>
    <xdr:to>
      <xdr:col>22</xdr:col>
      <xdr:colOff>365760</xdr:colOff>
      <xdr:row>59</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45551</xdr:colOff>
      <xdr:row>1</xdr:row>
      <xdr:rowOff>0</xdr:rowOff>
    </xdr:from>
    <xdr:to>
      <xdr:col>22</xdr:col>
      <xdr:colOff>449580</xdr:colOff>
      <xdr:row>5</xdr:row>
      <xdr:rowOff>137160</xdr:rowOff>
    </xdr:to>
    <xdr:pic>
      <xdr:nvPicPr>
        <xdr:cNvPr id="2" name="Picture 1" descr="Adobe Logo and symbol, meaning, history, PNG, brand"/>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635" t="30395" r="7509" b="29786"/>
        <a:stretch/>
      </xdr:blipFill>
      <xdr:spPr bwMode="auto">
        <a:xfrm>
          <a:off x="9463871" y="182880"/>
          <a:ext cx="4671229" cy="1120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68580</xdr:colOff>
      <xdr:row>12</xdr:row>
      <xdr:rowOff>160020</xdr:rowOff>
    </xdr:from>
    <xdr:to>
      <xdr:col>23</xdr:col>
      <xdr:colOff>251460</xdr:colOff>
      <xdr:row>23</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586740</xdr:colOff>
      <xdr:row>23</xdr:row>
      <xdr:rowOff>175260</xdr:rowOff>
    </xdr:from>
    <xdr:to>
      <xdr:col>23</xdr:col>
      <xdr:colOff>449580</xdr:colOff>
      <xdr:row>36</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121920</xdr:colOff>
      <xdr:row>37</xdr:row>
      <xdr:rowOff>30480</xdr:rowOff>
    </xdr:from>
    <xdr:to>
      <xdr:col>23</xdr:col>
      <xdr:colOff>464820</xdr:colOff>
      <xdr:row>49</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190500</xdr:colOff>
      <xdr:row>49</xdr:row>
      <xdr:rowOff>152400</xdr:rowOff>
    </xdr:from>
    <xdr:to>
      <xdr:col>23</xdr:col>
      <xdr:colOff>495300</xdr:colOff>
      <xdr:row>63</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83819</xdr:colOff>
      <xdr:row>1</xdr:row>
      <xdr:rowOff>45720</xdr:rowOff>
    </xdr:from>
    <xdr:to>
      <xdr:col>22</xdr:col>
      <xdr:colOff>429440</xdr:colOff>
      <xdr:row>5</xdr:row>
      <xdr:rowOff>91440</xdr:rowOff>
    </xdr:to>
    <xdr:pic>
      <xdr:nvPicPr>
        <xdr:cNvPr id="2" name="Picture 1" descr="QUALCOMM | CODICO.com"/>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0666" b="44445"/>
        <a:stretch/>
      </xdr:blipFill>
      <xdr:spPr bwMode="auto">
        <a:xfrm>
          <a:off x="8747759" y="228600"/>
          <a:ext cx="4612821" cy="861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15240</xdr:colOff>
      <xdr:row>14</xdr:row>
      <xdr:rowOff>0</xdr:rowOff>
    </xdr:from>
    <xdr:to>
      <xdr:col>22</xdr:col>
      <xdr:colOff>571500</xdr:colOff>
      <xdr:row>25</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15240</xdr:colOff>
      <xdr:row>26</xdr:row>
      <xdr:rowOff>38100</xdr:rowOff>
    </xdr:from>
    <xdr:to>
      <xdr:col>22</xdr:col>
      <xdr:colOff>563880</xdr:colOff>
      <xdr:row>37</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45720</xdr:colOff>
      <xdr:row>37</xdr:row>
      <xdr:rowOff>121920</xdr:rowOff>
    </xdr:from>
    <xdr:to>
      <xdr:col>23</xdr:col>
      <xdr:colOff>7620</xdr:colOff>
      <xdr:row>50</xdr:row>
      <xdr:rowOff>99060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22860</xdr:colOff>
      <xdr:row>50</xdr:row>
      <xdr:rowOff>83820</xdr:rowOff>
    </xdr:from>
    <xdr:to>
      <xdr:col>23</xdr:col>
      <xdr:colOff>38100</xdr:colOff>
      <xdr:row>62</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121920</xdr:colOff>
      <xdr:row>0</xdr:row>
      <xdr:rowOff>114300</xdr:rowOff>
    </xdr:from>
    <xdr:to>
      <xdr:col>20</xdr:col>
      <xdr:colOff>38100</xdr:colOff>
      <xdr:row>11</xdr:row>
      <xdr:rowOff>53340</xdr:rowOff>
    </xdr:to>
    <xdr:pic>
      <xdr:nvPicPr>
        <xdr:cNvPr id="2" name="Picture 1" descr="File:Tesla logo.png - Wikipedia"/>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92" t="5573" r="18103" b="8525"/>
        <a:stretch/>
      </xdr:blipFill>
      <xdr:spPr bwMode="auto">
        <a:xfrm>
          <a:off x="10005060" y="114300"/>
          <a:ext cx="1744980" cy="1996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53340</xdr:colOff>
      <xdr:row>12</xdr:row>
      <xdr:rowOff>129540</xdr:rowOff>
    </xdr:from>
    <xdr:to>
      <xdr:col>22</xdr:col>
      <xdr:colOff>297180</xdr:colOff>
      <xdr:row>24</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22860</xdr:colOff>
      <xdr:row>24</xdr:row>
      <xdr:rowOff>175260</xdr:rowOff>
    </xdr:from>
    <xdr:to>
      <xdr:col>22</xdr:col>
      <xdr:colOff>327660</xdr:colOff>
      <xdr:row>36</xdr:row>
      <xdr:rowOff>45720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45720</xdr:colOff>
      <xdr:row>36</xdr:row>
      <xdr:rowOff>15240</xdr:rowOff>
    </xdr:from>
    <xdr:to>
      <xdr:col>22</xdr:col>
      <xdr:colOff>289560</xdr:colOff>
      <xdr:row>47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22860</xdr:colOff>
      <xdr:row>47</xdr:row>
      <xdr:rowOff>121920</xdr:rowOff>
    </xdr:from>
    <xdr:to>
      <xdr:col>22</xdr:col>
      <xdr:colOff>365760</xdr:colOff>
      <xdr:row>59</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38100</xdr:colOff>
      <xdr:row>59</xdr:row>
      <xdr:rowOff>15240</xdr:rowOff>
    </xdr:from>
    <xdr:to>
      <xdr:col>22</xdr:col>
      <xdr:colOff>396240</xdr:colOff>
      <xdr:row>72</xdr:row>
      <xdr:rowOff>15240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17</xdr:col>
      <xdr:colOff>45720</xdr:colOff>
      <xdr:row>0</xdr:row>
      <xdr:rowOff>160020</xdr:rowOff>
    </xdr:from>
    <xdr:to>
      <xdr:col>23</xdr:col>
      <xdr:colOff>85898</xdr:colOff>
      <xdr:row>7</xdr:row>
      <xdr:rowOff>76200</xdr:rowOff>
    </xdr:to>
    <xdr:pic>
      <xdr:nvPicPr>
        <xdr:cNvPr id="2" name="Picture 1" descr="Ansys vector logo (.EPS + .SVG) download for free"/>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80" t="35027" r="4011" b="35561"/>
        <a:stretch/>
      </xdr:blipFill>
      <xdr:spPr bwMode="auto">
        <a:xfrm>
          <a:off x="10462260" y="160020"/>
          <a:ext cx="3697778" cy="1196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22860</xdr:colOff>
      <xdr:row>12</xdr:row>
      <xdr:rowOff>0</xdr:rowOff>
    </xdr:from>
    <xdr:to>
      <xdr:col>23</xdr:col>
      <xdr:colOff>22860</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xdr:colOff>
      <xdr:row>23</xdr:row>
      <xdr:rowOff>129540</xdr:rowOff>
    </xdr:from>
    <xdr:to>
      <xdr:col>23</xdr:col>
      <xdr:colOff>45720</xdr:colOff>
      <xdr:row>35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38100</xdr:colOff>
      <xdr:row>35</xdr:row>
      <xdr:rowOff>144780</xdr:rowOff>
    </xdr:from>
    <xdr:to>
      <xdr:col>23</xdr:col>
      <xdr:colOff>152400</xdr:colOff>
      <xdr:row>49</xdr:row>
      <xdr:rowOff>15240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45720</xdr:colOff>
      <xdr:row>49</xdr:row>
      <xdr:rowOff>68580</xdr:rowOff>
    </xdr:from>
    <xdr:to>
      <xdr:col>23</xdr:col>
      <xdr:colOff>190500</xdr:colOff>
      <xdr:row>63</xdr:row>
      <xdr:rowOff>121920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45720</xdr:colOff>
      <xdr:row>63</xdr:row>
      <xdr:rowOff>76200</xdr:rowOff>
    </xdr:from>
    <xdr:to>
      <xdr:col>23</xdr:col>
      <xdr:colOff>83820</xdr:colOff>
      <xdr:row>75</xdr:row>
      <xdr:rowOff>175260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41910</xdr:colOff>
      <xdr:row>1</xdr:row>
      <xdr:rowOff>26125</xdr:rowOff>
    </xdr:from>
    <xdr:to>
      <xdr:col>22</xdr:col>
      <xdr:colOff>99060</xdr:colOff>
      <xdr:row>5</xdr:row>
      <xdr:rowOff>144780</xdr:rowOff>
    </xdr:to>
    <xdr:pic>
      <xdr:nvPicPr>
        <xdr:cNvPr id="3" name="Picture 2" descr="Lockheed Martin Logo and symbol, meaning, history, PNG, brand"/>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874" b="32910"/>
        <a:stretch/>
      </xdr:blipFill>
      <xdr:spPr bwMode="auto">
        <a:xfrm rot="10800000" flipH="1" flipV="1">
          <a:off x="10991850" y="209005"/>
          <a:ext cx="3105150" cy="85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38100</xdr:colOff>
      <xdr:row>12</xdr:row>
      <xdr:rowOff>7620</xdr:rowOff>
    </xdr:from>
    <xdr:to>
      <xdr:col>22</xdr:col>
      <xdr:colOff>175260</xdr:colOff>
      <xdr:row>23</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30480</xdr:colOff>
      <xdr:row>23</xdr:row>
      <xdr:rowOff>160020</xdr:rowOff>
    </xdr:from>
    <xdr:to>
      <xdr:col>22</xdr:col>
      <xdr:colOff>190500</xdr:colOff>
      <xdr:row>37</xdr:row>
      <xdr:rowOff>99060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38100</xdr:colOff>
      <xdr:row>37</xdr:row>
      <xdr:rowOff>144780</xdr:rowOff>
    </xdr:from>
    <xdr:to>
      <xdr:col>22</xdr:col>
      <xdr:colOff>167640</xdr:colOff>
      <xdr:row>50</xdr:row>
      <xdr:rowOff>15240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38100</xdr:colOff>
      <xdr:row>50</xdr:row>
      <xdr:rowOff>68580</xdr:rowOff>
    </xdr:from>
    <xdr:to>
      <xdr:col>22</xdr:col>
      <xdr:colOff>182880</xdr:colOff>
      <xdr:row>62</xdr:row>
      <xdr:rowOff>144780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30480</xdr:colOff>
      <xdr:row>63</xdr:row>
      <xdr:rowOff>15240</xdr:rowOff>
    </xdr:from>
    <xdr:to>
      <xdr:col>22</xdr:col>
      <xdr:colOff>190500</xdr:colOff>
      <xdr:row>76</xdr:row>
      <xdr:rowOff>15240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18</xdr:col>
      <xdr:colOff>43700</xdr:colOff>
      <xdr:row>1</xdr:row>
      <xdr:rowOff>22860</xdr:rowOff>
    </xdr:from>
    <xdr:to>
      <xdr:col>22</xdr:col>
      <xdr:colOff>586740</xdr:colOff>
      <xdr:row>6</xdr:row>
      <xdr:rowOff>1029</xdr:rowOff>
    </xdr:to>
    <xdr:pic>
      <xdr:nvPicPr>
        <xdr:cNvPr id="3" name="Picture 2" descr="File:Raytheon Technologies logo.svg - Wikimedia Common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7000" y="205740"/>
          <a:ext cx="2981440" cy="8925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38100</xdr:colOff>
      <xdr:row>12</xdr:row>
      <xdr:rowOff>160020</xdr:rowOff>
    </xdr:from>
    <xdr:to>
      <xdr:col>22</xdr:col>
      <xdr:colOff>579120</xdr:colOff>
      <xdr:row>25</xdr:row>
      <xdr:rowOff>45720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30480</xdr:colOff>
      <xdr:row>25</xdr:row>
      <xdr:rowOff>99060</xdr:rowOff>
    </xdr:from>
    <xdr:to>
      <xdr:col>22</xdr:col>
      <xdr:colOff>601980</xdr:colOff>
      <xdr:row>38</xdr:row>
      <xdr:rowOff>167640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30480</xdr:colOff>
      <xdr:row>39</xdr:row>
      <xdr:rowOff>30480</xdr:rowOff>
    </xdr:from>
    <xdr:to>
      <xdr:col>23</xdr:col>
      <xdr:colOff>7620</xdr:colOff>
      <xdr:row>51</xdr:row>
      <xdr:rowOff>91440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30480</xdr:colOff>
      <xdr:row>51</xdr:row>
      <xdr:rowOff>152400</xdr:rowOff>
    </xdr:from>
    <xdr:to>
      <xdr:col>23</xdr:col>
      <xdr:colOff>15240</xdr:colOff>
      <xdr:row>63</xdr:row>
      <xdr:rowOff>7620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8F46BC2-D8AE-4449-ADEC-FF9FF78E6F75}" protected="1">
  <header guid="{B8F46BC2-D8AE-4449-ADEC-FF9FF78E6F75}" dateTime="2023-07-12T09:53:09" maxSheetId="32" userName="SHOUHAM. B.BANERJEE" r:id="rId1">
    <sheetIdMap count="31">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 val="3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I89"/>
  <sheetViews>
    <sheetView showGridLines="0" topLeftCell="A40" workbookViewId="0">
      <selection activeCell="C56" sqref="C56"/>
    </sheetView>
  </sheetViews>
  <sheetFormatPr defaultRowHeight="14.4" x14ac:dyDescent="0.3"/>
  <cols>
    <col min="1" max="1" width="1.88671875" customWidth="1"/>
    <col min="2" max="2" width="63.109375" bestFit="1" customWidth="1"/>
    <col min="3" max="5" width="15.6640625" customWidth="1"/>
    <col min="6" max="6" width="18.5546875" customWidth="1"/>
  </cols>
  <sheetData>
    <row r="2" spans="2:9" ht="21" x14ac:dyDescent="0.4">
      <c r="B2" s="5" t="s">
        <v>113</v>
      </c>
    </row>
    <row r="3" spans="2:9" ht="15" thickBot="1" x14ac:dyDescent="0.35"/>
    <row r="4" spans="2:9" ht="18.600000000000001" thickBot="1" x14ac:dyDescent="0.35">
      <c r="B4" s="25" t="s">
        <v>0</v>
      </c>
      <c r="C4" s="1" t="s">
        <v>4</v>
      </c>
      <c r="D4" s="1" t="s">
        <v>3</v>
      </c>
      <c r="E4" s="1" t="s">
        <v>2</v>
      </c>
      <c r="F4" s="1" t="s">
        <v>1</v>
      </c>
      <c r="I4" s="10"/>
    </row>
    <row r="5" spans="2:9" ht="15" thickBot="1" x14ac:dyDescent="0.35">
      <c r="B5" s="26" t="s">
        <v>5</v>
      </c>
      <c r="C5" s="13">
        <v>10918000</v>
      </c>
      <c r="D5" s="13">
        <v>16675000</v>
      </c>
      <c r="E5" s="13">
        <v>26914000</v>
      </c>
      <c r="F5" s="13">
        <v>26974000</v>
      </c>
    </row>
    <row r="6" spans="2:9" ht="15" thickBot="1" x14ac:dyDescent="0.35">
      <c r="B6" s="32" t="s">
        <v>6</v>
      </c>
      <c r="C6" s="13">
        <v>4150000</v>
      </c>
      <c r="D6" s="13">
        <v>6279000</v>
      </c>
      <c r="E6" s="13">
        <v>9439000</v>
      </c>
      <c r="F6" s="13">
        <v>11618000</v>
      </c>
    </row>
    <row r="7" spans="2:9" ht="15" thickBot="1" x14ac:dyDescent="0.35">
      <c r="B7" s="26" t="s">
        <v>7</v>
      </c>
      <c r="C7" s="13">
        <v>6768000</v>
      </c>
      <c r="D7" s="13">
        <v>10396000</v>
      </c>
      <c r="E7" s="13">
        <v>17475000</v>
      </c>
      <c r="F7" s="13">
        <v>15356000</v>
      </c>
    </row>
    <row r="8" spans="2:9" ht="15" thickBot="1" x14ac:dyDescent="0.35">
      <c r="B8" s="26" t="s">
        <v>8</v>
      </c>
      <c r="C8" s="11"/>
      <c r="D8" s="11"/>
      <c r="E8" s="11"/>
      <c r="F8" s="11"/>
    </row>
    <row r="9" spans="2:9" ht="15" thickBot="1" x14ac:dyDescent="0.35">
      <c r="B9" s="31" t="s">
        <v>9</v>
      </c>
      <c r="C9" s="11">
        <v>2829000</v>
      </c>
      <c r="D9" s="11">
        <v>3924000</v>
      </c>
      <c r="E9" s="11">
        <v>5268000</v>
      </c>
      <c r="F9" s="11">
        <v>7339000</v>
      </c>
    </row>
    <row r="10" spans="2:9" ht="15" thickBot="1" x14ac:dyDescent="0.35">
      <c r="B10" s="31" t="s">
        <v>10</v>
      </c>
      <c r="C10" s="11">
        <v>1093000</v>
      </c>
      <c r="D10" s="11">
        <v>1940000</v>
      </c>
      <c r="E10" s="11">
        <v>2166000</v>
      </c>
      <c r="F10" s="11">
        <v>2440000</v>
      </c>
    </row>
    <row r="11" spans="2:9" ht="15" thickBot="1" x14ac:dyDescent="0.35">
      <c r="B11" s="31" t="s">
        <v>11</v>
      </c>
      <c r="C11" s="11">
        <v>0</v>
      </c>
      <c r="D11" s="11">
        <v>0</v>
      </c>
      <c r="E11" s="11">
        <v>0</v>
      </c>
      <c r="F11" s="11">
        <v>1353000</v>
      </c>
    </row>
    <row r="12" spans="2:9" ht="15" thickBot="1" x14ac:dyDescent="0.35">
      <c r="B12" s="32" t="s">
        <v>13</v>
      </c>
      <c r="C12" s="11">
        <v>0</v>
      </c>
      <c r="D12" s="11">
        <v>0</v>
      </c>
      <c r="E12" s="11">
        <v>0</v>
      </c>
      <c r="F12" s="11">
        <v>0</v>
      </c>
    </row>
    <row r="13" spans="2:9" ht="15" thickBot="1" x14ac:dyDescent="0.35">
      <c r="B13" s="26" t="s">
        <v>14</v>
      </c>
      <c r="C13" s="11">
        <v>2846000</v>
      </c>
      <c r="D13" s="11">
        <v>4532000</v>
      </c>
      <c r="E13" s="11">
        <v>10041000</v>
      </c>
      <c r="F13" s="11">
        <v>4224000</v>
      </c>
    </row>
    <row r="14" spans="2:9" ht="15" thickBot="1" x14ac:dyDescent="0.35">
      <c r="B14" s="31" t="s">
        <v>15</v>
      </c>
      <c r="C14" s="11">
        <v>176000</v>
      </c>
      <c r="D14" s="11">
        <v>61000</v>
      </c>
      <c r="E14" s="11">
        <v>136000</v>
      </c>
      <c r="F14" s="11">
        <v>219000</v>
      </c>
    </row>
    <row r="15" spans="2:9" ht="15" thickBot="1" x14ac:dyDescent="0.35">
      <c r="B15" s="26" t="s">
        <v>16</v>
      </c>
      <c r="C15" s="11">
        <v>3022000</v>
      </c>
      <c r="D15" s="11">
        <v>4593000</v>
      </c>
      <c r="E15" s="11">
        <v>10177000</v>
      </c>
      <c r="F15" s="11">
        <v>4443000</v>
      </c>
    </row>
    <row r="16" spans="2:9" ht="15" thickBot="1" x14ac:dyDescent="0.35">
      <c r="B16" s="31" t="s">
        <v>17</v>
      </c>
      <c r="C16" s="11">
        <v>52000</v>
      </c>
      <c r="D16" s="11">
        <v>184000</v>
      </c>
      <c r="E16" s="11">
        <v>236000</v>
      </c>
      <c r="F16" s="11">
        <v>262000</v>
      </c>
    </row>
    <row r="17" spans="2:6" ht="15" thickBot="1" x14ac:dyDescent="0.35">
      <c r="B17" s="31" t="s">
        <v>18</v>
      </c>
      <c r="C17" s="11">
        <v>2970000</v>
      </c>
      <c r="D17" s="11">
        <v>4409000</v>
      </c>
      <c r="E17" s="11">
        <v>9941000</v>
      </c>
      <c r="F17" s="11">
        <v>4181000</v>
      </c>
    </row>
    <row r="18" spans="2:6" ht="15" thickBot="1" x14ac:dyDescent="0.35">
      <c r="B18" s="31" t="s">
        <v>19</v>
      </c>
      <c r="C18" s="11">
        <v>174000</v>
      </c>
      <c r="D18" s="11">
        <v>77000</v>
      </c>
      <c r="E18" s="11">
        <v>189000</v>
      </c>
      <c r="F18" s="11">
        <v>-187000</v>
      </c>
    </row>
    <row r="19" spans="2:6" ht="15" thickBot="1" x14ac:dyDescent="0.35">
      <c r="B19" s="31" t="s">
        <v>20</v>
      </c>
      <c r="C19" s="11">
        <v>0</v>
      </c>
      <c r="D19" s="11">
        <v>0</v>
      </c>
      <c r="E19" s="11">
        <v>0</v>
      </c>
      <c r="F19" s="11">
        <v>0</v>
      </c>
    </row>
    <row r="20" spans="2:6" ht="15" thickBot="1" x14ac:dyDescent="0.35">
      <c r="B20" s="31" t="s">
        <v>21</v>
      </c>
      <c r="C20" s="11">
        <v>0</v>
      </c>
      <c r="D20" s="11">
        <v>0</v>
      </c>
      <c r="E20" s="11">
        <v>0</v>
      </c>
      <c r="F20" s="11">
        <v>0</v>
      </c>
    </row>
    <row r="21" spans="2:6" ht="15" thickBot="1" x14ac:dyDescent="0.35">
      <c r="B21" s="32" t="s">
        <v>22</v>
      </c>
      <c r="C21" s="11">
        <v>2796000</v>
      </c>
      <c r="D21" s="11">
        <v>4332000</v>
      </c>
      <c r="E21" s="11">
        <v>9752000</v>
      </c>
      <c r="F21" s="11">
        <v>4368000</v>
      </c>
    </row>
    <row r="22" spans="2:6" ht="15" thickBot="1" x14ac:dyDescent="0.35">
      <c r="B22" s="27" t="s">
        <v>23</v>
      </c>
      <c r="C22" s="11">
        <v>2796000</v>
      </c>
      <c r="D22" s="11">
        <v>4332000</v>
      </c>
      <c r="E22" s="11">
        <v>9752000</v>
      </c>
      <c r="F22" s="11">
        <v>4368000</v>
      </c>
    </row>
    <row r="23" spans="2:6" ht="15" thickBot="1" x14ac:dyDescent="0.35">
      <c r="B23" s="33" t="s">
        <v>24</v>
      </c>
      <c r="C23" s="11">
        <v>2796000</v>
      </c>
      <c r="D23" s="11">
        <v>4332000</v>
      </c>
      <c r="E23" s="11">
        <v>9752000</v>
      </c>
      <c r="F23" s="11">
        <v>4368000</v>
      </c>
    </row>
    <row r="24" spans="2:6" x14ac:dyDescent="0.3">
      <c r="B24" s="35" t="s">
        <v>160</v>
      </c>
      <c r="C24" s="11">
        <v>323240000</v>
      </c>
      <c r="D24" s="11">
        <v>735270000</v>
      </c>
      <c r="E24" s="11">
        <v>364180000</v>
      </c>
      <c r="F24" s="11">
        <v>1044000000</v>
      </c>
    </row>
    <row r="25" spans="2:6" x14ac:dyDescent="0.3">
      <c r="B25" s="4" t="s">
        <v>114</v>
      </c>
      <c r="E25" s="11"/>
      <c r="F25" s="11"/>
    </row>
    <row r="26" spans="2:6" ht="15" thickBot="1" x14ac:dyDescent="0.35">
      <c r="B26" s="28"/>
      <c r="C26" s="11"/>
      <c r="D26" s="11"/>
      <c r="E26" s="11"/>
      <c r="F26" s="11"/>
    </row>
    <row r="27" spans="2:6" ht="15" thickBot="1" x14ac:dyDescent="0.35">
      <c r="B27" s="29" t="s">
        <v>0</v>
      </c>
      <c r="C27" s="11" t="s">
        <v>4</v>
      </c>
      <c r="D27" s="11" t="s">
        <v>3</v>
      </c>
      <c r="E27" s="11" t="s">
        <v>2</v>
      </c>
      <c r="F27" s="11" t="s">
        <v>1</v>
      </c>
    </row>
    <row r="28" spans="2:6" ht="15" thickBot="1" x14ac:dyDescent="0.35">
      <c r="B28" s="30" t="s">
        <v>25</v>
      </c>
      <c r="C28" s="11"/>
      <c r="D28" s="11"/>
      <c r="E28" s="11"/>
      <c r="F28" s="11"/>
    </row>
    <row r="29" spans="2:6" ht="15" thickBot="1" x14ac:dyDescent="0.35">
      <c r="B29" s="34" t="s">
        <v>26</v>
      </c>
      <c r="C29" s="11">
        <v>10896000</v>
      </c>
      <c r="D29" s="11">
        <v>847000</v>
      </c>
      <c r="E29" s="11">
        <v>1990000</v>
      </c>
      <c r="F29" s="11">
        <v>3389000</v>
      </c>
    </row>
    <row r="30" spans="2:6" ht="15" thickBot="1" x14ac:dyDescent="0.35">
      <c r="B30" s="34" t="s">
        <v>27</v>
      </c>
      <c r="C30" s="11">
        <v>1000</v>
      </c>
      <c r="D30" s="11">
        <v>10714000</v>
      </c>
      <c r="E30" s="11">
        <v>19218000</v>
      </c>
      <c r="F30" s="11">
        <v>9907000</v>
      </c>
    </row>
    <row r="31" spans="2:6" ht="15" thickBot="1" x14ac:dyDescent="0.35">
      <c r="B31" s="34" t="s">
        <v>28</v>
      </c>
      <c r="C31" s="11">
        <v>1657000</v>
      </c>
      <c r="D31" s="11">
        <v>2429000</v>
      </c>
      <c r="E31" s="11">
        <v>4650000</v>
      </c>
      <c r="F31" s="11">
        <v>3827000</v>
      </c>
    </row>
    <row r="32" spans="2:6" ht="15" thickBot="1" x14ac:dyDescent="0.35">
      <c r="B32" s="34" t="s">
        <v>29</v>
      </c>
      <c r="C32" s="11">
        <v>979000</v>
      </c>
      <c r="D32" s="11">
        <v>1826000</v>
      </c>
      <c r="E32" s="11">
        <v>2605000</v>
      </c>
      <c r="F32" s="11">
        <v>5159000</v>
      </c>
    </row>
    <row r="33" spans="2:6" ht="15" thickBot="1" x14ac:dyDescent="0.35">
      <c r="B33" s="34" t="s">
        <v>30</v>
      </c>
      <c r="C33" s="11">
        <v>157000</v>
      </c>
      <c r="D33" s="11">
        <v>239000</v>
      </c>
      <c r="E33" s="11">
        <v>366000</v>
      </c>
      <c r="F33" s="11">
        <v>791000</v>
      </c>
    </row>
    <row r="34" spans="2:6" ht="15" thickBot="1" x14ac:dyDescent="0.35">
      <c r="B34" s="30" t="s">
        <v>31</v>
      </c>
      <c r="C34" s="11">
        <v>13690000</v>
      </c>
      <c r="D34" s="11">
        <v>16055000</v>
      </c>
      <c r="E34" s="11">
        <v>28829000</v>
      </c>
      <c r="F34" s="11">
        <v>23073000</v>
      </c>
    </row>
    <row r="35" spans="2:6" ht="15" thickBot="1" x14ac:dyDescent="0.35">
      <c r="B35" s="30" t="s">
        <v>32</v>
      </c>
      <c r="C35" s="11"/>
      <c r="D35" s="11"/>
      <c r="E35" s="11"/>
      <c r="F35" s="11"/>
    </row>
    <row r="36" spans="2:6" ht="15" thickBot="1" x14ac:dyDescent="0.35">
      <c r="B36" s="34" t="s">
        <v>33</v>
      </c>
      <c r="C36" s="11">
        <v>0</v>
      </c>
      <c r="D36" s="11">
        <v>0</v>
      </c>
      <c r="E36" s="11">
        <v>0</v>
      </c>
      <c r="F36" s="11">
        <v>0</v>
      </c>
    </row>
    <row r="37" spans="2:6" ht="15" thickBot="1" x14ac:dyDescent="0.35">
      <c r="B37" s="34" t="s">
        <v>34</v>
      </c>
      <c r="C37" s="11">
        <v>2292000</v>
      </c>
      <c r="D37" s="11">
        <v>2856000</v>
      </c>
      <c r="E37" s="11">
        <v>3607000</v>
      </c>
      <c r="F37" s="11">
        <v>4845000</v>
      </c>
    </row>
    <row r="38" spans="2:6" ht="15" thickBot="1" x14ac:dyDescent="0.35">
      <c r="B38" s="34" t="s">
        <v>35</v>
      </c>
      <c r="C38" s="11">
        <v>618000</v>
      </c>
      <c r="D38" s="11">
        <v>4193000</v>
      </c>
      <c r="E38" s="11">
        <v>4349000</v>
      </c>
      <c r="F38" s="11">
        <v>4372000</v>
      </c>
    </row>
    <row r="39" spans="2:6" ht="15" thickBot="1" x14ac:dyDescent="0.35">
      <c r="B39" s="34" t="s">
        <v>36</v>
      </c>
      <c r="C39" s="11">
        <v>49000</v>
      </c>
      <c r="D39" s="11">
        <v>2737000</v>
      </c>
      <c r="E39" s="11">
        <v>2339000</v>
      </c>
      <c r="F39" s="11">
        <v>1676000</v>
      </c>
    </row>
    <row r="40" spans="2:6" ht="15" thickBot="1" x14ac:dyDescent="0.35">
      <c r="B40" s="34" t="s">
        <v>37</v>
      </c>
      <c r="C40" s="11">
        <v>118000</v>
      </c>
      <c r="D40" s="11">
        <v>2144000</v>
      </c>
      <c r="E40" s="11">
        <v>3841000</v>
      </c>
      <c r="F40" s="11">
        <v>3820000</v>
      </c>
    </row>
    <row r="41" spans="2:6" ht="15" thickBot="1" x14ac:dyDescent="0.35">
      <c r="B41" s="34" t="s">
        <v>38</v>
      </c>
      <c r="C41" s="11">
        <v>548000</v>
      </c>
      <c r="D41" s="11">
        <v>806000</v>
      </c>
      <c r="E41" s="11">
        <v>1222000</v>
      </c>
      <c r="F41" s="11">
        <v>3396000</v>
      </c>
    </row>
    <row r="42" spans="2:6" ht="15" thickBot="1" x14ac:dyDescent="0.35">
      <c r="B42" s="34" t="s">
        <v>39</v>
      </c>
      <c r="C42" s="11">
        <v>17315000</v>
      </c>
      <c r="D42" s="11">
        <v>28791000</v>
      </c>
      <c r="E42" s="11">
        <v>44187000</v>
      </c>
      <c r="F42" s="11">
        <v>41182000</v>
      </c>
    </row>
    <row r="43" spans="2:6" ht="15" thickBot="1" x14ac:dyDescent="0.35">
      <c r="B43" s="30" t="s">
        <v>40</v>
      </c>
      <c r="C43" s="11"/>
      <c r="D43" s="11"/>
      <c r="E43" s="11"/>
      <c r="F43" s="11"/>
    </row>
    <row r="44" spans="2:6" ht="15" thickBot="1" x14ac:dyDescent="0.35">
      <c r="B44" s="34" t="s">
        <v>41</v>
      </c>
      <c r="C44" s="11">
        <v>1784000</v>
      </c>
      <c r="D44" s="11">
        <v>2926000</v>
      </c>
      <c r="E44" s="11">
        <v>4335000</v>
      </c>
      <c r="F44" s="11">
        <v>5313000</v>
      </c>
    </row>
    <row r="45" spans="2:6" ht="15" thickBot="1" x14ac:dyDescent="0.35">
      <c r="B45" s="34" t="s">
        <v>42</v>
      </c>
      <c r="C45" s="11">
        <v>0</v>
      </c>
      <c r="D45" s="11">
        <v>999000</v>
      </c>
      <c r="E45" s="11">
        <v>0</v>
      </c>
      <c r="F45" s="11">
        <v>1250000</v>
      </c>
    </row>
    <row r="46" spans="2:6" ht="15" thickBot="1" x14ac:dyDescent="0.35">
      <c r="B46" s="34" t="s">
        <v>43</v>
      </c>
      <c r="C46" s="11">
        <v>0</v>
      </c>
      <c r="D46" s="11">
        <v>0</v>
      </c>
      <c r="E46" s="11">
        <v>0</v>
      </c>
      <c r="F46" s="11">
        <v>0</v>
      </c>
    </row>
    <row r="47" spans="2:6" ht="15" thickBot="1" x14ac:dyDescent="0.35">
      <c r="B47" s="34" t="s">
        <v>44</v>
      </c>
      <c r="C47" s="11">
        <v>1784000</v>
      </c>
      <c r="D47" s="11">
        <v>3925000</v>
      </c>
      <c r="E47" s="11">
        <v>4335000</v>
      </c>
      <c r="F47" s="11">
        <v>6563000</v>
      </c>
    </row>
    <row r="48" spans="2:6" ht="15" thickBot="1" x14ac:dyDescent="0.35">
      <c r="B48" s="34" t="s">
        <v>45</v>
      </c>
      <c r="C48" s="11">
        <v>1991000</v>
      </c>
      <c r="D48" s="11">
        <v>5964000</v>
      </c>
      <c r="E48" s="11">
        <v>10946000</v>
      </c>
      <c r="F48" s="11">
        <v>9703000</v>
      </c>
    </row>
    <row r="49" spans="2:6" ht="15" thickBot="1" x14ac:dyDescent="0.35">
      <c r="B49" s="34" t="s">
        <v>46</v>
      </c>
      <c r="C49" s="11">
        <v>1336000</v>
      </c>
      <c r="D49" s="11">
        <v>2009000</v>
      </c>
      <c r="E49" s="11">
        <v>2294000</v>
      </c>
      <c r="F49" s="11">
        <v>2815000</v>
      </c>
    </row>
    <row r="50" spans="2:6" ht="15" thickBot="1" x14ac:dyDescent="0.35">
      <c r="B50" s="34" t="s">
        <v>47</v>
      </c>
      <c r="C50" s="11">
        <v>0</v>
      </c>
      <c r="D50" s="11">
        <v>0</v>
      </c>
      <c r="E50" s="11">
        <v>0</v>
      </c>
      <c r="F50" s="11">
        <v>0</v>
      </c>
    </row>
    <row r="51" spans="2:6" ht="15" thickBot="1" x14ac:dyDescent="0.35">
      <c r="B51" s="34" t="s">
        <v>48</v>
      </c>
      <c r="C51" s="11">
        <v>0</v>
      </c>
      <c r="D51" s="11">
        <v>0</v>
      </c>
      <c r="E51" s="11">
        <v>0</v>
      </c>
      <c r="F51" s="11">
        <v>0</v>
      </c>
    </row>
    <row r="52" spans="2:6" ht="15" thickBot="1" x14ac:dyDescent="0.35">
      <c r="B52" s="34" t="s">
        <v>20</v>
      </c>
      <c r="C52" s="11">
        <v>0</v>
      </c>
      <c r="D52" s="11">
        <v>0</v>
      </c>
      <c r="E52" s="11">
        <v>0</v>
      </c>
      <c r="F52" s="11">
        <v>0</v>
      </c>
    </row>
    <row r="53" spans="2:6" ht="15" thickBot="1" x14ac:dyDescent="0.35">
      <c r="B53" s="30" t="s">
        <v>49</v>
      </c>
      <c r="C53" s="11">
        <v>5111000</v>
      </c>
      <c r="D53" s="11">
        <v>11898000</v>
      </c>
      <c r="E53" s="11">
        <v>17575000</v>
      </c>
      <c r="F53" s="11">
        <v>19081000</v>
      </c>
    </row>
    <row r="54" spans="2:6" ht="15" thickBot="1" x14ac:dyDescent="0.35">
      <c r="B54" s="30" t="s">
        <v>50</v>
      </c>
      <c r="C54" s="11"/>
      <c r="D54" s="11"/>
      <c r="E54" s="11"/>
      <c r="F54" s="11"/>
    </row>
    <row r="55" spans="2:6" ht="15" thickBot="1" x14ac:dyDescent="0.35">
      <c r="B55" s="34" t="s">
        <v>51</v>
      </c>
      <c r="C55" s="11">
        <v>1000</v>
      </c>
      <c r="D55" s="11">
        <v>3000</v>
      </c>
      <c r="E55" s="11">
        <v>3000</v>
      </c>
      <c r="F55" s="11">
        <v>2000</v>
      </c>
    </row>
    <row r="56" spans="2:6" ht="15" thickBot="1" x14ac:dyDescent="0.35">
      <c r="B56" s="34" t="s">
        <v>52</v>
      </c>
      <c r="C56" s="11">
        <v>14971000</v>
      </c>
      <c r="D56" s="11">
        <v>18908000</v>
      </c>
      <c r="E56" s="11">
        <v>16235000</v>
      </c>
      <c r="F56" s="11">
        <v>10171000</v>
      </c>
    </row>
    <row r="57" spans="2:6" ht="15" thickBot="1" x14ac:dyDescent="0.35">
      <c r="B57" s="34" t="s">
        <v>53</v>
      </c>
      <c r="C57" s="11">
        <v>-9814000</v>
      </c>
      <c r="D57" s="11">
        <v>-10756000</v>
      </c>
      <c r="E57" s="11">
        <v>0</v>
      </c>
      <c r="F57" s="11">
        <v>0</v>
      </c>
    </row>
    <row r="58" spans="2:6" ht="15" thickBot="1" x14ac:dyDescent="0.35">
      <c r="B58" s="34" t="s">
        <v>54</v>
      </c>
      <c r="C58" s="11">
        <v>7045000</v>
      </c>
      <c r="D58" s="11">
        <v>8719000</v>
      </c>
      <c r="E58" s="11">
        <v>10385000</v>
      </c>
      <c r="F58" s="11">
        <v>11971000</v>
      </c>
    </row>
    <row r="59" spans="2:6" ht="15" thickBot="1" x14ac:dyDescent="0.35">
      <c r="B59" s="34" t="s">
        <v>55</v>
      </c>
      <c r="C59" s="11">
        <v>1000</v>
      </c>
      <c r="D59" s="11">
        <v>19000</v>
      </c>
      <c r="E59" s="11">
        <v>-11000</v>
      </c>
      <c r="F59" s="11">
        <v>-43000</v>
      </c>
    </row>
    <row r="60" spans="2:6" ht="15" thickBot="1" x14ac:dyDescent="0.35">
      <c r="B60" s="30" t="s">
        <v>56</v>
      </c>
      <c r="C60" s="11">
        <v>12204000</v>
      </c>
      <c r="D60" s="11">
        <v>16893000</v>
      </c>
      <c r="E60" s="11">
        <v>26612000</v>
      </c>
      <c r="F60" s="11">
        <v>22101000</v>
      </c>
    </row>
    <row r="61" spans="2:6" ht="15" thickBot="1" x14ac:dyDescent="0.35">
      <c r="B61" s="30" t="s">
        <v>57</v>
      </c>
      <c r="C61" s="11">
        <v>17315000</v>
      </c>
      <c r="D61" s="11">
        <v>28791000</v>
      </c>
      <c r="E61" s="11">
        <v>44187000</v>
      </c>
      <c r="F61" s="11">
        <v>41182000</v>
      </c>
    </row>
    <row r="63" spans="2:6" ht="18" x14ac:dyDescent="0.35">
      <c r="B63" s="2" t="s">
        <v>115</v>
      </c>
    </row>
    <row r="64" spans="2:6" x14ac:dyDescent="0.3">
      <c r="B64" t="s">
        <v>0</v>
      </c>
      <c r="C64" t="s">
        <v>4</v>
      </c>
      <c r="D64" t="s">
        <v>3</v>
      </c>
      <c r="E64" t="s">
        <v>2</v>
      </c>
      <c r="F64" t="s">
        <v>1</v>
      </c>
    </row>
    <row r="65" spans="2:6" x14ac:dyDescent="0.3">
      <c r="B65" s="3" t="s">
        <v>23</v>
      </c>
      <c r="C65" s="10">
        <v>2796000</v>
      </c>
      <c r="D65" s="10">
        <v>4332000</v>
      </c>
      <c r="E65" s="10">
        <v>9752000</v>
      </c>
      <c r="F65" s="10">
        <v>4368000</v>
      </c>
    </row>
    <row r="66" spans="2:6" x14ac:dyDescent="0.3">
      <c r="B66" s="4" t="s">
        <v>72</v>
      </c>
    </row>
    <row r="67" spans="2:6" x14ac:dyDescent="0.3">
      <c r="B67" t="s">
        <v>73</v>
      </c>
      <c r="C67" s="10">
        <v>381000</v>
      </c>
      <c r="D67" s="10">
        <v>1098000</v>
      </c>
      <c r="E67" s="10">
        <v>1174000</v>
      </c>
      <c r="F67" s="10">
        <v>1544000</v>
      </c>
    </row>
    <row r="68" spans="2:6" x14ac:dyDescent="0.3">
      <c r="B68" t="s">
        <v>74</v>
      </c>
      <c r="C68" s="10">
        <v>867000</v>
      </c>
      <c r="D68" s="10">
        <v>1095000</v>
      </c>
      <c r="E68" s="10">
        <v>1545000</v>
      </c>
      <c r="F68" s="10">
        <v>1936000</v>
      </c>
    </row>
    <row r="69" spans="2:6" x14ac:dyDescent="0.3">
      <c r="B69" t="s">
        <v>75</v>
      </c>
    </row>
    <row r="70" spans="2:6" x14ac:dyDescent="0.3">
      <c r="B70" t="s">
        <v>76</v>
      </c>
      <c r="C70" s="10">
        <v>-233000</v>
      </c>
      <c r="D70" s="10">
        <v>-550000</v>
      </c>
      <c r="E70" s="10">
        <v>-2215000</v>
      </c>
      <c r="F70" s="10">
        <v>822000</v>
      </c>
    </row>
    <row r="71" spans="2:6" x14ac:dyDescent="0.3">
      <c r="B71" t="s">
        <v>77</v>
      </c>
      <c r="C71" s="10">
        <v>597000</v>
      </c>
      <c r="D71" s="10">
        <v>-524000</v>
      </c>
      <c r="E71" s="10">
        <v>-774000</v>
      </c>
      <c r="F71" s="10">
        <v>-2554000</v>
      </c>
    </row>
    <row r="72" spans="2:6" x14ac:dyDescent="0.3">
      <c r="B72" t="s">
        <v>78</v>
      </c>
      <c r="C72" s="10">
        <v>77000</v>
      </c>
      <c r="D72" s="10">
        <v>-394000</v>
      </c>
      <c r="E72" s="10">
        <v>-1715000</v>
      </c>
      <c r="F72" s="10">
        <v>-1517000</v>
      </c>
    </row>
    <row r="73" spans="2:6" x14ac:dyDescent="0.3">
      <c r="B73" t="s">
        <v>79</v>
      </c>
      <c r="C73" s="10">
        <v>276000</v>
      </c>
      <c r="D73" s="10">
        <v>765000</v>
      </c>
      <c r="E73" s="10">
        <v>1341000</v>
      </c>
      <c r="F73" s="10">
        <v>1042000</v>
      </c>
    </row>
    <row r="74" spans="2:6" x14ac:dyDescent="0.3">
      <c r="B74" s="4" t="s">
        <v>80</v>
      </c>
      <c r="C74" s="10">
        <v>4761000</v>
      </c>
      <c r="D74" s="10">
        <v>5822000</v>
      </c>
      <c r="E74" s="10">
        <v>9108000</v>
      </c>
      <c r="F74" s="10">
        <v>5641000</v>
      </c>
    </row>
    <row r="75" spans="2:6" x14ac:dyDescent="0.3">
      <c r="B75" s="4"/>
      <c r="C75" s="10"/>
      <c r="D75" s="10"/>
      <c r="E75" s="10"/>
      <c r="F75" s="10"/>
    </row>
    <row r="76" spans="2:6" x14ac:dyDescent="0.3">
      <c r="B76" s="4" t="s">
        <v>81</v>
      </c>
    </row>
    <row r="77" spans="2:6" x14ac:dyDescent="0.3">
      <c r="B77" t="s">
        <v>82</v>
      </c>
      <c r="C77" s="10">
        <v>-489000</v>
      </c>
      <c r="D77" s="10">
        <v>-1128000</v>
      </c>
      <c r="E77" s="10">
        <v>-976000</v>
      </c>
      <c r="F77" s="10">
        <v>-1833000</v>
      </c>
    </row>
    <row r="78" spans="2:6" x14ac:dyDescent="0.3">
      <c r="B78" t="s">
        <v>83</v>
      </c>
      <c r="C78" s="10">
        <v>6638000</v>
      </c>
      <c r="D78" s="10">
        <v>-10023000</v>
      </c>
      <c r="E78" s="10">
        <v>-8591000</v>
      </c>
      <c r="F78" s="10">
        <v>9257000</v>
      </c>
    </row>
    <row r="79" spans="2:6" x14ac:dyDescent="0.3">
      <c r="B79" t="s">
        <v>84</v>
      </c>
      <c r="C79" s="10">
        <v>-4000</v>
      </c>
      <c r="D79" s="10">
        <v>-8524000</v>
      </c>
      <c r="E79" s="10">
        <v>-263000</v>
      </c>
      <c r="F79" s="10">
        <v>-49000</v>
      </c>
    </row>
    <row r="80" spans="2:6" x14ac:dyDescent="0.3">
      <c r="B80" s="4" t="s">
        <v>85</v>
      </c>
      <c r="C80" s="10">
        <v>6145000</v>
      </c>
      <c r="D80" s="10">
        <v>-19675000</v>
      </c>
      <c r="E80" s="10">
        <v>-9830000</v>
      </c>
      <c r="F80" s="10">
        <v>7375000</v>
      </c>
    </row>
    <row r="81" spans="2:6" x14ac:dyDescent="0.3">
      <c r="B81" s="4"/>
      <c r="C81" s="10"/>
      <c r="D81" s="10"/>
      <c r="E81" s="10"/>
      <c r="F81" s="10"/>
    </row>
    <row r="82" spans="2:6" x14ac:dyDescent="0.3">
      <c r="B82" t="s">
        <v>86</v>
      </c>
    </row>
    <row r="83" spans="2:6" x14ac:dyDescent="0.3">
      <c r="B83" t="s">
        <v>87</v>
      </c>
      <c r="C83" s="10">
        <v>149000</v>
      </c>
      <c r="D83" s="10">
        <v>194000</v>
      </c>
      <c r="E83" s="10">
        <v>281000</v>
      </c>
      <c r="F83" s="10">
        <v>-9684000</v>
      </c>
    </row>
    <row r="84" spans="2:6" x14ac:dyDescent="0.3">
      <c r="B84" t="s">
        <v>88</v>
      </c>
      <c r="C84">
        <v>0</v>
      </c>
      <c r="D84" s="10">
        <v>4968000</v>
      </c>
      <c r="E84" s="10">
        <v>3977000</v>
      </c>
      <c r="F84">
        <v>0</v>
      </c>
    </row>
    <row r="85" spans="2:6" x14ac:dyDescent="0.3">
      <c r="B85" t="s">
        <v>89</v>
      </c>
      <c r="C85" s="10">
        <v>-551000</v>
      </c>
      <c r="D85" s="10">
        <v>-963000</v>
      </c>
      <c r="E85" s="10">
        <v>-1994000</v>
      </c>
      <c r="F85" s="10">
        <v>-1535000</v>
      </c>
    </row>
    <row r="86" spans="2:6" x14ac:dyDescent="0.3">
      <c r="B86" s="4" t="s">
        <v>90</v>
      </c>
      <c r="C86" s="10">
        <v>-792000</v>
      </c>
      <c r="D86" s="10">
        <v>3804000</v>
      </c>
      <c r="E86" s="10">
        <v>1865000</v>
      </c>
      <c r="F86" s="10">
        <v>-11617000</v>
      </c>
    </row>
    <row r="87" spans="2:6" x14ac:dyDescent="0.3">
      <c r="B87" s="4"/>
      <c r="C87" s="10"/>
      <c r="D87" s="10"/>
      <c r="E87" s="10"/>
      <c r="F87" s="10"/>
    </row>
    <row r="88" spans="2:6" x14ac:dyDescent="0.3">
      <c r="B88" t="s">
        <v>91</v>
      </c>
      <c r="C88">
        <v>0</v>
      </c>
      <c r="D88">
        <v>0</v>
      </c>
      <c r="E88">
        <v>0</v>
      </c>
      <c r="F88">
        <v>0</v>
      </c>
    </row>
    <row r="89" spans="2:6" x14ac:dyDescent="0.3">
      <c r="B89" s="4" t="s">
        <v>92</v>
      </c>
      <c r="C89" s="10">
        <v>10114000</v>
      </c>
      <c r="D89" s="10">
        <v>-10049000</v>
      </c>
      <c r="E89" s="10">
        <v>1143000</v>
      </c>
      <c r="F89" s="10">
        <v>1399000</v>
      </c>
    </row>
  </sheetData>
  <sheetProtection sheet="1" objects="1" scenarios="1"/>
  <customSheetViews>
    <customSheetView guid="{157A7F57-E932-4D71-AAC5-1BA0DA6A9C96}" showGridLines="0" topLeftCell="A40">
      <selection activeCell="C56" sqref="C56"/>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121"/>
  <sheetViews>
    <sheetView showGridLines="0" topLeftCell="A25" workbookViewId="0">
      <selection activeCell="R118" sqref="R118"/>
    </sheetView>
  </sheetViews>
  <sheetFormatPr defaultRowHeight="14.4" x14ac:dyDescent="0.3"/>
  <cols>
    <col min="1" max="1" width="1.88671875" customWidth="1"/>
    <col min="2" max="2" width="9.44140625" bestFit="1" customWidth="1"/>
    <col min="12" max="15" width="11.33203125" bestFit="1" customWidth="1"/>
  </cols>
  <sheetData>
    <row r="2" spans="2:23" ht="21" x14ac:dyDescent="0.4">
      <c r="B2" s="192" t="s">
        <v>246</v>
      </c>
      <c r="C2" s="161"/>
      <c r="D2" s="161"/>
      <c r="E2" s="161"/>
      <c r="F2" s="161"/>
      <c r="G2" s="161"/>
      <c r="H2" s="161"/>
      <c r="I2" s="161"/>
      <c r="J2" s="161"/>
      <c r="K2" s="161"/>
      <c r="L2" s="161"/>
      <c r="M2" s="161"/>
      <c r="N2" s="161"/>
      <c r="O2" s="161"/>
    </row>
    <row r="3" spans="2:23" x14ac:dyDescent="0.3">
      <c r="B3" s="161"/>
      <c r="C3" s="161"/>
      <c r="D3" s="161"/>
      <c r="E3" s="161"/>
      <c r="F3" s="161"/>
      <c r="G3" s="161"/>
      <c r="H3" s="161"/>
      <c r="I3" s="161"/>
      <c r="J3" s="161"/>
      <c r="K3" s="161"/>
      <c r="L3" s="161"/>
      <c r="M3" s="161"/>
      <c r="N3" s="161"/>
      <c r="O3" s="161"/>
    </row>
    <row r="4" spans="2:23" x14ac:dyDescent="0.3">
      <c r="B4" s="191" t="s">
        <v>247</v>
      </c>
      <c r="C4" s="161"/>
      <c r="D4" s="161"/>
      <c r="E4" s="161"/>
      <c r="F4" s="161"/>
      <c r="G4" s="161"/>
      <c r="H4" s="161"/>
      <c r="I4" s="161"/>
      <c r="J4" s="161"/>
      <c r="K4" s="161"/>
      <c r="L4" s="161"/>
      <c r="M4" s="161"/>
      <c r="N4" s="161"/>
      <c r="O4" s="161"/>
    </row>
    <row r="5" spans="2:23" x14ac:dyDescent="0.3">
      <c r="B5" s="191" t="s">
        <v>248</v>
      </c>
      <c r="C5" s="161"/>
      <c r="D5" s="161"/>
      <c r="E5" s="161"/>
      <c r="F5" s="161"/>
      <c r="G5" s="161"/>
      <c r="H5" s="161"/>
      <c r="I5" s="161"/>
      <c r="J5" s="161"/>
      <c r="K5" s="161"/>
      <c r="L5" s="161"/>
      <c r="M5" s="161"/>
      <c r="N5" s="161"/>
      <c r="O5" s="161"/>
    </row>
    <row r="6" spans="2:23" x14ac:dyDescent="0.3">
      <c r="B6" s="161"/>
      <c r="C6" s="161"/>
      <c r="D6" s="161"/>
      <c r="E6" s="161"/>
      <c r="F6" s="161"/>
      <c r="G6" s="161"/>
      <c r="H6" s="161"/>
      <c r="I6" s="161"/>
      <c r="J6" s="161"/>
      <c r="K6" s="161"/>
      <c r="L6" s="161"/>
      <c r="M6" s="161"/>
      <c r="N6" s="161"/>
      <c r="O6" s="161"/>
    </row>
    <row r="8" spans="2:23" x14ac:dyDescent="0.3">
      <c r="B8" s="429" t="s">
        <v>249</v>
      </c>
      <c r="C8" s="429"/>
      <c r="D8" s="429"/>
      <c r="E8" s="429"/>
      <c r="F8" s="429"/>
      <c r="G8" s="429"/>
      <c r="H8" s="429"/>
      <c r="I8" s="429"/>
      <c r="J8" s="429"/>
      <c r="K8" s="429"/>
      <c r="L8" s="429"/>
      <c r="M8" s="429"/>
      <c r="N8" s="429"/>
      <c r="O8" s="429"/>
      <c r="P8" s="429"/>
      <c r="Q8" s="429"/>
      <c r="R8" s="429"/>
      <c r="S8" s="429"/>
      <c r="T8" s="429"/>
      <c r="U8" s="429"/>
      <c r="V8" s="429"/>
      <c r="W8" s="429"/>
    </row>
    <row r="9" spans="2:23" x14ac:dyDescent="0.3">
      <c r="B9" s="429"/>
      <c r="C9" s="429"/>
      <c r="D9" s="429"/>
      <c r="E9" s="429"/>
      <c r="F9" s="429"/>
      <c r="G9" s="429"/>
      <c r="H9" s="429"/>
      <c r="I9" s="429"/>
      <c r="J9" s="429"/>
      <c r="K9" s="429"/>
      <c r="L9" s="429"/>
      <c r="M9" s="429"/>
      <c r="N9" s="429"/>
      <c r="O9" s="429"/>
      <c r="P9" s="429"/>
      <c r="Q9" s="429"/>
      <c r="R9" s="429"/>
      <c r="S9" s="429"/>
      <c r="T9" s="429"/>
      <c r="U9" s="429"/>
      <c r="V9" s="429"/>
      <c r="W9" s="429"/>
    </row>
    <row r="10" spans="2:23" x14ac:dyDescent="0.3">
      <c r="B10" s="429"/>
      <c r="C10" s="429"/>
      <c r="D10" s="429"/>
      <c r="E10" s="429"/>
      <c r="F10" s="429"/>
      <c r="G10" s="429"/>
      <c r="H10" s="429"/>
      <c r="I10" s="429"/>
      <c r="J10" s="429"/>
      <c r="K10" s="429"/>
      <c r="L10" s="429"/>
      <c r="M10" s="429"/>
      <c r="N10" s="429"/>
      <c r="O10" s="429"/>
      <c r="P10" s="429"/>
      <c r="Q10" s="429"/>
      <c r="R10" s="429"/>
      <c r="S10" s="429"/>
      <c r="T10" s="429"/>
      <c r="U10" s="429"/>
      <c r="V10" s="429"/>
      <c r="W10" s="429"/>
    </row>
    <row r="11" spans="2:23" x14ac:dyDescent="0.3">
      <c r="B11" s="429"/>
      <c r="C11" s="429"/>
      <c r="D11" s="429"/>
      <c r="E11" s="429"/>
      <c r="F11" s="429"/>
      <c r="G11" s="429"/>
      <c r="H11" s="429"/>
      <c r="I11" s="429"/>
      <c r="J11" s="429"/>
      <c r="K11" s="429"/>
      <c r="L11" s="429"/>
      <c r="M11" s="429"/>
      <c r="N11" s="429"/>
      <c r="O11" s="429"/>
      <c r="P11" s="429"/>
      <c r="Q11" s="429"/>
      <c r="R11" s="429"/>
      <c r="S11" s="429"/>
      <c r="T11" s="429"/>
      <c r="U11" s="429"/>
      <c r="V11" s="429"/>
      <c r="W11" s="429"/>
    </row>
    <row r="12" spans="2:23" x14ac:dyDescent="0.3">
      <c r="B12" s="429"/>
      <c r="C12" s="429"/>
      <c r="D12" s="429"/>
      <c r="E12" s="429"/>
      <c r="F12" s="429"/>
      <c r="G12" s="429"/>
      <c r="H12" s="429"/>
      <c r="I12" s="429"/>
      <c r="J12" s="429"/>
      <c r="K12" s="429"/>
      <c r="L12" s="429"/>
      <c r="M12" s="429"/>
      <c r="N12" s="429"/>
      <c r="O12" s="429"/>
      <c r="P12" s="429"/>
      <c r="Q12" s="429"/>
      <c r="R12" s="429"/>
      <c r="S12" s="429"/>
      <c r="T12" s="429"/>
      <c r="U12" s="429"/>
      <c r="V12" s="429"/>
      <c r="W12" s="429"/>
    </row>
    <row r="13" spans="2:23" x14ac:dyDescent="0.3">
      <c r="B13" s="429"/>
      <c r="C13" s="429"/>
      <c r="D13" s="429"/>
      <c r="E13" s="429"/>
      <c r="F13" s="429"/>
      <c r="G13" s="429"/>
      <c r="H13" s="429"/>
      <c r="I13" s="429"/>
      <c r="J13" s="429"/>
      <c r="K13" s="429"/>
      <c r="L13" s="429"/>
      <c r="M13" s="429"/>
      <c r="N13" s="429"/>
      <c r="O13" s="429"/>
      <c r="P13" s="429"/>
      <c r="Q13" s="429"/>
      <c r="R13" s="429"/>
      <c r="S13" s="429"/>
      <c r="T13" s="429"/>
      <c r="U13" s="429"/>
      <c r="V13" s="429"/>
      <c r="W13" s="429"/>
    </row>
    <row r="15" spans="2:23" x14ac:dyDescent="0.3">
      <c r="B15" s="433" t="s">
        <v>58</v>
      </c>
      <c r="C15" s="433"/>
      <c r="D15" s="433"/>
      <c r="E15" s="433"/>
      <c r="F15" s="433"/>
      <c r="G15" s="433"/>
      <c r="H15" s="433"/>
      <c r="I15" s="433"/>
      <c r="J15" s="433"/>
      <c r="K15" s="433"/>
      <c r="L15" s="433"/>
      <c r="M15" s="433"/>
      <c r="N15" s="433"/>
      <c r="O15" s="433"/>
      <c r="P15" s="433"/>
      <c r="Q15" s="433"/>
      <c r="R15" s="433"/>
    </row>
    <row r="17" spans="2:18" x14ac:dyDescent="0.3">
      <c r="B17" s="430" t="s">
        <v>64</v>
      </c>
      <c r="C17" s="431"/>
      <c r="D17" s="431"/>
      <c r="E17" s="431"/>
      <c r="F17" s="431"/>
      <c r="G17" s="431"/>
      <c r="H17" s="431"/>
      <c r="I17" s="431"/>
      <c r="J17" s="431"/>
      <c r="K17" s="431"/>
      <c r="L17" s="431"/>
      <c r="M17" s="431"/>
      <c r="N17" s="431"/>
      <c r="O17" s="431"/>
      <c r="P17" s="431"/>
      <c r="Q17" s="431"/>
      <c r="R17" s="432"/>
    </row>
    <row r="18" spans="2:18" x14ac:dyDescent="0.3">
      <c r="B18" s="177"/>
      <c r="C18" s="38"/>
      <c r="D18" s="38"/>
      <c r="E18" s="38"/>
      <c r="F18" s="38"/>
      <c r="G18" s="38"/>
      <c r="H18" s="38"/>
      <c r="I18" s="38"/>
      <c r="J18" s="38"/>
      <c r="K18" s="38"/>
      <c r="L18" s="49">
        <v>43709</v>
      </c>
      <c r="M18" s="49">
        <f>L18+366</f>
        <v>44075</v>
      </c>
      <c r="N18" s="49">
        <f t="shared" ref="N18:O18" si="0">M18+366</f>
        <v>44441</v>
      </c>
      <c r="O18" s="49">
        <f t="shared" si="0"/>
        <v>44807</v>
      </c>
      <c r="P18" s="38"/>
      <c r="Q18" s="38"/>
      <c r="R18" s="178"/>
    </row>
    <row r="19" spans="2:18" x14ac:dyDescent="0.3">
      <c r="B19" s="177" t="s">
        <v>179</v>
      </c>
      <c r="C19" s="38"/>
      <c r="D19" s="38"/>
      <c r="E19" s="38"/>
      <c r="F19" s="38"/>
      <c r="G19" s="38"/>
      <c r="H19" s="38"/>
      <c r="I19" s="38"/>
      <c r="J19" s="38"/>
      <c r="K19" s="38"/>
      <c r="L19" s="39">
        <f>'Qualcomm- Financials'!C32/'Qualcomm- Financials'!C45</f>
        <v>1.8763290430889759</v>
      </c>
      <c r="M19" s="39">
        <f>'Qualcomm- Financials'!D32/'Qualcomm- Financials'!D45</f>
        <v>2.1354935424354244</v>
      </c>
      <c r="N19" s="39">
        <f>'Qualcomm- Financials'!E32/'Qualcomm- Financials'!E45</f>
        <v>1.6797757509831812</v>
      </c>
      <c r="O19" s="39">
        <f>'Qualcomm- Financials'!F32/'Qualcomm- Financials'!F45</f>
        <v>1.7465026125063206</v>
      </c>
      <c r="P19" s="38"/>
      <c r="Q19" s="38"/>
      <c r="R19" s="178"/>
    </row>
    <row r="20" spans="2:18" x14ac:dyDescent="0.3">
      <c r="B20" s="177" t="s">
        <v>180</v>
      </c>
      <c r="C20" s="38"/>
      <c r="D20" s="38"/>
      <c r="E20" s="38"/>
      <c r="F20" s="38"/>
      <c r="G20" s="38"/>
      <c r="H20" s="38"/>
      <c r="I20" s="38"/>
      <c r="J20" s="38"/>
      <c r="K20" s="38"/>
      <c r="L20" s="39">
        <f>('Qualcomm- Financials'!C32-'Qualcomm- Financials'!C30)/'Qualcomm- Financials'!C45</f>
        <v>1.7196418578623391</v>
      </c>
      <c r="M20" s="39">
        <f>('Qualcomm- Financials'!D32-'Qualcomm- Financials'!D30)/'Qualcomm- Financials'!D45</f>
        <v>1.8359086715867159</v>
      </c>
      <c r="N20" s="39">
        <f>('Qualcomm- Financials'!E32-'Qualcomm- Financials'!E30)/'Qualcomm- Financials'!E45</f>
        <v>1.4096728307254622</v>
      </c>
      <c r="O20" s="39">
        <f>('Qualcomm- Financials'!F32-'Qualcomm- Financials'!F30)/'Qualcomm- Financials'!F45</f>
        <v>1.2121186583515928</v>
      </c>
      <c r="P20" s="38"/>
      <c r="Q20" s="38"/>
      <c r="R20" s="178"/>
    </row>
    <row r="21" spans="2:18" x14ac:dyDescent="0.3">
      <c r="B21" s="177" t="s">
        <v>67</v>
      </c>
      <c r="C21" s="38"/>
      <c r="D21" s="38"/>
      <c r="E21" s="38"/>
      <c r="F21" s="38"/>
      <c r="G21" s="38"/>
      <c r="H21" s="38"/>
      <c r="I21" s="38"/>
      <c r="J21" s="38"/>
      <c r="K21" s="38"/>
      <c r="L21" s="39">
        <f>('Qualcomm- Financials'!C27+'Qualcomm- Financials'!C28)/'Qualcomm- Financials'!C45</f>
        <v>1.3721320649132625</v>
      </c>
      <c r="M21" s="39">
        <f>('Qualcomm- Financials'!D27+'Qualcomm- Financials'!D28)/'Qualcomm- Financials'!D45</f>
        <v>1.2931273062730628</v>
      </c>
      <c r="N21" s="39">
        <f>('Qualcomm- Financials'!E27+'Qualcomm- Financials'!E28)/'Qualcomm- Financials'!E45</f>
        <v>1.0387415279056147</v>
      </c>
      <c r="O21" s="39">
        <f>('Qualcomm- Financials'!F27+'Qualcomm- Financials'!F28)/'Qualcomm- Financials'!F45</f>
        <v>0.53783920444968814</v>
      </c>
      <c r="P21" s="38"/>
      <c r="Q21" s="38"/>
      <c r="R21" s="178"/>
    </row>
    <row r="22" spans="2:18" x14ac:dyDescent="0.3">
      <c r="B22" s="177"/>
      <c r="C22" s="38"/>
      <c r="D22" s="38"/>
      <c r="E22" s="38"/>
      <c r="F22" s="38"/>
      <c r="G22" s="38"/>
      <c r="H22" s="38"/>
      <c r="I22" s="38"/>
      <c r="J22" s="38"/>
      <c r="K22" s="38"/>
      <c r="L22" s="38"/>
      <c r="M22" s="38"/>
      <c r="N22" s="38"/>
      <c r="O22" s="38"/>
      <c r="P22" s="38"/>
      <c r="Q22" s="38"/>
      <c r="R22" s="178"/>
    </row>
    <row r="23" spans="2:18" x14ac:dyDescent="0.3">
      <c r="B23" s="430" t="s">
        <v>116</v>
      </c>
      <c r="C23" s="431"/>
      <c r="D23" s="431"/>
      <c r="E23" s="431"/>
      <c r="F23" s="431"/>
      <c r="G23" s="431"/>
      <c r="H23" s="431"/>
      <c r="I23" s="431"/>
      <c r="J23" s="431"/>
      <c r="K23" s="431"/>
      <c r="L23" s="431"/>
      <c r="M23" s="431"/>
      <c r="N23" s="431"/>
      <c r="O23" s="431"/>
      <c r="P23" s="431"/>
      <c r="Q23" s="431"/>
      <c r="R23" s="432"/>
    </row>
    <row r="24" spans="2:18" x14ac:dyDescent="0.3">
      <c r="B24" s="177"/>
      <c r="C24" s="38"/>
      <c r="D24" s="38"/>
      <c r="E24" s="38"/>
      <c r="F24" s="38"/>
      <c r="G24" s="38"/>
      <c r="H24" s="38"/>
      <c r="I24" s="38"/>
      <c r="J24" s="38"/>
      <c r="K24" s="38"/>
      <c r="L24" s="49">
        <f>L18</f>
        <v>43709</v>
      </c>
      <c r="M24" s="49">
        <f t="shared" ref="M24:O24" si="1">M18</f>
        <v>44075</v>
      </c>
      <c r="N24" s="49">
        <f t="shared" si="1"/>
        <v>44441</v>
      </c>
      <c r="O24" s="49">
        <f t="shared" si="1"/>
        <v>44807</v>
      </c>
      <c r="P24" s="38"/>
      <c r="Q24" s="38"/>
      <c r="R24" s="178"/>
    </row>
    <row r="25" spans="2:18" x14ac:dyDescent="0.3">
      <c r="B25" s="177" t="s">
        <v>117</v>
      </c>
      <c r="C25" s="38"/>
      <c r="D25" s="38"/>
      <c r="E25" s="38"/>
      <c r="F25" s="38"/>
      <c r="G25" s="38"/>
      <c r="H25" s="38"/>
      <c r="I25" s="38"/>
      <c r="J25" s="38"/>
      <c r="K25" s="38"/>
      <c r="L25" s="39">
        <f>('Qualcomm- Financials'!C46+'Qualcomm- Financials'!C43)/'Qualcomm- Financials'!C40</f>
        <v>0.48344812938070819</v>
      </c>
      <c r="M25" s="39">
        <f>('Qualcomm- Financials'!D46+'Qualcomm- Financials'!D43)/'Qualcomm- Financials'!D40</f>
        <v>0.441816036410631</v>
      </c>
      <c r="N25" s="39">
        <f>('Qualcomm- Financials'!E46+'Qualcomm- Financials'!E43)/'Qualcomm- Financials'!E40</f>
        <v>0.38178952473326866</v>
      </c>
      <c r="O25" s="39">
        <f>('Qualcomm- Financials'!F46+'Qualcomm- Financials'!F43)/'Qualcomm- Financials'!F40</f>
        <v>0.31586893540621047</v>
      </c>
      <c r="P25" s="38"/>
      <c r="Q25" s="38"/>
      <c r="R25" s="178"/>
    </row>
    <row r="26" spans="2:18" x14ac:dyDescent="0.3">
      <c r="B26" s="177" t="s">
        <v>118</v>
      </c>
      <c r="C26" s="38"/>
      <c r="D26" s="38"/>
      <c r="E26" s="38"/>
      <c r="F26" s="38"/>
      <c r="G26" s="38"/>
      <c r="H26" s="38"/>
      <c r="I26" s="38"/>
      <c r="J26" s="38"/>
      <c r="K26" s="38"/>
      <c r="L26" s="39">
        <f>('Qualcomm- Financials'!C46+'Qualcomm- Financials'!C43)/'Qualcomm- Financials'!C58</f>
        <v>3.2456712161336321</v>
      </c>
      <c r="M26" s="39">
        <f>('Qualcomm- Financials'!D46+'Qualcomm- Financials'!D43)/'Qualcomm- Financials'!D58</f>
        <v>2.5877900279743296</v>
      </c>
      <c r="N26" s="39">
        <f>('Qualcomm- Financials'!E46+'Qualcomm- Financials'!E43)/'Qualcomm- Financials'!E58</f>
        <v>1.5824120603015075</v>
      </c>
      <c r="O26" s="39">
        <f>('Qualcomm- Financials'!F46+'Qualcomm- Financials'!F43)/'Qualcomm- Financials'!F58</f>
        <v>0.85949036806750678</v>
      </c>
      <c r="P26" s="38"/>
      <c r="Q26" s="38"/>
      <c r="R26" s="178"/>
    </row>
    <row r="27" spans="2:18" x14ac:dyDescent="0.3">
      <c r="B27" s="177" t="s">
        <v>120</v>
      </c>
      <c r="C27" s="38"/>
      <c r="D27" s="38"/>
      <c r="E27" s="38"/>
      <c r="F27" s="38"/>
      <c r="G27" s="38"/>
      <c r="H27" s="38"/>
      <c r="I27" s="38"/>
      <c r="J27" s="38"/>
      <c r="K27" s="38"/>
      <c r="L27" s="39">
        <f>L26/(1+L26)</f>
        <v>0.76446598215142514</v>
      </c>
      <c r="M27" s="39">
        <f t="shared" ref="M27:O27" si="2">M26/(1+M26)</f>
        <v>0.72127688850158234</v>
      </c>
      <c r="N27" s="39">
        <f t="shared" si="2"/>
        <v>0.61276512940260752</v>
      </c>
      <c r="O27" s="39">
        <f t="shared" si="2"/>
        <v>0.46221824152858637</v>
      </c>
      <c r="P27" s="38"/>
      <c r="Q27" s="38"/>
      <c r="R27" s="178"/>
    </row>
    <row r="28" spans="2:18" x14ac:dyDescent="0.3">
      <c r="B28" s="177" t="s">
        <v>121</v>
      </c>
      <c r="C28" s="38"/>
      <c r="D28" s="38"/>
      <c r="E28" s="38"/>
      <c r="F28" s="38"/>
      <c r="G28" s="38"/>
      <c r="H28" s="38"/>
      <c r="I28" s="38"/>
      <c r="J28" s="38"/>
      <c r="K28" s="38"/>
      <c r="L28" s="39">
        <f>('Qualcomm- Financials'!C14+'Qualcomm- Financials'!C65)/'Qualcomm- Financials'!C15</f>
        <v>15.165869218500797</v>
      </c>
      <c r="M28" s="39">
        <f>('Qualcomm- Financials'!D14+'Qualcomm- Financials'!D65)/'Qualcomm- Financials'!D15</f>
        <v>12.813953488372093</v>
      </c>
      <c r="N28" s="39">
        <f>('Qualcomm- Financials'!E14+'Qualcomm- Financials'!E65)/'Qualcomm- Financials'!E15</f>
        <v>22.209302325581394</v>
      </c>
      <c r="O28" s="39">
        <f>('Qualcomm- Financials'!F14+'Qualcomm- Financials'!F65)/'Qualcomm- Financials'!F15</f>
        <v>35.204081632653065</v>
      </c>
      <c r="P28" s="38"/>
      <c r="Q28" s="38"/>
      <c r="R28" s="178"/>
    </row>
    <row r="29" spans="2:18" x14ac:dyDescent="0.3">
      <c r="B29" s="177" t="s">
        <v>119</v>
      </c>
      <c r="C29" s="38"/>
      <c r="D29" s="38"/>
      <c r="E29" s="38"/>
      <c r="F29" s="38"/>
      <c r="G29" s="38"/>
      <c r="H29" s="38"/>
      <c r="I29" s="38"/>
      <c r="J29" s="38"/>
      <c r="K29" s="38"/>
      <c r="L29" s="39">
        <f>'Qualcomm- Financials'!C40/'Qualcomm- Financials'!C58</f>
        <v>6.7135872886534935</v>
      </c>
      <c r="M29" s="39">
        <f>'Qualcomm- Financials'!D40/'Qualcomm- Financials'!D58</f>
        <v>5.8571663649827217</v>
      </c>
      <c r="N29" s="39">
        <f>'Qualcomm- Financials'!E40/'Qualcomm- Financials'!E58</f>
        <v>4.1447236180904525</v>
      </c>
      <c r="O29" s="39">
        <f>'Qualcomm- Financials'!F40/'Qualcomm- Financials'!F58</f>
        <v>2.7210348081940818</v>
      </c>
      <c r="P29" s="38"/>
      <c r="Q29" s="38"/>
      <c r="R29" s="178"/>
    </row>
    <row r="30" spans="2:18" x14ac:dyDescent="0.3">
      <c r="B30" s="177" t="s">
        <v>193</v>
      </c>
      <c r="C30" s="38"/>
      <c r="D30" s="38"/>
      <c r="E30" s="38"/>
      <c r="F30" s="38"/>
      <c r="G30" s="38"/>
      <c r="H30" s="38"/>
      <c r="I30" s="38"/>
      <c r="J30" s="38"/>
      <c r="K30" s="38"/>
      <c r="L30" s="39">
        <f>'Qualcomm- Financials'!C72/('Qualcomm- Financials'!C46+'Qualcomm- Financials'!C43)</f>
        <v>0.45728990146237369</v>
      </c>
      <c r="M30" s="39">
        <f>'Qualcomm- Financials'!D72/('Qualcomm- Financials'!D46+'Qualcomm- Financials'!D43)</f>
        <v>0.36970621900038153</v>
      </c>
      <c r="N30" s="39">
        <f>'Qualcomm- Financials'!E72/('Qualcomm- Financials'!E46+'Qualcomm- Financials'!E43)</f>
        <v>0.66916481422673868</v>
      </c>
      <c r="O30" s="39">
        <f>'Qualcomm- Financials'!F72/('Qualcomm- Financials'!F46+'Qualcomm- Financials'!F43)</f>
        <v>0.58752099211988118</v>
      </c>
      <c r="P30" s="38"/>
      <c r="Q30" s="38"/>
      <c r="R30" s="178"/>
    </row>
    <row r="31" spans="2:18" x14ac:dyDescent="0.3">
      <c r="B31" s="177"/>
      <c r="C31" s="38"/>
      <c r="D31" s="38"/>
      <c r="E31" s="38"/>
      <c r="F31" s="38"/>
      <c r="G31" s="38"/>
      <c r="H31" s="38"/>
      <c r="I31" s="38"/>
      <c r="J31" s="38"/>
      <c r="K31" s="38"/>
      <c r="L31" s="38"/>
      <c r="M31" s="38"/>
      <c r="N31" s="38"/>
      <c r="O31" s="38"/>
      <c r="P31" s="38"/>
      <c r="Q31" s="38"/>
      <c r="R31" s="178"/>
    </row>
    <row r="32" spans="2:18" x14ac:dyDescent="0.3">
      <c r="B32" s="430" t="s">
        <v>122</v>
      </c>
      <c r="C32" s="431"/>
      <c r="D32" s="431"/>
      <c r="E32" s="431"/>
      <c r="F32" s="431"/>
      <c r="G32" s="431"/>
      <c r="H32" s="431"/>
      <c r="I32" s="431"/>
      <c r="J32" s="431"/>
      <c r="K32" s="431"/>
      <c r="L32" s="431"/>
      <c r="M32" s="431"/>
      <c r="N32" s="431"/>
      <c r="O32" s="431"/>
      <c r="P32" s="431"/>
      <c r="Q32" s="431"/>
      <c r="R32" s="432"/>
    </row>
    <row r="33" spans="2:18" x14ac:dyDescent="0.3">
      <c r="B33" s="177"/>
      <c r="C33" s="38"/>
      <c r="D33" s="38"/>
      <c r="E33" s="38"/>
      <c r="F33" s="38"/>
      <c r="G33" s="38"/>
      <c r="H33" s="38"/>
      <c r="I33" s="38"/>
      <c r="J33" s="38"/>
      <c r="K33" s="38"/>
      <c r="L33" s="49">
        <f>L24</f>
        <v>43709</v>
      </c>
      <c r="M33" s="49">
        <f t="shared" ref="M33:O33" si="3">M24</f>
        <v>44075</v>
      </c>
      <c r="N33" s="49">
        <f t="shared" si="3"/>
        <v>44441</v>
      </c>
      <c r="O33" s="49">
        <f t="shared" si="3"/>
        <v>44807</v>
      </c>
      <c r="P33" s="38"/>
      <c r="Q33" s="38"/>
      <c r="R33" s="178"/>
    </row>
    <row r="34" spans="2:18" x14ac:dyDescent="0.3">
      <c r="B34" s="177" t="s">
        <v>123</v>
      </c>
      <c r="C34" s="38"/>
      <c r="D34" s="38"/>
      <c r="E34" s="38"/>
      <c r="F34" s="38"/>
      <c r="G34" s="38"/>
      <c r="H34" s="38"/>
      <c r="I34" s="38"/>
      <c r="J34" s="38"/>
      <c r="K34" s="38"/>
      <c r="L34" s="39">
        <f>'Qualcomm- Financials'!C4/'Qualcomm- Financials'!C40</f>
        <v>0.7365051430652062</v>
      </c>
      <c r="M34" s="39">
        <f>'Qualcomm- Financials'!D4/'Qualcomm- Financials'!D40</f>
        <v>0.66109456649997189</v>
      </c>
      <c r="N34" s="39">
        <f>'Qualcomm- Financials'!E4/'Qualcomm- Financials'!E40</f>
        <v>0.81391852570320078</v>
      </c>
      <c r="O34" s="39">
        <f>'Qualcomm- Financials'!F4/'Qualcomm- Financials'!F40</f>
        <v>0.90178316399396086</v>
      </c>
      <c r="P34" s="38"/>
      <c r="Q34" s="38"/>
      <c r="R34" s="178"/>
    </row>
    <row r="35" spans="2:18" x14ac:dyDescent="0.3">
      <c r="B35" s="177" t="s">
        <v>124</v>
      </c>
      <c r="C35" s="38"/>
      <c r="D35" s="38"/>
      <c r="E35" s="38"/>
      <c r="F35" s="38"/>
      <c r="G35" s="38"/>
      <c r="H35" s="38"/>
      <c r="I35" s="38"/>
      <c r="J35" s="38"/>
      <c r="K35" s="38"/>
      <c r="L35" s="39">
        <f>'Qualcomm- Financials'!C4/('Qualcomm- Financials'!C32-'Qualcomm- Financials'!C45)</f>
        <v>3.1</v>
      </c>
      <c r="M35" s="39">
        <f>'Qualcomm- Financials'!D4/('Qualcomm- Financials'!D32-'Qualcomm- Financials'!D45)</f>
        <v>2.3896618259368334</v>
      </c>
      <c r="N35" s="39">
        <f>'Qualcomm- Financials'!E4/('Qualcomm- Financials'!E32-'Qualcomm- Financials'!E45)</f>
        <v>4.1317085179714423</v>
      </c>
      <c r="O35" s="39">
        <f>'Qualcomm- Financials'!F4/('Qualcomm- Financials'!F32-'Qualcomm- Financials'!F45)</f>
        <v>4.9898396929329421</v>
      </c>
      <c r="P35" s="38"/>
      <c r="Q35" s="38"/>
      <c r="R35" s="178"/>
    </row>
    <row r="36" spans="2:18" x14ac:dyDescent="0.3">
      <c r="B36" s="177" t="s">
        <v>125</v>
      </c>
      <c r="C36" s="38"/>
      <c r="D36" s="38"/>
      <c r="E36" s="38"/>
      <c r="F36" s="38"/>
      <c r="G36" s="38"/>
      <c r="H36" s="38"/>
      <c r="I36" s="38"/>
      <c r="J36" s="38"/>
      <c r="K36" s="38"/>
      <c r="L36" s="39">
        <f>'Qualcomm- Financials'!C5/'Qualcomm- Financials'!C30</f>
        <v>6.1421428571428569</v>
      </c>
      <c r="M36" s="39">
        <f>'Qualcomm- Financials'!D5/'Qualcomm- Financials'!D30</f>
        <v>3.5623556581986144</v>
      </c>
      <c r="N36" s="39">
        <f>'Qualcomm- Financials'!E5/'Qualcomm- Financials'!E30</f>
        <v>4.4182156133829</v>
      </c>
      <c r="O36" s="39">
        <f>'Qualcomm- Financials'!F5/'Qualcomm- Financials'!F30</f>
        <v>2.9388109131051885</v>
      </c>
      <c r="P36" s="38"/>
      <c r="Q36" s="38"/>
      <c r="R36" s="178"/>
    </row>
    <row r="37" spans="2:18" x14ac:dyDescent="0.3">
      <c r="B37" s="177" t="s">
        <v>126</v>
      </c>
      <c r="C37" s="38"/>
      <c r="D37" s="38"/>
      <c r="E37" s="38"/>
      <c r="F37" s="38"/>
      <c r="G37" s="38"/>
      <c r="H37" s="38"/>
      <c r="I37" s="38"/>
      <c r="J37" s="38"/>
      <c r="K37" s="38"/>
      <c r="L37" s="39">
        <f>'Qualcomm- Financials'!C4/'Qualcomm- Financials'!C29</f>
        <v>9.8231485228652371</v>
      </c>
      <c r="M37" s="39">
        <f>'Qualcomm- Financials'!D4/'Qualcomm- Financials'!D29</f>
        <v>5.8783412440669496</v>
      </c>
      <c r="N37" s="39">
        <f>'Qualcomm- Financials'!E4/'Qualcomm- Financials'!E29</f>
        <v>9.3785973735680361</v>
      </c>
      <c r="O37" s="39">
        <f>'Qualcomm- Financials'!F4/'Qualcomm- Financials'!F29</f>
        <v>7.8327130958709903</v>
      </c>
      <c r="P37" s="38"/>
      <c r="Q37" s="38"/>
      <c r="R37" s="178"/>
    </row>
    <row r="38" spans="2:18" x14ac:dyDescent="0.3">
      <c r="B38" s="177"/>
      <c r="C38" s="38"/>
      <c r="D38" s="38"/>
      <c r="E38" s="38"/>
      <c r="F38" s="38"/>
      <c r="G38" s="38"/>
      <c r="H38" s="38"/>
      <c r="I38" s="38"/>
      <c r="J38" s="38"/>
      <c r="K38" s="38"/>
      <c r="L38" s="38"/>
      <c r="M38" s="38"/>
      <c r="N38" s="38"/>
      <c r="O38" s="38"/>
      <c r="P38" s="38"/>
      <c r="Q38" s="38"/>
      <c r="R38" s="178"/>
    </row>
    <row r="39" spans="2:18" x14ac:dyDescent="0.3">
      <c r="B39" s="430" t="s">
        <v>131</v>
      </c>
      <c r="C39" s="431"/>
      <c r="D39" s="431"/>
      <c r="E39" s="431"/>
      <c r="F39" s="431"/>
      <c r="G39" s="431"/>
      <c r="H39" s="431"/>
      <c r="I39" s="431"/>
      <c r="J39" s="431"/>
      <c r="K39" s="431"/>
      <c r="L39" s="431"/>
      <c r="M39" s="431"/>
      <c r="N39" s="431"/>
      <c r="O39" s="431"/>
      <c r="P39" s="431"/>
      <c r="Q39" s="431"/>
      <c r="R39" s="432"/>
    </row>
    <row r="40" spans="2:18" x14ac:dyDescent="0.3">
      <c r="B40" s="177"/>
      <c r="C40" s="38"/>
      <c r="D40" s="38"/>
      <c r="E40" s="38"/>
      <c r="F40" s="38"/>
      <c r="G40" s="38"/>
      <c r="H40" s="38"/>
      <c r="I40" s="38"/>
      <c r="J40" s="38"/>
      <c r="K40" s="38"/>
      <c r="L40" s="49">
        <f>L33</f>
        <v>43709</v>
      </c>
      <c r="M40" s="49">
        <f t="shared" ref="M40:O40" si="4">M33</f>
        <v>44075</v>
      </c>
      <c r="N40" s="49">
        <f t="shared" si="4"/>
        <v>44441</v>
      </c>
      <c r="O40" s="49">
        <f t="shared" si="4"/>
        <v>44807</v>
      </c>
      <c r="P40" s="38"/>
      <c r="Q40" s="38"/>
      <c r="R40" s="178"/>
    </row>
    <row r="41" spans="2:18" x14ac:dyDescent="0.3">
      <c r="B41" s="177" t="s">
        <v>132</v>
      </c>
      <c r="C41" s="38"/>
      <c r="D41" s="38"/>
      <c r="E41" s="38"/>
      <c r="F41" s="38"/>
      <c r="G41" s="38"/>
      <c r="H41" s="38"/>
      <c r="I41" s="38"/>
      <c r="J41" s="38"/>
      <c r="K41" s="38"/>
      <c r="L41" s="67">
        <f>'Qualcomm- Financials'!C22/'Qualcomm- Financials'!C58</f>
        <v>0.89346099001833368</v>
      </c>
      <c r="M41" s="67">
        <f>'Qualcomm- Financials'!D22/'Qualcomm- Financials'!D58</f>
        <v>0.8553562613131479</v>
      </c>
      <c r="N41" s="67">
        <f>'Qualcomm- Financials'!E22/'Qualcomm- Financials'!E58</f>
        <v>0.90884422110552765</v>
      </c>
      <c r="O41" s="67">
        <f>'Qualcomm- Financials'!F22/'Qualcomm- Financials'!F58</f>
        <v>0.71814800421917502</v>
      </c>
      <c r="P41" s="38"/>
      <c r="Q41" s="38"/>
      <c r="R41" s="178"/>
    </row>
    <row r="42" spans="2:18" x14ac:dyDescent="0.3">
      <c r="B42" s="177" t="s">
        <v>133</v>
      </c>
      <c r="C42" s="38"/>
      <c r="D42" s="38"/>
      <c r="E42" s="38"/>
      <c r="F42" s="38"/>
      <c r="G42" s="38"/>
      <c r="H42" s="38"/>
      <c r="I42" s="38"/>
      <c r="J42" s="38"/>
      <c r="K42" s="38"/>
      <c r="L42" s="67">
        <f>'Qualcomm- Financials'!C22/'Qualcomm- Financials'!C40</f>
        <v>0.13308250144127196</v>
      </c>
      <c r="M42" s="67">
        <f>'Qualcomm- Financials'!D22/'Qualcomm- Financials'!D40</f>
        <v>0.14603584873855144</v>
      </c>
      <c r="N42" s="67">
        <f>'Qualcomm- Financials'!E22/'Qualcomm- Financials'!E40</f>
        <v>0.21927740058195927</v>
      </c>
      <c r="O42" s="67">
        <f>'Qualcomm- Financials'!F22/'Qualcomm- Financials'!F40</f>
        <v>0.26392459297343618</v>
      </c>
      <c r="P42" s="38"/>
      <c r="Q42" s="38"/>
      <c r="R42" s="178"/>
    </row>
    <row r="43" spans="2:18" x14ac:dyDescent="0.3">
      <c r="B43" s="177" t="s">
        <v>134</v>
      </c>
      <c r="C43" s="38"/>
      <c r="D43" s="38"/>
      <c r="E43" s="38"/>
      <c r="F43" s="38"/>
      <c r="G43" s="38"/>
      <c r="H43" s="38"/>
      <c r="I43" s="38"/>
      <c r="J43" s="38"/>
      <c r="K43" s="38"/>
      <c r="L43" s="67">
        <f>'Qualcomm- Financials'!C22/('Qualcomm- Financials'!C43+'Qualcomm- Financials'!C46+'Qualcomm- Financials'!C58)</f>
        <v>0.21044045676998369</v>
      </c>
      <c r="M43" s="67">
        <f>'Qualcomm- Financials'!D22/('Qualcomm- Financials'!D43+'Qualcomm- Financials'!D46+'Qualcomm- Financials'!D58)</f>
        <v>0.2384075585928542</v>
      </c>
      <c r="N43" s="67">
        <f>'Qualcomm- Financials'!E22/('Qualcomm- Financials'!E43+'Qualcomm- Financials'!E46+'Qualcomm- Financials'!E58)</f>
        <v>0.35193617435298696</v>
      </c>
      <c r="O43" s="67">
        <f>'Qualcomm- Financials'!F22/('Qualcomm- Financials'!F43+'Qualcomm- Financials'!F46+'Qualcomm- Financials'!F58)</f>
        <v>0.38620689655172413</v>
      </c>
      <c r="P43" s="38"/>
      <c r="Q43" s="38"/>
      <c r="R43" s="178"/>
    </row>
    <row r="44" spans="2:18" x14ac:dyDescent="0.3">
      <c r="B44" s="177" t="s">
        <v>135</v>
      </c>
      <c r="C44" s="38"/>
      <c r="D44" s="38"/>
      <c r="E44" s="38"/>
      <c r="F44" s="38"/>
      <c r="G44" s="38"/>
      <c r="H44" s="38"/>
      <c r="I44" s="38"/>
      <c r="J44" s="38"/>
      <c r="K44" s="38"/>
      <c r="L44" s="67">
        <f>'Qualcomm- Financials'!C22/('Qualcomm- Financials'!C35+'Qualcomm- Financials'!C32-'Qualcomm- Financials'!C45)</f>
        <v>0.40197965356062687</v>
      </c>
      <c r="M44" s="67">
        <f>'Qualcomm- Financials'!D22/('Qualcomm- Financials'!D35+'Qualcomm- Financials'!D32-'Qualcomm- Financials'!D45)</f>
        <v>0.38338988051335005</v>
      </c>
      <c r="N44" s="67">
        <f>'Qualcomm- Financials'!E22/('Qualcomm- Financials'!E35+'Qualcomm- Financials'!E32-'Qualcomm- Financials'!E45)</f>
        <v>0.71300165575967833</v>
      </c>
      <c r="O44" s="67">
        <f>'Qualcomm- Financials'!F22/('Qualcomm- Financials'!F35+'Qualcomm- Financials'!F32-'Qualcomm- Financials'!F45)</f>
        <v>0.84959936949954029</v>
      </c>
      <c r="P44" s="38"/>
      <c r="Q44" s="38"/>
      <c r="R44" s="178"/>
    </row>
    <row r="45" spans="2:18" x14ac:dyDescent="0.3">
      <c r="B45" s="177" t="s">
        <v>136</v>
      </c>
      <c r="C45" s="38"/>
      <c r="D45" s="38"/>
      <c r="E45" s="38"/>
      <c r="F45" s="38"/>
      <c r="G45" s="38"/>
      <c r="H45" s="38"/>
      <c r="I45" s="38"/>
      <c r="J45" s="38"/>
      <c r="K45" s="38"/>
      <c r="L45" s="67">
        <f>('Qualcomm- Financials'!C14+'Qualcomm- Financials'!C65)/'Qualcomm- Financials'!C4</f>
        <v>0.39175215259753637</v>
      </c>
      <c r="M45" s="67">
        <f>('Qualcomm- Financials'!D14+'Qualcomm- Financials'!D65)/'Qualcomm- Financials'!D4</f>
        <v>0.32782287195614296</v>
      </c>
      <c r="N45" s="67">
        <f>('Qualcomm- Financials'!E14+'Qualcomm- Financials'!E65)/'Qualcomm- Financials'!E4</f>
        <v>0.36986831913245544</v>
      </c>
      <c r="O45" s="67">
        <f>('Qualcomm- Financials'!F14+'Qualcomm- Financials'!F65)/'Qualcomm- Financials'!F4</f>
        <v>0.39027149321266968</v>
      </c>
      <c r="P45" s="38"/>
      <c r="Q45" s="38"/>
      <c r="R45" s="178"/>
    </row>
    <row r="46" spans="2:18" x14ac:dyDescent="0.3">
      <c r="B46" s="177" t="s">
        <v>137</v>
      </c>
      <c r="C46" s="38"/>
      <c r="D46" s="38"/>
      <c r="E46" s="38"/>
      <c r="F46" s="38"/>
      <c r="G46" s="38"/>
      <c r="H46" s="38"/>
      <c r="I46" s="38"/>
      <c r="J46" s="38"/>
      <c r="K46" s="38"/>
      <c r="L46" s="67">
        <f>'Qualcomm- Financials'!C22/'Qualcomm- Financials'!C4</f>
        <v>0.18069459893709058</v>
      </c>
      <c r="M46" s="67">
        <f>'Qualcomm- Financials'!D22/'Qualcomm- Financials'!D4</f>
        <v>0.22090008924397603</v>
      </c>
      <c r="N46" s="67">
        <f>'Qualcomm- Financials'!E22/'Qualcomm- Financials'!E4</f>
        <v>0.2694095215396532</v>
      </c>
      <c r="O46" s="67">
        <f>'Qualcomm- Financials'!F22/'Qualcomm- Financials'!F4</f>
        <v>0.29266968325791853</v>
      </c>
      <c r="P46" s="38"/>
      <c r="Q46" s="38"/>
      <c r="R46" s="178"/>
    </row>
    <row r="47" spans="2:18" x14ac:dyDescent="0.3">
      <c r="B47" s="177"/>
      <c r="C47" s="38"/>
      <c r="D47" s="38"/>
      <c r="E47" s="38"/>
      <c r="F47" s="38"/>
      <c r="G47" s="38"/>
      <c r="H47" s="38"/>
      <c r="I47" s="38"/>
      <c r="J47" s="38"/>
      <c r="K47" s="38"/>
      <c r="L47" s="38"/>
      <c r="M47" s="38"/>
      <c r="N47" s="38"/>
      <c r="O47" s="38"/>
      <c r="P47" s="38"/>
      <c r="Q47" s="38"/>
      <c r="R47" s="178"/>
    </row>
    <row r="48" spans="2:18" x14ac:dyDescent="0.3">
      <c r="B48" s="430" t="s">
        <v>127</v>
      </c>
      <c r="C48" s="431"/>
      <c r="D48" s="431"/>
      <c r="E48" s="431"/>
      <c r="F48" s="431"/>
      <c r="G48" s="431"/>
      <c r="H48" s="431"/>
      <c r="I48" s="431"/>
      <c r="J48" s="431"/>
      <c r="K48" s="431"/>
      <c r="L48" s="431"/>
      <c r="M48" s="431"/>
      <c r="N48" s="431"/>
      <c r="O48" s="431"/>
      <c r="P48" s="431"/>
      <c r="Q48" s="431"/>
      <c r="R48" s="432"/>
    </row>
    <row r="49" spans="2:18" x14ac:dyDescent="0.3">
      <c r="B49" s="177"/>
      <c r="C49" s="38"/>
      <c r="D49" s="38"/>
      <c r="E49" s="38"/>
      <c r="F49" s="38"/>
      <c r="G49" s="38"/>
      <c r="H49" s="38"/>
      <c r="I49" s="38"/>
      <c r="J49" s="38"/>
      <c r="K49" s="38"/>
      <c r="L49" s="49">
        <f>L40</f>
        <v>43709</v>
      </c>
      <c r="M49" s="49">
        <f t="shared" ref="M49:O49" si="5">M40</f>
        <v>44075</v>
      </c>
      <c r="N49" s="49">
        <f t="shared" si="5"/>
        <v>44441</v>
      </c>
      <c r="O49" s="49">
        <f t="shared" si="5"/>
        <v>44807</v>
      </c>
      <c r="P49" s="38"/>
      <c r="Q49" s="38"/>
      <c r="R49" s="178"/>
    </row>
    <row r="50" spans="2:18" x14ac:dyDescent="0.3">
      <c r="B50" s="177" t="s">
        <v>128</v>
      </c>
      <c r="C50" s="38"/>
      <c r="D50" s="38"/>
      <c r="E50" s="38"/>
      <c r="F50" s="38"/>
      <c r="G50" s="38"/>
      <c r="H50" s="38"/>
      <c r="I50" s="38"/>
      <c r="J50" s="38"/>
      <c r="K50" s="38"/>
      <c r="L50" s="39">
        <f>'Qualcomm- Financials'!C23/'Qualcomm- Financials'!C4</f>
        <v>4.1544102500720967</v>
      </c>
      <c r="M50" s="39">
        <f>'Qualcomm- Financials'!D23/'Qualcomm- Financials'!D4</f>
        <v>7.3218307764225914</v>
      </c>
      <c r="N50" s="39">
        <f>'Qualcomm- Financials'!E23/'Qualcomm- Financials'!E4</f>
        <v>6.128820830602395</v>
      </c>
      <c r="O50" s="39">
        <f>'Qualcomm- Financials'!F23/'Qualcomm- Financials'!F4</f>
        <v>2.7882352941176469</v>
      </c>
      <c r="P50" s="38"/>
      <c r="Q50" s="38"/>
      <c r="R50" s="178"/>
    </row>
    <row r="51" spans="2:18" x14ac:dyDescent="0.3">
      <c r="B51" s="177" t="s">
        <v>129</v>
      </c>
      <c r="C51" s="38"/>
      <c r="D51" s="38"/>
      <c r="E51" s="38"/>
      <c r="F51" s="38"/>
      <c r="G51" s="38"/>
      <c r="H51" s="38"/>
      <c r="I51" s="38"/>
      <c r="J51" s="38"/>
      <c r="K51" s="38"/>
      <c r="L51" s="39">
        <f>'Qualcomm- Financials'!C23/'Qualcomm- Financials'!C22</f>
        <v>22.991336069311444</v>
      </c>
      <c r="M51" s="39">
        <f>'Qualcomm- Financials'!D23/'Qualcomm- Financials'!D22</f>
        <v>33.145440554059256</v>
      </c>
      <c r="N51" s="39">
        <f>'Qualcomm- Financials'!E23/'Qualcomm- Financials'!E22</f>
        <v>22.749087692137564</v>
      </c>
      <c r="O51" s="39">
        <f>'Qualcomm- Financials'!F23/'Qualcomm- Financials'!F22</f>
        <v>9.5269016697588125</v>
      </c>
      <c r="P51" s="38"/>
      <c r="Q51" s="38"/>
      <c r="R51" s="178"/>
    </row>
    <row r="52" spans="2:18" x14ac:dyDescent="0.3">
      <c r="B52" s="177" t="s">
        <v>140</v>
      </c>
      <c r="C52" s="38"/>
      <c r="D52" s="38"/>
      <c r="E52" s="38"/>
      <c r="F52" s="38"/>
      <c r="G52" s="38"/>
      <c r="H52" s="38"/>
      <c r="I52" s="38"/>
      <c r="J52" s="38"/>
      <c r="K52" s="38"/>
      <c r="L52" s="39">
        <f>'Qualcomm- Financials'!C23/'Qualcomm- Financials'!C72</f>
        <v>13.840241559154544</v>
      </c>
      <c r="M52" s="39">
        <f>'Qualcomm- Financials'!D23/'Qualcomm- Financials'!D72</f>
        <v>29.633642930856553</v>
      </c>
      <c r="N52" s="39">
        <f>'Qualcomm- Financials'!E23/'Qualcomm- Financials'!E72</f>
        <v>19.525436598329538</v>
      </c>
      <c r="O52" s="39">
        <f>'Qualcomm- Financials'!F23/'Qualcomm- Financials'!F72</f>
        <v>13.548812664907652</v>
      </c>
      <c r="P52" s="38"/>
      <c r="Q52" s="38"/>
      <c r="R52" s="178"/>
    </row>
    <row r="53" spans="2:18" x14ac:dyDescent="0.3">
      <c r="B53" s="177" t="s">
        <v>130</v>
      </c>
      <c r="C53" s="38"/>
      <c r="D53" s="38"/>
      <c r="E53" s="38"/>
      <c r="F53" s="38"/>
      <c r="G53" s="38"/>
      <c r="H53" s="38"/>
      <c r="I53" s="38"/>
      <c r="J53" s="38"/>
      <c r="K53" s="38"/>
      <c r="L53" s="39">
        <f>'Qualcomm- Financials'!C23/'Qualcomm- Financials'!C58</f>
        <v>20.54186188633123</v>
      </c>
      <c r="M53" s="39">
        <f>'Qualcomm- Financials'!D23/'Qualcomm- Financials'!D58</f>
        <v>28.351160111897318</v>
      </c>
      <c r="N53" s="39">
        <f>'Qualcomm- Financials'!E23/'Qualcomm- Financials'!E58</f>
        <v>20.675376884422111</v>
      </c>
      <c r="O53" s="39">
        <f>'Qualcomm- Financials'!F23/'Qualcomm- Financials'!F58</f>
        <v>6.8417254205296176</v>
      </c>
      <c r="P53" s="38"/>
      <c r="Q53" s="38"/>
      <c r="R53" s="178"/>
    </row>
    <row r="54" spans="2:18" x14ac:dyDescent="0.3">
      <c r="B54" s="177"/>
      <c r="C54" s="38"/>
      <c r="D54" s="38"/>
      <c r="E54" s="38"/>
      <c r="F54" s="38"/>
      <c r="G54" s="38"/>
      <c r="H54" s="38"/>
      <c r="I54" s="38"/>
      <c r="J54" s="38"/>
      <c r="K54" s="38"/>
      <c r="L54" s="38"/>
      <c r="M54" s="38"/>
      <c r="N54" s="38"/>
      <c r="O54" s="38"/>
      <c r="P54" s="38"/>
      <c r="Q54" s="38"/>
      <c r="R54" s="178"/>
    </row>
    <row r="55" spans="2:18" x14ac:dyDescent="0.3">
      <c r="B55" s="430" t="s">
        <v>138</v>
      </c>
      <c r="C55" s="431"/>
      <c r="D55" s="431"/>
      <c r="E55" s="431"/>
      <c r="F55" s="431"/>
      <c r="G55" s="431"/>
      <c r="H55" s="431"/>
      <c r="I55" s="431"/>
      <c r="J55" s="431"/>
      <c r="K55" s="431"/>
      <c r="L55" s="431"/>
      <c r="M55" s="431"/>
      <c r="N55" s="431"/>
      <c r="O55" s="431"/>
      <c r="P55" s="431"/>
      <c r="Q55" s="431"/>
      <c r="R55" s="432"/>
    </row>
    <row r="56" spans="2:18" x14ac:dyDescent="0.3">
      <c r="B56" s="177"/>
      <c r="C56" s="38"/>
      <c r="D56" s="38"/>
      <c r="E56" s="38"/>
      <c r="F56" s="38"/>
      <c r="G56" s="38"/>
      <c r="H56" s="38"/>
      <c r="I56" s="38"/>
      <c r="J56" s="38"/>
      <c r="K56" s="38"/>
      <c r="L56" s="49">
        <f>L49</f>
        <v>43709</v>
      </c>
      <c r="M56" s="49">
        <f t="shared" ref="M56:O56" si="6">M49</f>
        <v>44075</v>
      </c>
      <c r="N56" s="49">
        <f t="shared" si="6"/>
        <v>44441</v>
      </c>
      <c r="O56" s="49">
        <f t="shared" si="6"/>
        <v>44807</v>
      </c>
      <c r="P56" s="38"/>
      <c r="Q56" s="38"/>
      <c r="R56" s="178"/>
    </row>
    <row r="57" spans="2:18" x14ac:dyDescent="0.3">
      <c r="B57" s="177" t="s">
        <v>23</v>
      </c>
      <c r="C57" s="38"/>
      <c r="D57" s="38"/>
      <c r="E57" s="38"/>
      <c r="F57" s="38"/>
      <c r="G57" s="38"/>
      <c r="H57" s="38"/>
      <c r="I57" s="38"/>
      <c r="J57" s="38"/>
      <c r="K57" s="38"/>
      <c r="L57" s="50">
        <f>'Qualcomm- Financials'!C22</f>
        <v>4386000</v>
      </c>
      <c r="M57" s="50">
        <f>'Qualcomm- Financials'!D22</f>
        <v>5198000</v>
      </c>
      <c r="N57" s="50">
        <f>'Qualcomm- Financials'!E22</f>
        <v>9043000</v>
      </c>
      <c r="O57" s="50">
        <f>'Qualcomm- Financials'!F22</f>
        <v>12936000</v>
      </c>
      <c r="P57" s="38"/>
      <c r="Q57" s="38"/>
      <c r="R57" s="178"/>
    </row>
    <row r="58" spans="2:18" x14ac:dyDescent="0.3">
      <c r="B58" s="177" t="s">
        <v>139</v>
      </c>
      <c r="C58" s="38"/>
      <c r="D58" s="38"/>
      <c r="E58" s="38"/>
      <c r="F58" s="38"/>
      <c r="G58" s="38"/>
      <c r="H58" s="38"/>
      <c r="I58" s="38"/>
      <c r="J58" s="38"/>
      <c r="K58" s="38"/>
      <c r="L58" s="50">
        <f>'Qualcomm- Financials'!C4</f>
        <v>24273000</v>
      </c>
      <c r="M58" s="50">
        <f>'Qualcomm- Financials'!D4</f>
        <v>23531000</v>
      </c>
      <c r="N58" s="50">
        <f>'Qualcomm- Financials'!E4</f>
        <v>33566000</v>
      </c>
      <c r="O58" s="50">
        <f>'Qualcomm- Financials'!F4</f>
        <v>44200000</v>
      </c>
      <c r="P58" s="38"/>
      <c r="Q58" s="38"/>
      <c r="R58" s="178"/>
    </row>
    <row r="59" spans="2:18" x14ac:dyDescent="0.3">
      <c r="B59" s="177" t="s">
        <v>39</v>
      </c>
      <c r="C59" s="38"/>
      <c r="D59" s="38"/>
      <c r="E59" s="38"/>
      <c r="F59" s="38"/>
      <c r="G59" s="38"/>
      <c r="H59" s="38"/>
      <c r="I59" s="38"/>
      <c r="J59" s="38"/>
      <c r="K59" s="38"/>
      <c r="L59" s="50">
        <f>'Qualcomm- Financials'!C40</f>
        <v>32957000</v>
      </c>
      <c r="M59" s="50">
        <f>'Qualcomm- Financials'!D40</f>
        <v>35594000</v>
      </c>
      <c r="N59" s="50">
        <f>'Qualcomm- Financials'!E40</f>
        <v>41240000</v>
      </c>
      <c r="O59" s="50">
        <f>'Qualcomm- Financials'!F40</f>
        <v>49014000</v>
      </c>
      <c r="P59" s="38"/>
      <c r="Q59" s="38"/>
      <c r="R59" s="178"/>
    </row>
    <row r="60" spans="2:18" x14ac:dyDescent="0.3">
      <c r="B60" s="177" t="s">
        <v>141</v>
      </c>
      <c r="C60" s="38"/>
      <c r="D60" s="38"/>
      <c r="E60" s="38"/>
      <c r="F60" s="38"/>
      <c r="G60" s="38"/>
      <c r="H60" s="38"/>
      <c r="I60" s="38"/>
      <c r="J60" s="38"/>
      <c r="K60" s="38"/>
      <c r="L60" s="50">
        <f>'Qualcomm- Financials'!C58</f>
        <v>4909000</v>
      </c>
      <c r="M60" s="50">
        <f>'Qualcomm- Financials'!D58</f>
        <v>6077000</v>
      </c>
      <c r="N60" s="50">
        <f>'Qualcomm- Financials'!E58</f>
        <v>9950000</v>
      </c>
      <c r="O60" s="50">
        <f>'Qualcomm- Financials'!F58</f>
        <v>18013000</v>
      </c>
      <c r="P60" s="38"/>
      <c r="Q60" s="38"/>
      <c r="R60" s="178"/>
    </row>
    <row r="61" spans="2:18" x14ac:dyDescent="0.3">
      <c r="B61" s="177" t="s">
        <v>142</v>
      </c>
      <c r="C61" s="38"/>
      <c r="D61" s="38"/>
      <c r="E61" s="38"/>
      <c r="F61" s="38"/>
      <c r="G61" s="38"/>
      <c r="H61" s="38"/>
      <c r="I61" s="38"/>
      <c r="J61" s="38"/>
      <c r="K61" s="38"/>
      <c r="L61" s="67">
        <f>L57/L58</f>
        <v>0.18069459893709058</v>
      </c>
      <c r="M61" s="67">
        <f t="shared" ref="M61:O61" si="7">M57/M58</f>
        <v>0.22090008924397603</v>
      </c>
      <c r="N61" s="67">
        <f t="shared" si="7"/>
        <v>0.2694095215396532</v>
      </c>
      <c r="O61" s="67">
        <f t="shared" si="7"/>
        <v>0.29266968325791853</v>
      </c>
      <c r="P61" s="38"/>
      <c r="Q61" s="38"/>
      <c r="R61" s="178"/>
    </row>
    <row r="62" spans="2:18" x14ac:dyDescent="0.3">
      <c r="B62" s="177" t="s">
        <v>143</v>
      </c>
      <c r="C62" s="38"/>
      <c r="D62" s="38"/>
      <c r="E62" s="38"/>
      <c r="F62" s="38"/>
      <c r="G62" s="38"/>
      <c r="H62" s="38"/>
      <c r="I62" s="38"/>
      <c r="J62" s="38"/>
      <c r="K62" s="38"/>
      <c r="L62" s="39">
        <f>L58/L59</f>
        <v>0.7365051430652062</v>
      </c>
      <c r="M62" s="39">
        <f t="shared" ref="M62:O62" si="8">M58/M59</f>
        <v>0.66109456649997189</v>
      </c>
      <c r="N62" s="39">
        <f t="shared" si="8"/>
        <v>0.81391852570320078</v>
      </c>
      <c r="O62" s="39">
        <f t="shared" si="8"/>
        <v>0.90178316399396086</v>
      </c>
      <c r="P62" s="38"/>
      <c r="Q62" s="38"/>
      <c r="R62" s="178"/>
    </row>
    <row r="63" spans="2:18" x14ac:dyDescent="0.3">
      <c r="B63" s="177" t="s">
        <v>144</v>
      </c>
      <c r="C63" s="38"/>
      <c r="D63" s="38"/>
      <c r="E63" s="38"/>
      <c r="F63" s="38"/>
      <c r="G63" s="38"/>
      <c r="H63" s="38"/>
      <c r="I63" s="38"/>
      <c r="J63" s="38"/>
      <c r="K63" s="38"/>
      <c r="L63" s="39">
        <f>L59/L60</f>
        <v>6.7135872886534935</v>
      </c>
      <c r="M63" s="39">
        <f t="shared" ref="M63:O63" si="9">M59/M60</f>
        <v>5.8571663649827217</v>
      </c>
      <c r="N63" s="39">
        <f t="shared" si="9"/>
        <v>4.1447236180904525</v>
      </c>
      <c r="O63" s="39">
        <f t="shared" si="9"/>
        <v>2.7210348081940818</v>
      </c>
      <c r="P63" s="38"/>
      <c r="Q63" s="38"/>
      <c r="R63" s="178"/>
    </row>
    <row r="64" spans="2:18" x14ac:dyDescent="0.3">
      <c r="B64" s="179" t="s">
        <v>145</v>
      </c>
      <c r="C64" s="180"/>
      <c r="D64" s="180"/>
      <c r="E64" s="180"/>
      <c r="F64" s="180"/>
      <c r="G64" s="180"/>
      <c r="H64" s="180"/>
      <c r="I64" s="180"/>
      <c r="J64" s="180"/>
      <c r="K64" s="180"/>
      <c r="L64" s="187">
        <f>L61*L62*L63</f>
        <v>0.89346099001833368</v>
      </c>
      <c r="M64" s="187">
        <f t="shared" ref="M64:O64" si="10">M61*M62*M63</f>
        <v>0.8553562613131479</v>
      </c>
      <c r="N64" s="187">
        <f t="shared" si="10"/>
        <v>0.90884422110552765</v>
      </c>
      <c r="O64" s="187">
        <f t="shared" si="10"/>
        <v>0.71814800421917491</v>
      </c>
      <c r="P64" s="180"/>
      <c r="Q64" s="180"/>
      <c r="R64" s="182"/>
    </row>
    <row r="65" spans="2:18" x14ac:dyDescent="0.3">
      <c r="B65" s="177"/>
      <c r="C65" s="38"/>
      <c r="D65" s="38"/>
      <c r="E65" s="38"/>
      <c r="F65" s="38"/>
      <c r="G65" s="38"/>
      <c r="H65" s="38"/>
      <c r="I65" s="38"/>
      <c r="J65" s="38"/>
      <c r="K65" s="38"/>
      <c r="L65" s="38"/>
      <c r="M65" s="38"/>
      <c r="N65" s="38"/>
      <c r="O65" s="38"/>
      <c r="P65" s="38"/>
      <c r="Q65" s="38"/>
      <c r="R65" s="178"/>
    </row>
    <row r="66" spans="2:18" x14ac:dyDescent="0.3">
      <c r="B66" s="430" t="s">
        <v>208</v>
      </c>
      <c r="C66" s="431"/>
      <c r="D66" s="431"/>
      <c r="E66" s="431"/>
      <c r="F66" s="431"/>
      <c r="G66" s="431"/>
      <c r="H66" s="431"/>
      <c r="I66" s="431"/>
      <c r="J66" s="431"/>
      <c r="K66" s="431"/>
      <c r="L66" s="431"/>
      <c r="M66" s="431"/>
      <c r="N66" s="431"/>
      <c r="O66" s="431"/>
      <c r="P66" s="431"/>
      <c r="Q66" s="431"/>
      <c r="R66" s="432"/>
    </row>
    <row r="67" spans="2:18" x14ac:dyDescent="0.3">
      <c r="B67" s="177"/>
      <c r="C67" s="38"/>
      <c r="D67" s="38"/>
      <c r="E67" s="38"/>
      <c r="F67" s="38"/>
      <c r="G67" s="38"/>
      <c r="H67" s="38"/>
      <c r="I67" s="38"/>
      <c r="J67" s="38"/>
      <c r="K67" s="38"/>
      <c r="L67" s="49">
        <f>L56</f>
        <v>43709</v>
      </c>
      <c r="M67" s="49">
        <f t="shared" ref="M67:O67" si="11">M56</f>
        <v>44075</v>
      </c>
      <c r="N67" s="49">
        <f t="shared" si="11"/>
        <v>44441</v>
      </c>
      <c r="O67" s="49">
        <f t="shared" si="11"/>
        <v>44807</v>
      </c>
      <c r="P67" s="38"/>
      <c r="Q67" s="38"/>
      <c r="R67" s="178"/>
    </row>
    <row r="68" spans="2:18" x14ac:dyDescent="0.3">
      <c r="B68" s="177" t="s">
        <v>23</v>
      </c>
      <c r="C68" s="38"/>
      <c r="D68" s="38"/>
      <c r="E68" s="38"/>
      <c r="F68" s="38"/>
      <c r="G68" s="38"/>
      <c r="H68" s="38"/>
      <c r="I68" s="38"/>
      <c r="J68" s="38"/>
      <c r="K68" s="38"/>
      <c r="L68" s="50">
        <f>L57</f>
        <v>4386000</v>
      </c>
      <c r="M68" s="50">
        <f t="shared" ref="M68:O68" si="12">M57</f>
        <v>5198000</v>
      </c>
      <c r="N68" s="50">
        <f t="shared" si="12"/>
        <v>9043000</v>
      </c>
      <c r="O68" s="50">
        <f t="shared" si="12"/>
        <v>12936000</v>
      </c>
      <c r="P68" s="38"/>
      <c r="Q68" s="38"/>
      <c r="R68" s="178"/>
    </row>
    <row r="69" spans="2:18" x14ac:dyDescent="0.3">
      <c r="B69" s="177" t="s">
        <v>139</v>
      </c>
      <c r="C69" s="38"/>
      <c r="D69" s="38"/>
      <c r="E69" s="38"/>
      <c r="F69" s="38"/>
      <c r="G69" s="38"/>
      <c r="H69" s="38"/>
      <c r="I69" s="38"/>
      <c r="J69" s="38"/>
      <c r="K69" s="38"/>
      <c r="L69" s="50">
        <f t="shared" ref="L69:O69" si="13">L58</f>
        <v>24273000</v>
      </c>
      <c r="M69" s="50">
        <f t="shared" si="13"/>
        <v>23531000</v>
      </c>
      <c r="N69" s="50">
        <f t="shared" si="13"/>
        <v>33566000</v>
      </c>
      <c r="O69" s="50">
        <f t="shared" si="13"/>
        <v>44200000</v>
      </c>
      <c r="P69" s="38"/>
      <c r="Q69" s="38"/>
      <c r="R69" s="178"/>
    </row>
    <row r="70" spans="2:18" x14ac:dyDescent="0.3">
      <c r="B70" s="177" t="s">
        <v>39</v>
      </c>
      <c r="C70" s="38"/>
      <c r="D70" s="38"/>
      <c r="E70" s="38"/>
      <c r="F70" s="38"/>
      <c r="G70" s="38"/>
      <c r="H70" s="38"/>
      <c r="I70" s="38"/>
      <c r="J70" s="38"/>
      <c r="K70" s="38"/>
      <c r="L70" s="50">
        <f t="shared" ref="L70:O70" si="14">L59</f>
        <v>32957000</v>
      </c>
      <c r="M70" s="50">
        <f t="shared" si="14"/>
        <v>35594000</v>
      </c>
      <c r="N70" s="50">
        <f t="shared" si="14"/>
        <v>41240000</v>
      </c>
      <c r="O70" s="50">
        <f t="shared" si="14"/>
        <v>49014000</v>
      </c>
      <c r="P70" s="38"/>
      <c r="Q70" s="38"/>
      <c r="R70" s="178"/>
    </row>
    <row r="71" spans="2:18" x14ac:dyDescent="0.3">
      <c r="B71" s="177" t="s">
        <v>142</v>
      </c>
      <c r="C71" s="38"/>
      <c r="D71" s="38"/>
      <c r="E71" s="38"/>
      <c r="F71" s="38"/>
      <c r="G71" s="38"/>
      <c r="H71" s="38"/>
      <c r="I71" s="38"/>
      <c r="J71" s="38"/>
      <c r="K71" s="38"/>
      <c r="L71" s="67">
        <f>L68/L69</f>
        <v>0.18069459893709058</v>
      </c>
      <c r="M71" s="67">
        <f t="shared" ref="M71:O71" si="15">M68/M69</f>
        <v>0.22090008924397603</v>
      </c>
      <c r="N71" s="67">
        <f t="shared" si="15"/>
        <v>0.2694095215396532</v>
      </c>
      <c r="O71" s="67">
        <f t="shared" si="15"/>
        <v>0.29266968325791853</v>
      </c>
      <c r="P71" s="38"/>
      <c r="Q71" s="38"/>
      <c r="R71" s="178"/>
    </row>
    <row r="72" spans="2:18" x14ac:dyDescent="0.3">
      <c r="B72" s="177" t="s">
        <v>143</v>
      </c>
      <c r="C72" s="38"/>
      <c r="D72" s="38"/>
      <c r="E72" s="38"/>
      <c r="F72" s="38"/>
      <c r="G72" s="38"/>
      <c r="H72" s="38"/>
      <c r="I72" s="38"/>
      <c r="J72" s="38"/>
      <c r="K72" s="38"/>
      <c r="L72" s="39">
        <f>L69/L70</f>
        <v>0.7365051430652062</v>
      </c>
      <c r="M72" s="39">
        <f t="shared" ref="M72:O72" si="16">M69/M70</f>
        <v>0.66109456649997189</v>
      </c>
      <c r="N72" s="39">
        <f t="shared" si="16"/>
        <v>0.81391852570320078</v>
      </c>
      <c r="O72" s="39">
        <f t="shared" si="16"/>
        <v>0.90178316399396086</v>
      </c>
      <c r="P72" s="38"/>
      <c r="Q72" s="38"/>
      <c r="R72" s="178"/>
    </row>
    <row r="73" spans="2:18" ht="15" thickBot="1" x14ac:dyDescent="0.35">
      <c r="B73" s="183" t="s">
        <v>147</v>
      </c>
      <c r="C73" s="184"/>
      <c r="D73" s="184"/>
      <c r="E73" s="184"/>
      <c r="F73" s="184"/>
      <c r="G73" s="184"/>
      <c r="H73" s="184"/>
      <c r="I73" s="184"/>
      <c r="J73" s="184"/>
      <c r="K73" s="184"/>
      <c r="L73" s="188">
        <f>L71*L72</f>
        <v>0.13308250144127196</v>
      </c>
      <c r="M73" s="188">
        <f t="shared" ref="M73:O73" si="17">M71*M72</f>
        <v>0.14603584873855144</v>
      </c>
      <c r="N73" s="188">
        <f t="shared" si="17"/>
        <v>0.21927740058195924</v>
      </c>
      <c r="O73" s="188">
        <f t="shared" si="17"/>
        <v>0.26392459297343612</v>
      </c>
      <c r="P73" s="184"/>
      <c r="Q73" s="184"/>
      <c r="R73" s="186"/>
    </row>
    <row r="75" spans="2:18" x14ac:dyDescent="0.3">
      <c r="B75" s="12" t="s">
        <v>194</v>
      </c>
    </row>
    <row r="76" spans="2:18" x14ac:dyDescent="0.3">
      <c r="B76" s="189" t="s">
        <v>241</v>
      </c>
      <c r="C76" s="189"/>
      <c r="D76" s="189"/>
      <c r="E76" s="189"/>
      <c r="F76" s="189"/>
      <c r="G76" s="189"/>
      <c r="H76" s="189"/>
      <c r="I76" s="189"/>
      <c r="J76" s="189"/>
      <c r="K76" s="189"/>
      <c r="L76" s="189"/>
      <c r="M76" s="189"/>
      <c r="N76" s="189"/>
      <c r="O76" s="189"/>
      <c r="P76" s="189"/>
      <c r="Q76" s="189"/>
      <c r="R76" s="189"/>
    </row>
    <row r="77" spans="2:18" x14ac:dyDescent="0.3">
      <c r="B77" s="189" t="s">
        <v>242</v>
      </c>
      <c r="C77" s="189"/>
      <c r="D77" s="189"/>
      <c r="E77" s="189"/>
      <c r="F77" s="189"/>
      <c r="G77" s="189"/>
      <c r="H77" s="189"/>
      <c r="I77" s="189"/>
      <c r="J77" s="189"/>
      <c r="K77" s="189"/>
      <c r="L77" s="189"/>
      <c r="M77" s="189"/>
      <c r="N77" s="189"/>
      <c r="O77" s="189"/>
      <c r="P77" s="189"/>
      <c r="Q77" s="189"/>
      <c r="R77" s="189"/>
    </row>
    <row r="78" spans="2:18" x14ac:dyDescent="0.3">
      <c r="B78" s="189" t="s">
        <v>243</v>
      </c>
      <c r="C78" s="189"/>
      <c r="D78" s="189"/>
      <c r="E78" s="189"/>
      <c r="F78" s="189"/>
      <c r="G78" s="189"/>
      <c r="H78" s="189"/>
      <c r="I78" s="189"/>
      <c r="J78" s="189"/>
      <c r="K78" s="189"/>
      <c r="L78" s="189"/>
      <c r="M78" s="189"/>
      <c r="N78" s="189"/>
      <c r="O78" s="189"/>
      <c r="P78" s="189"/>
      <c r="Q78" s="189"/>
      <c r="R78" s="189"/>
    </row>
    <row r="79" spans="2:18" x14ac:dyDescent="0.3">
      <c r="B79" s="189" t="s">
        <v>244</v>
      </c>
      <c r="C79" s="189"/>
      <c r="D79" s="189"/>
      <c r="E79" s="189"/>
      <c r="F79" s="189"/>
      <c r="G79" s="189"/>
      <c r="H79" s="189"/>
      <c r="I79" s="189"/>
      <c r="J79" s="189"/>
      <c r="K79" s="189"/>
      <c r="L79" s="189"/>
      <c r="M79" s="189"/>
      <c r="N79" s="189"/>
      <c r="O79" s="189"/>
      <c r="P79" s="189"/>
      <c r="Q79" s="189"/>
      <c r="R79" s="189"/>
    </row>
    <row r="81" spans="2:18" x14ac:dyDescent="0.3">
      <c r="B81" s="437" t="s">
        <v>209</v>
      </c>
      <c r="C81" s="438"/>
      <c r="D81" s="438"/>
      <c r="E81" s="438"/>
      <c r="F81" s="438"/>
      <c r="G81" s="438"/>
      <c r="H81" s="438"/>
      <c r="I81" s="438"/>
      <c r="J81" s="438"/>
      <c r="K81" s="438"/>
      <c r="L81" s="438"/>
      <c r="M81" s="438"/>
      <c r="N81" s="438"/>
      <c r="O81" s="438"/>
      <c r="P81" s="438"/>
      <c r="Q81" s="438"/>
      <c r="R81" s="439"/>
    </row>
    <row r="82" spans="2:18" x14ac:dyDescent="0.3">
      <c r="B82" s="177"/>
      <c r="C82" s="38"/>
      <c r="D82" s="38"/>
      <c r="E82" s="38"/>
      <c r="F82" s="38"/>
      <c r="G82" s="38"/>
      <c r="H82" s="38"/>
      <c r="I82" s="38"/>
      <c r="J82" s="38"/>
      <c r="K82" s="38"/>
      <c r="L82" s="38"/>
      <c r="M82" s="38"/>
      <c r="N82" s="38"/>
      <c r="O82" s="38"/>
      <c r="P82" s="38"/>
      <c r="Q82" s="38"/>
      <c r="R82" s="178"/>
    </row>
    <row r="83" spans="2:18" x14ac:dyDescent="0.3">
      <c r="B83" s="430" t="s">
        <v>151</v>
      </c>
      <c r="C83" s="431"/>
      <c r="D83" s="431"/>
      <c r="E83" s="431"/>
      <c r="F83" s="431"/>
      <c r="G83" s="431"/>
      <c r="H83" s="431"/>
      <c r="I83" s="431"/>
      <c r="J83" s="431"/>
      <c r="K83" s="431"/>
      <c r="L83" s="431"/>
      <c r="M83" s="431"/>
      <c r="N83" s="431"/>
      <c r="O83" s="431"/>
      <c r="P83" s="431"/>
      <c r="Q83" s="431"/>
      <c r="R83" s="432"/>
    </row>
    <row r="84" spans="2:18" x14ac:dyDescent="0.3">
      <c r="B84" s="177"/>
      <c r="C84" s="38"/>
      <c r="D84" s="38"/>
      <c r="E84" s="38"/>
      <c r="F84" s="38"/>
      <c r="G84" s="38"/>
      <c r="H84" s="38"/>
      <c r="I84" s="38"/>
      <c r="J84" s="38"/>
      <c r="K84" s="38"/>
      <c r="L84" s="49">
        <f>L67</f>
        <v>43709</v>
      </c>
      <c r="M84" s="49">
        <f t="shared" ref="M84:O84" si="18">M67</f>
        <v>44075</v>
      </c>
      <c r="N84" s="49">
        <f t="shared" si="18"/>
        <v>44441</v>
      </c>
      <c r="O84" s="49">
        <f t="shared" si="18"/>
        <v>44807</v>
      </c>
      <c r="P84" s="38"/>
      <c r="Q84" s="38"/>
      <c r="R84" s="178"/>
    </row>
    <row r="85" spans="2:18" x14ac:dyDescent="0.3">
      <c r="B85" s="177" t="s">
        <v>152</v>
      </c>
      <c r="C85" s="38"/>
      <c r="D85" s="38"/>
      <c r="E85" s="38"/>
      <c r="F85" s="38"/>
      <c r="G85" s="38"/>
      <c r="H85" s="38"/>
      <c r="I85" s="38"/>
      <c r="J85" s="38"/>
      <c r="K85" s="38"/>
      <c r="L85" s="50">
        <f>'Qualcomm- Financials'!C32-'Qualcomm- Financials'!C45</f>
        <v>7830000</v>
      </c>
      <c r="M85" s="50">
        <f>'Qualcomm- Financials'!D32-'Qualcomm- Financials'!D45</f>
        <v>9847000</v>
      </c>
      <c r="N85" s="50">
        <f>'Qualcomm- Financials'!E32-'Qualcomm- Financials'!E45</f>
        <v>8124000</v>
      </c>
      <c r="O85" s="50">
        <f>'Qualcomm- Financials'!F32-'Qualcomm- Financials'!F45</f>
        <v>8858000</v>
      </c>
      <c r="P85" s="38"/>
      <c r="Q85" s="38"/>
      <c r="R85" s="178"/>
    </row>
    <row r="86" spans="2:18" x14ac:dyDescent="0.3">
      <c r="B86" s="177" t="s">
        <v>39</v>
      </c>
      <c r="C86" s="38"/>
      <c r="D86" s="38"/>
      <c r="E86" s="38"/>
      <c r="F86" s="38"/>
      <c r="G86" s="38"/>
      <c r="H86" s="38"/>
      <c r="I86" s="38"/>
      <c r="J86" s="38"/>
      <c r="K86" s="38"/>
      <c r="L86" s="50">
        <f>L70</f>
        <v>32957000</v>
      </c>
      <c r="M86" s="50">
        <f t="shared" ref="M86:O86" si="19">M70</f>
        <v>35594000</v>
      </c>
      <c r="N86" s="50">
        <f t="shared" si="19"/>
        <v>41240000</v>
      </c>
      <c r="O86" s="50">
        <f t="shared" si="19"/>
        <v>49014000</v>
      </c>
      <c r="P86" s="38"/>
      <c r="Q86" s="38"/>
      <c r="R86" s="178"/>
    </row>
    <row r="87" spans="2:18" x14ac:dyDescent="0.3">
      <c r="B87" s="179" t="s">
        <v>161</v>
      </c>
      <c r="C87" s="180"/>
      <c r="D87" s="180"/>
      <c r="E87" s="180"/>
      <c r="F87" s="180"/>
      <c r="G87" s="180"/>
      <c r="H87" s="180"/>
      <c r="I87" s="180"/>
      <c r="J87" s="180"/>
      <c r="K87" s="180"/>
      <c r="L87" s="181">
        <f>L85/L86</f>
        <v>0.23758230421458265</v>
      </c>
      <c r="M87" s="181">
        <f t="shared" ref="M87:O87" si="20">M85/M86</f>
        <v>0.27664774962072258</v>
      </c>
      <c r="N87" s="181">
        <f t="shared" si="20"/>
        <v>0.19699321047526674</v>
      </c>
      <c r="O87" s="181">
        <f t="shared" si="20"/>
        <v>0.18072387481127841</v>
      </c>
      <c r="P87" s="180"/>
      <c r="Q87" s="180"/>
      <c r="R87" s="182"/>
    </row>
    <row r="88" spans="2:18" x14ac:dyDescent="0.3">
      <c r="B88" s="177"/>
      <c r="C88" s="38"/>
      <c r="D88" s="38"/>
      <c r="E88" s="38"/>
      <c r="F88" s="38"/>
      <c r="G88" s="38"/>
      <c r="H88" s="38"/>
      <c r="I88" s="38"/>
      <c r="J88" s="38"/>
      <c r="K88" s="38"/>
      <c r="L88" s="38"/>
      <c r="M88" s="38"/>
      <c r="N88" s="38"/>
      <c r="O88" s="38"/>
      <c r="P88" s="38"/>
      <c r="Q88" s="38"/>
      <c r="R88" s="178"/>
    </row>
    <row r="89" spans="2:18" x14ac:dyDescent="0.3">
      <c r="B89" s="430" t="s">
        <v>153</v>
      </c>
      <c r="C89" s="431"/>
      <c r="D89" s="431"/>
      <c r="E89" s="431"/>
      <c r="F89" s="431"/>
      <c r="G89" s="431"/>
      <c r="H89" s="431"/>
      <c r="I89" s="431"/>
      <c r="J89" s="431"/>
      <c r="K89" s="431"/>
      <c r="L89" s="431"/>
      <c r="M89" s="431"/>
      <c r="N89" s="431"/>
      <c r="O89" s="431"/>
      <c r="P89" s="431"/>
      <c r="Q89" s="431"/>
      <c r="R89" s="432"/>
    </row>
    <row r="90" spans="2:18" x14ac:dyDescent="0.3">
      <c r="B90" s="177"/>
      <c r="C90" s="38"/>
      <c r="D90" s="38"/>
      <c r="E90" s="38"/>
      <c r="F90" s="38"/>
      <c r="G90" s="38"/>
      <c r="H90" s="38"/>
      <c r="I90" s="38"/>
      <c r="J90" s="38"/>
      <c r="K90" s="38"/>
      <c r="L90" s="49">
        <f>L84</f>
        <v>43709</v>
      </c>
      <c r="M90" s="49">
        <f t="shared" ref="M90:O90" si="21">M84</f>
        <v>44075</v>
      </c>
      <c r="N90" s="49">
        <f t="shared" si="21"/>
        <v>44441</v>
      </c>
      <c r="O90" s="49">
        <f t="shared" si="21"/>
        <v>44807</v>
      </c>
      <c r="P90" s="38"/>
      <c r="Q90" s="38"/>
      <c r="R90" s="178"/>
    </row>
    <row r="91" spans="2:18" x14ac:dyDescent="0.3">
      <c r="B91" s="177" t="s">
        <v>186</v>
      </c>
      <c r="C91" s="38"/>
      <c r="D91" s="38"/>
      <c r="E91" s="38"/>
      <c r="F91" s="38"/>
      <c r="G91" s="38"/>
      <c r="H91" s="38"/>
      <c r="I91" s="38"/>
      <c r="J91" s="38"/>
      <c r="K91" s="38"/>
      <c r="L91" s="50">
        <f>'Qualcomm- Financials'!C14</f>
        <v>8108000</v>
      </c>
      <c r="M91" s="50">
        <f>'Qualcomm- Financials'!D14</f>
        <v>6321000</v>
      </c>
      <c r="N91" s="50">
        <f>'Qualcomm- Financials'!E14</f>
        <v>10833000</v>
      </c>
      <c r="O91" s="50">
        <f>'Qualcomm- Financials'!F14</f>
        <v>15488000</v>
      </c>
      <c r="P91" s="38"/>
      <c r="Q91" s="38"/>
      <c r="R91" s="178"/>
    </row>
    <row r="92" spans="2:18" x14ac:dyDescent="0.3">
      <c r="B92" s="177" t="s">
        <v>39</v>
      </c>
      <c r="C92" s="38"/>
      <c r="D92" s="38"/>
      <c r="E92" s="38"/>
      <c r="F92" s="38"/>
      <c r="G92" s="38"/>
      <c r="H92" s="38"/>
      <c r="I92" s="38"/>
      <c r="J92" s="38"/>
      <c r="K92" s="38"/>
      <c r="L92" s="50">
        <f>L86</f>
        <v>32957000</v>
      </c>
      <c r="M92" s="50">
        <f t="shared" ref="M92:O92" si="22">M86</f>
        <v>35594000</v>
      </c>
      <c r="N92" s="50">
        <f t="shared" si="22"/>
        <v>41240000</v>
      </c>
      <c r="O92" s="50">
        <f t="shared" si="22"/>
        <v>49014000</v>
      </c>
      <c r="P92" s="38"/>
      <c r="Q92" s="38"/>
      <c r="R92" s="178"/>
    </row>
    <row r="93" spans="2:18" x14ac:dyDescent="0.3">
      <c r="B93" s="179" t="s">
        <v>237</v>
      </c>
      <c r="C93" s="180"/>
      <c r="D93" s="180"/>
      <c r="E93" s="180"/>
      <c r="F93" s="180"/>
      <c r="G93" s="180"/>
      <c r="H93" s="180"/>
      <c r="I93" s="180"/>
      <c r="J93" s="180"/>
      <c r="K93" s="180"/>
      <c r="L93" s="181">
        <f>L91/L92</f>
        <v>0.24601753800406589</v>
      </c>
      <c r="M93" s="181">
        <f t="shared" ref="M93:O93" si="23">M91/M92</f>
        <v>0.17758611001854246</v>
      </c>
      <c r="N93" s="181">
        <f t="shared" si="23"/>
        <v>0.26268186226964113</v>
      </c>
      <c r="O93" s="181">
        <f t="shared" si="23"/>
        <v>0.31599134941037255</v>
      </c>
      <c r="P93" s="180"/>
      <c r="Q93" s="180"/>
      <c r="R93" s="182"/>
    </row>
    <row r="94" spans="2:18" x14ac:dyDescent="0.3">
      <c r="B94" s="177"/>
      <c r="C94" s="38"/>
      <c r="D94" s="38"/>
      <c r="E94" s="38"/>
      <c r="F94" s="38"/>
      <c r="G94" s="38"/>
      <c r="H94" s="38"/>
      <c r="I94" s="38"/>
      <c r="J94" s="38"/>
      <c r="K94" s="38"/>
      <c r="L94" s="38"/>
      <c r="M94" s="38"/>
      <c r="N94" s="38"/>
      <c r="O94" s="38"/>
      <c r="P94" s="38"/>
      <c r="Q94" s="38"/>
      <c r="R94" s="178"/>
    </row>
    <row r="95" spans="2:18" x14ac:dyDescent="0.3">
      <c r="B95" s="430" t="s">
        <v>154</v>
      </c>
      <c r="C95" s="431"/>
      <c r="D95" s="431"/>
      <c r="E95" s="431"/>
      <c r="F95" s="431"/>
      <c r="G95" s="431"/>
      <c r="H95" s="431"/>
      <c r="I95" s="431"/>
      <c r="J95" s="431"/>
      <c r="K95" s="431"/>
      <c r="L95" s="431"/>
      <c r="M95" s="431"/>
      <c r="N95" s="431"/>
      <c r="O95" s="431"/>
      <c r="P95" s="431"/>
      <c r="Q95" s="431"/>
      <c r="R95" s="432"/>
    </row>
    <row r="96" spans="2:18" x14ac:dyDescent="0.3">
      <c r="B96" s="177"/>
      <c r="C96" s="38"/>
      <c r="D96" s="38"/>
      <c r="E96" s="38"/>
      <c r="F96" s="38"/>
      <c r="G96" s="38"/>
      <c r="H96" s="38"/>
      <c r="I96" s="38"/>
      <c r="J96" s="38"/>
      <c r="K96" s="38"/>
      <c r="L96" s="49">
        <f>L90</f>
        <v>43709</v>
      </c>
      <c r="M96" s="49">
        <f t="shared" ref="M96:O96" si="24">M90</f>
        <v>44075</v>
      </c>
      <c r="N96" s="49">
        <f t="shared" si="24"/>
        <v>44441</v>
      </c>
      <c r="O96" s="49">
        <f t="shared" si="24"/>
        <v>44807</v>
      </c>
      <c r="P96" s="38"/>
      <c r="Q96" s="38"/>
      <c r="R96" s="178"/>
    </row>
    <row r="97" spans="2:18" x14ac:dyDescent="0.3">
      <c r="B97" s="177" t="s">
        <v>23</v>
      </c>
      <c r="C97" s="38"/>
      <c r="D97" s="38"/>
      <c r="E97" s="38"/>
      <c r="F97" s="38"/>
      <c r="G97" s="38"/>
      <c r="H97" s="38"/>
      <c r="I97" s="38"/>
      <c r="J97" s="38"/>
      <c r="K97" s="38"/>
      <c r="L97" s="51">
        <f>'Qualcomm- Financials'!C22</f>
        <v>4386000</v>
      </c>
      <c r="M97" s="51">
        <f>'Qualcomm- Financials'!D22</f>
        <v>5198000</v>
      </c>
      <c r="N97" s="51">
        <f>'Qualcomm- Financials'!E22</f>
        <v>9043000</v>
      </c>
      <c r="O97" s="51">
        <f>'Qualcomm- Financials'!F22</f>
        <v>12936000</v>
      </c>
      <c r="P97" s="38"/>
      <c r="Q97" s="38"/>
      <c r="R97" s="178"/>
    </row>
    <row r="98" spans="2:18" x14ac:dyDescent="0.3">
      <c r="B98" s="177" t="s">
        <v>231</v>
      </c>
      <c r="C98" s="38"/>
      <c r="D98" s="38"/>
      <c r="E98" s="38"/>
      <c r="F98" s="38"/>
      <c r="G98" s="38"/>
      <c r="H98" s="38"/>
      <c r="I98" s="38"/>
      <c r="J98" s="38"/>
      <c r="K98" s="38"/>
      <c r="L98" s="51">
        <f>'Qualcomm- Financials'!C79</f>
        <v>-1379000</v>
      </c>
      <c r="M98" s="51">
        <f>'Qualcomm- Financials'!D79</f>
        <v>-2121000</v>
      </c>
      <c r="N98" s="51">
        <f>'Qualcomm- Financials'!E79</f>
        <v>-3019000</v>
      </c>
      <c r="O98" s="51">
        <f>'Qualcomm- Financials'!F79</f>
        <v>-2773000</v>
      </c>
      <c r="P98" s="38"/>
      <c r="Q98" s="38"/>
      <c r="R98" s="178"/>
    </row>
    <row r="99" spans="2:18" x14ac:dyDescent="0.3">
      <c r="B99" s="177" t="s">
        <v>232</v>
      </c>
      <c r="C99" s="38"/>
      <c r="D99" s="38"/>
      <c r="E99" s="38"/>
      <c r="F99" s="38"/>
      <c r="G99" s="38"/>
      <c r="H99" s="38"/>
      <c r="I99" s="38"/>
      <c r="J99" s="38"/>
      <c r="K99" s="38"/>
      <c r="L99" s="51">
        <f>L97+L98</f>
        <v>3007000</v>
      </c>
      <c r="M99" s="51">
        <f t="shared" ref="M99:O99" si="25">M97+M98</f>
        <v>3077000</v>
      </c>
      <c r="N99" s="51">
        <f t="shared" si="25"/>
        <v>6024000</v>
      </c>
      <c r="O99" s="51">
        <f t="shared" si="25"/>
        <v>10163000</v>
      </c>
      <c r="P99" s="38"/>
      <c r="Q99" s="38"/>
      <c r="R99" s="178"/>
    </row>
    <row r="100" spans="2:18" x14ac:dyDescent="0.3">
      <c r="B100" s="177" t="s">
        <v>39</v>
      </c>
      <c r="C100" s="38"/>
      <c r="D100" s="38"/>
      <c r="E100" s="38"/>
      <c r="F100" s="38"/>
      <c r="G100" s="38"/>
      <c r="H100" s="38"/>
      <c r="I100" s="38"/>
      <c r="J100" s="38"/>
      <c r="K100" s="38"/>
      <c r="L100" s="50">
        <f>L92</f>
        <v>32957000</v>
      </c>
      <c r="M100" s="50">
        <f t="shared" ref="M100:O100" si="26">M92</f>
        <v>35594000</v>
      </c>
      <c r="N100" s="50">
        <f t="shared" si="26"/>
        <v>41240000</v>
      </c>
      <c r="O100" s="50">
        <f t="shared" si="26"/>
        <v>49014000</v>
      </c>
      <c r="P100" s="38"/>
      <c r="Q100" s="38"/>
      <c r="R100" s="178"/>
    </row>
    <row r="101" spans="2:18" x14ac:dyDescent="0.3">
      <c r="B101" s="179" t="s">
        <v>238</v>
      </c>
      <c r="C101" s="180"/>
      <c r="D101" s="180"/>
      <c r="E101" s="180"/>
      <c r="F101" s="180"/>
      <c r="G101" s="180"/>
      <c r="H101" s="180"/>
      <c r="I101" s="180"/>
      <c r="J101" s="180"/>
      <c r="K101" s="180"/>
      <c r="L101" s="181">
        <f>L99/L100</f>
        <v>9.1240100737324387E-2</v>
      </c>
      <c r="M101" s="181">
        <f t="shared" ref="M101:O101" si="27">M99/M100</f>
        <v>8.6447154014721583E-2</v>
      </c>
      <c r="N101" s="181">
        <f t="shared" si="27"/>
        <v>0.14607177497575169</v>
      </c>
      <c r="O101" s="181">
        <f t="shared" si="27"/>
        <v>0.20734892071652997</v>
      </c>
      <c r="P101" s="180"/>
      <c r="Q101" s="180"/>
      <c r="R101" s="182"/>
    </row>
    <row r="102" spans="2:18" x14ac:dyDescent="0.3">
      <c r="B102" s="177"/>
      <c r="C102" s="38"/>
      <c r="D102" s="38"/>
      <c r="E102" s="38"/>
      <c r="F102" s="38"/>
      <c r="G102" s="38"/>
      <c r="H102" s="38"/>
      <c r="I102" s="38"/>
      <c r="J102" s="38"/>
      <c r="K102" s="38"/>
      <c r="L102" s="38"/>
      <c r="M102" s="38"/>
      <c r="N102" s="38"/>
      <c r="O102" s="38"/>
      <c r="P102" s="38"/>
      <c r="Q102" s="38"/>
      <c r="R102" s="178"/>
    </row>
    <row r="103" spans="2:18" x14ac:dyDescent="0.3">
      <c r="B103" s="430" t="s">
        <v>156</v>
      </c>
      <c r="C103" s="431"/>
      <c r="D103" s="431"/>
      <c r="E103" s="431"/>
      <c r="F103" s="431"/>
      <c r="G103" s="431"/>
      <c r="H103" s="431"/>
      <c r="I103" s="431"/>
      <c r="J103" s="431"/>
      <c r="K103" s="431"/>
      <c r="L103" s="431"/>
      <c r="M103" s="431"/>
      <c r="N103" s="431"/>
      <c r="O103" s="431"/>
      <c r="P103" s="431"/>
      <c r="Q103" s="431"/>
      <c r="R103" s="432"/>
    </row>
    <row r="104" spans="2:18" x14ac:dyDescent="0.3">
      <c r="B104" s="177"/>
      <c r="C104" s="38"/>
      <c r="D104" s="38"/>
      <c r="E104" s="38"/>
      <c r="F104" s="38"/>
      <c r="G104" s="38"/>
      <c r="H104" s="38"/>
      <c r="I104" s="38"/>
      <c r="J104" s="38"/>
      <c r="K104" s="38"/>
      <c r="L104" s="49">
        <f>L96</f>
        <v>43709</v>
      </c>
      <c r="M104" s="49">
        <f t="shared" ref="M104:O104" si="28">M96</f>
        <v>44075</v>
      </c>
      <c r="N104" s="49">
        <f t="shared" si="28"/>
        <v>44441</v>
      </c>
      <c r="O104" s="49">
        <f t="shared" si="28"/>
        <v>44807</v>
      </c>
      <c r="P104" s="38"/>
      <c r="Q104" s="38"/>
      <c r="R104" s="178"/>
    </row>
    <row r="105" spans="2:18" x14ac:dyDescent="0.3">
      <c r="B105" s="177" t="s">
        <v>139</v>
      </c>
      <c r="C105" s="38"/>
      <c r="D105" s="38"/>
      <c r="E105" s="38"/>
      <c r="F105" s="38"/>
      <c r="G105" s="38"/>
      <c r="H105" s="38"/>
      <c r="I105" s="38"/>
      <c r="J105" s="38"/>
      <c r="K105" s="38"/>
      <c r="L105" s="50">
        <f>'Qualcomm- Financials'!C4</f>
        <v>24273000</v>
      </c>
      <c r="M105" s="50">
        <f>'Qualcomm- Financials'!D4</f>
        <v>23531000</v>
      </c>
      <c r="N105" s="50">
        <f>'Qualcomm- Financials'!E4</f>
        <v>33566000</v>
      </c>
      <c r="O105" s="50">
        <f>'Qualcomm- Financials'!F4</f>
        <v>44200000</v>
      </c>
      <c r="P105" s="38"/>
      <c r="Q105" s="38"/>
      <c r="R105" s="178"/>
    </row>
    <row r="106" spans="2:18" x14ac:dyDescent="0.3">
      <c r="B106" s="177" t="s">
        <v>39</v>
      </c>
      <c r="C106" s="38"/>
      <c r="D106" s="38"/>
      <c r="E106" s="38"/>
      <c r="F106" s="38"/>
      <c r="G106" s="38"/>
      <c r="H106" s="38"/>
      <c r="I106" s="38"/>
      <c r="J106" s="38"/>
      <c r="K106" s="38"/>
      <c r="L106" s="50">
        <f>L100</f>
        <v>32957000</v>
      </c>
      <c r="M106" s="50">
        <f t="shared" ref="M106:O106" si="29">M100</f>
        <v>35594000</v>
      </c>
      <c r="N106" s="50">
        <f t="shared" si="29"/>
        <v>41240000</v>
      </c>
      <c r="O106" s="50">
        <f t="shared" si="29"/>
        <v>49014000</v>
      </c>
      <c r="P106" s="38"/>
      <c r="Q106" s="38"/>
      <c r="R106" s="178"/>
    </row>
    <row r="107" spans="2:18" x14ac:dyDescent="0.3">
      <c r="B107" s="179" t="s">
        <v>239</v>
      </c>
      <c r="C107" s="180"/>
      <c r="D107" s="180"/>
      <c r="E107" s="180"/>
      <c r="F107" s="180"/>
      <c r="G107" s="180"/>
      <c r="H107" s="180"/>
      <c r="I107" s="180"/>
      <c r="J107" s="180"/>
      <c r="K107" s="180"/>
      <c r="L107" s="181">
        <f>L105/L106</f>
        <v>0.7365051430652062</v>
      </c>
      <c r="M107" s="181">
        <f t="shared" ref="M107:O107" si="30">M105/M106</f>
        <v>0.66109456649997189</v>
      </c>
      <c r="N107" s="181">
        <f t="shared" si="30"/>
        <v>0.81391852570320078</v>
      </c>
      <c r="O107" s="181">
        <f t="shared" si="30"/>
        <v>0.90178316399396086</v>
      </c>
      <c r="P107" s="180"/>
      <c r="Q107" s="180"/>
      <c r="R107" s="182"/>
    </row>
    <row r="108" spans="2:18" x14ac:dyDescent="0.3">
      <c r="B108" s="177"/>
      <c r="C108" s="38"/>
      <c r="D108" s="38"/>
      <c r="E108" s="38"/>
      <c r="F108" s="38"/>
      <c r="G108" s="38"/>
      <c r="H108" s="38"/>
      <c r="I108" s="38"/>
      <c r="J108" s="38"/>
      <c r="K108" s="38"/>
      <c r="L108" s="38"/>
      <c r="M108" s="38"/>
      <c r="N108" s="38"/>
      <c r="O108" s="38"/>
      <c r="P108" s="38"/>
      <c r="Q108" s="38"/>
      <c r="R108" s="178"/>
    </row>
    <row r="109" spans="2:18" x14ac:dyDescent="0.3">
      <c r="B109" s="430" t="s">
        <v>224</v>
      </c>
      <c r="C109" s="431"/>
      <c r="D109" s="431"/>
      <c r="E109" s="431"/>
      <c r="F109" s="431"/>
      <c r="G109" s="431"/>
      <c r="H109" s="431"/>
      <c r="I109" s="431"/>
      <c r="J109" s="431"/>
      <c r="K109" s="431"/>
      <c r="L109" s="431"/>
      <c r="M109" s="431"/>
      <c r="N109" s="431"/>
      <c r="O109" s="431"/>
      <c r="P109" s="431"/>
      <c r="Q109" s="431"/>
      <c r="R109" s="432"/>
    </row>
    <row r="110" spans="2:18" x14ac:dyDescent="0.3">
      <c r="B110" s="177"/>
      <c r="C110" s="38"/>
      <c r="D110" s="38"/>
      <c r="E110" s="38"/>
      <c r="F110" s="38"/>
      <c r="G110" s="38"/>
      <c r="H110" s="38"/>
      <c r="I110" s="38"/>
      <c r="J110" s="38"/>
      <c r="K110" s="38"/>
      <c r="L110" s="49">
        <f>L104</f>
        <v>43709</v>
      </c>
      <c r="M110" s="49">
        <f t="shared" ref="M110:O110" si="31">M104</f>
        <v>44075</v>
      </c>
      <c r="N110" s="49">
        <f t="shared" si="31"/>
        <v>44441</v>
      </c>
      <c r="O110" s="49">
        <f t="shared" si="31"/>
        <v>44807</v>
      </c>
      <c r="P110" s="38"/>
      <c r="Q110" s="38"/>
      <c r="R110" s="178"/>
    </row>
    <row r="111" spans="2:18" x14ac:dyDescent="0.3">
      <c r="B111" s="177" t="s">
        <v>160</v>
      </c>
      <c r="C111" s="38"/>
      <c r="D111" s="38"/>
      <c r="E111" s="38"/>
      <c r="F111" s="38"/>
      <c r="G111" s="38"/>
      <c r="H111" s="38"/>
      <c r="I111" s="38"/>
      <c r="J111" s="38"/>
      <c r="K111" s="38"/>
      <c r="L111" s="50">
        <f>'Qualcomm- Financials'!C23</f>
        <v>100840000</v>
      </c>
      <c r="M111" s="50">
        <f>'Qualcomm- Financials'!D23</f>
        <v>172290000</v>
      </c>
      <c r="N111" s="50">
        <f>'Qualcomm- Financials'!E23</f>
        <v>205720000</v>
      </c>
      <c r="O111" s="50">
        <f>'Qualcomm- Financials'!F23</f>
        <v>123240000</v>
      </c>
      <c r="P111" s="38"/>
      <c r="Q111" s="38"/>
      <c r="R111" s="178"/>
    </row>
    <row r="112" spans="2:18" x14ac:dyDescent="0.3">
      <c r="B112" s="177" t="s">
        <v>233</v>
      </c>
      <c r="C112" s="38"/>
      <c r="D112" s="38"/>
      <c r="E112" s="38"/>
      <c r="F112" s="38"/>
      <c r="G112" s="38"/>
      <c r="H112" s="38"/>
      <c r="I112" s="38"/>
      <c r="J112" s="38"/>
      <c r="K112" s="38"/>
      <c r="L112" s="50">
        <f>'Qualcomm- Financials'!C46</f>
        <v>13437000</v>
      </c>
      <c r="M112" s="50">
        <f>'Qualcomm- Financials'!D46</f>
        <v>15226000</v>
      </c>
      <c r="N112" s="50">
        <f>'Qualcomm- Financials'!E46</f>
        <v>13701000</v>
      </c>
      <c r="O112" s="50">
        <f>'Qualcomm- Financials'!F46</f>
        <v>13537000</v>
      </c>
      <c r="P112" s="38"/>
      <c r="Q112" s="38"/>
      <c r="R112" s="178"/>
    </row>
    <row r="113" spans="2:18" ht="15" thickBot="1" x14ac:dyDescent="0.35">
      <c r="B113" s="183" t="s">
        <v>240</v>
      </c>
      <c r="C113" s="184"/>
      <c r="D113" s="184"/>
      <c r="E113" s="184"/>
      <c r="F113" s="184"/>
      <c r="G113" s="184"/>
      <c r="H113" s="184"/>
      <c r="I113" s="184"/>
      <c r="J113" s="184"/>
      <c r="K113" s="184"/>
      <c r="L113" s="185">
        <f>L111/L112</f>
        <v>7.5046513358636604</v>
      </c>
      <c r="M113" s="185">
        <f t="shared" ref="M113:O113" si="32">M111/M112</f>
        <v>11.315512938394852</v>
      </c>
      <c r="N113" s="185">
        <f t="shared" si="32"/>
        <v>15.014962411502809</v>
      </c>
      <c r="O113" s="185">
        <f t="shared" si="32"/>
        <v>9.1039373568737538</v>
      </c>
      <c r="P113" s="184"/>
      <c r="Q113" s="184"/>
      <c r="R113" s="186"/>
    </row>
    <row r="115" spans="2:18" x14ac:dyDescent="0.3">
      <c r="B115" s="434" t="s">
        <v>188</v>
      </c>
      <c r="C115" s="435"/>
      <c r="D115" s="435"/>
      <c r="E115" s="435"/>
      <c r="F115" s="435"/>
      <c r="G115" s="435"/>
      <c r="H115" s="435"/>
      <c r="I115" s="435"/>
      <c r="J115" s="435"/>
      <c r="K115" s="435"/>
      <c r="L115" s="435"/>
      <c r="M115" s="435"/>
      <c r="N115" s="435"/>
      <c r="O115" s="435"/>
      <c r="P115" s="435"/>
      <c r="Q115" s="435"/>
      <c r="R115" s="436"/>
    </row>
    <row r="116" spans="2:18" x14ac:dyDescent="0.3">
      <c r="B116" s="165"/>
      <c r="C116" s="166"/>
      <c r="D116" s="167" t="s">
        <v>169</v>
      </c>
      <c r="E116" s="167" t="s">
        <v>170</v>
      </c>
      <c r="F116" s="167" t="s">
        <v>171</v>
      </c>
      <c r="G116" s="167" t="s">
        <v>172</v>
      </c>
      <c r="H116" s="167" t="s">
        <v>173</v>
      </c>
      <c r="I116" s="166"/>
      <c r="J116" s="166"/>
      <c r="K116" s="166"/>
      <c r="L116" s="166"/>
      <c r="M116" s="166"/>
      <c r="N116" s="166"/>
      <c r="O116" s="166"/>
      <c r="P116" s="168" t="s">
        <v>166</v>
      </c>
      <c r="Q116" s="166"/>
      <c r="R116" s="169" t="s">
        <v>174</v>
      </c>
    </row>
    <row r="117" spans="2:18" x14ac:dyDescent="0.3">
      <c r="B117" s="165" t="s">
        <v>226</v>
      </c>
      <c r="C117" s="166" t="s">
        <v>168</v>
      </c>
      <c r="D117" s="170">
        <v>1.2</v>
      </c>
      <c r="E117" s="170">
        <v>3.3</v>
      </c>
      <c r="F117" s="170">
        <v>1.4</v>
      </c>
      <c r="G117" s="170">
        <v>1</v>
      </c>
      <c r="H117" s="170">
        <v>0.6</v>
      </c>
      <c r="I117" s="166"/>
      <c r="J117" s="166"/>
      <c r="K117" s="166"/>
      <c r="L117" s="166"/>
      <c r="M117" s="166"/>
      <c r="N117" s="166"/>
      <c r="O117" s="166"/>
      <c r="P117" s="166"/>
      <c r="Q117" s="166"/>
      <c r="R117" s="171"/>
    </row>
    <row r="118" spans="2:18" x14ac:dyDescent="0.3">
      <c r="B118" s="174">
        <f t="array" ref="B118:B121">TRANSPOSE(L110:O110)</f>
        <v>43709</v>
      </c>
      <c r="C118" s="166"/>
      <c r="D118" s="39">
        <f t="array" ref="D118:D121">TRANSPOSE(L87:O87)</f>
        <v>0.23758230421458265</v>
      </c>
      <c r="E118" s="39">
        <f t="array" ref="E118:E121">TRANSPOSE(L93:O93)</f>
        <v>0.24601753800406589</v>
      </c>
      <c r="F118" s="39">
        <f t="array" ref="F118:F121">TRANSPOSE(L101:O101)</f>
        <v>9.1240100737324387E-2</v>
      </c>
      <c r="G118" s="39">
        <f t="array" ref="G118:G121">TRANSPOSE(L107:O107)</f>
        <v>0.7365051430652062</v>
      </c>
      <c r="H118" s="39">
        <f t="array" ref="H118:H121">TRANSPOSE(L113:O113)</f>
        <v>7.5046513358636604</v>
      </c>
      <c r="I118" s="166"/>
      <c r="J118" s="166"/>
      <c r="K118" s="166"/>
      <c r="L118" s="166"/>
      <c r="M118" s="166"/>
      <c r="N118" s="166"/>
      <c r="O118" s="166"/>
      <c r="P118" s="166">
        <f>SUMPRODUCT(D118:H118,$D$117:$H$117)</f>
        <v>6.4639887260865727</v>
      </c>
      <c r="Q118" s="166"/>
      <c r="R118" s="171" t="str">
        <f>IF(P118&gt;3.1,"Safe Zone",IF(P118&lt;3.1,"distressed Zone"))</f>
        <v>Safe Zone</v>
      </c>
    </row>
    <row r="119" spans="2:18" x14ac:dyDescent="0.3">
      <c r="B119" s="174">
        <v>44075</v>
      </c>
      <c r="C119" s="166"/>
      <c r="D119" s="39">
        <v>0.27664774962072258</v>
      </c>
      <c r="E119" s="39">
        <v>0.17758611001854246</v>
      </c>
      <c r="F119" s="39">
        <v>8.6447154014721583E-2</v>
      </c>
      <c r="G119" s="39">
        <v>0.66109456649997189</v>
      </c>
      <c r="H119" s="39">
        <v>11.315512938394852</v>
      </c>
      <c r="I119" s="166"/>
      <c r="J119" s="166"/>
      <c r="K119" s="166"/>
      <c r="L119" s="166"/>
      <c r="M119" s="166"/>
      <c r="N119" s="166"/>
      <c r="O119" s="166"/>
      <c r="P119" s="166">
        <f t="shared" ref="P119:P121" si="33">SUMPRODUCT(D119:H119,$D$117:$H$117)</f>
        <v>8.4894398077635493</v>
      </c>
      <c r="Q119" s="166"/>
      <c r="R119" s="171" t="str">
        <f t="shared" ref="R119:R121" si="34">IF(P119&gt;3.1,"Safe Zone",IF(P119&lt;3.1,"distressed Zone"))</f>
        <v>Safe Zone</v>
      </c>
    </row>
    <row r="120" spans="2:18" x14ac:dyDescent="0.3">
      <c r="B120" s="174">
        <v>44441</v>
      </c>
      <c r="C120" s="166"/>
      <c r="D120" s="39">
        <v>0.19699321047526674</v>
      </c>
      <c r="E120" s="39">
        <v>0.26268186226964113</v>
      </c>
      <c r="F120" s="39">
        <v>0.14607177497575169</v>
      </c>
      <c r="G120" s="39">
        <v>0.81391852570320078</v>
      </c>
      <c r="H120" s="39">
        <v>15.014962411502809</v>
      </c>
      <c r="I120" s="166"/>
      <c r="J120" s="166"/>
      <c r="K120" s="166"/>
      <c r="L120" s="166"/>
      <c r="M120" s="166"/>
      <c r="N120" s="166"/>
      <c r="O120" s="166"/>
      <c r="P120" s="166">
        <f t="shared" si="33"/>
        <v>11.130638455631074</v>
      </c>
      <c r="Q120" s="166"/>
      <c r="R120" s="171" t="str">
        <f t="shared" si="34"/>
        <v>Safe Zone</v>
      </c>
    </row>
    <row r="121" spans="2:18" ht="15" thickBot="1" x14ac:dyDescent="0.35">
      <c r="B121" s="175">
        <v>44807</v>
      </c>
      <c r="C121" s="172"/>
      <c r="D121" s="176">
        <v>0.18072387481127841</v>
      </c>
      <c r="E121" s="176">
        <v>0.31599134941037255</v>
      </c>
      <c r="F121" s="176">
        <v>0.20734892071652997</v>
      </c>
      <c r="G121" s="176">
        <v>0.90178316399396086</v>
      </c>
      <c r="H121" s="176">
        <v>9.1039373568737538</v>
      </c>
      <c r="I121" s="172"/>
      <c r="J121" s="172"/>
      <c r="K121" s="172"/>
      <c r="L121" s="172"/>
      <c r="M121" s="172"/>
      <c r="N121" s="172"/>
      <c r="O121" s="172"/>
      <c r="P121" s="172">
        <f t="shared" si="33"/>
        <v>7.9140741699491182</v>
      </c>
      <c r="Q121" s="172"/>
      <c r="R121" s="173" t="str">
        <f t="shared" si="34"/>
        <v>Safe Zone</v>
      </c>
    </row>
  </sheetData>
  <sheetProtection sheet="1" objects="1" scenarios="1"/>
  <customSheetViews>
    <customSheetView guid="{157A7F57-E932-4D71-AAC5-1BA0DA6A9C96}" showGridLines="0" topLeftCell="A25">
      <selection activeCell="R118" sqref="R118"/>
      <pageMargins left="0.7" right="0.7" top="0.75" bottom="0.75" header="0.3" footer="0.3"/>
      <pageSetup paperSize="9" orientation="portrait" r:id="rId1"/>
    </customSheetView>
  </customSheetViews>
  <mergeCells count="16">
    <mergeCell ref="B8:W13"/>
    <mergeCell ref="B17:R17"/>
    <mergeCell ref="B15:R15"/>
    <mergeCell ref="B23:R23"/>
    <mergeCell ref="B115:R115"/>
    <mergeCell ref="B32:R32"/>
    <mergeCell ref="B39:R39"/>
    <mergeCell ref="B48:R48"/>
    <mergeCell ref="B55:R55"/>
    <mergeCell ref="B66:R66"/>
    <mergeCell ref="B81:R81"/>
    <mergeCell ref="B83:R83"/>
    <mergeCell ref="B89:R89"/>
    <mergeCell ref="B95:R95"/>
    <mergeCell ref="B103:R103"/>
    <mergeCell ref="B109:R109"/>
  </mergeCells>
  <conditionalFormatting sqref="P118:P121">
    <cfRule type="cellIs" dxfId="13" priority="1" operator="greaterThan">
      <formula>3.1</formula>
    </cfRule>
  </conditionalFormatting>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4"/>
  <sheetViews>
    <sheetView showGridLines="0" topLeftCell="A49" workbookViewId="0">
      <selection activeCell="C23" sqref="C23:F23"/>
    </sheetView>
  </sheetViews>
  <sheetFormatPr defaultRowHeight="14.4" x14ac:dyDescent="0.3"/>
  <cols>
    <col min="1" max="1" width="1.88671875" customWidth="1"/>
    <col min="2" max="2" width="41.21875" bestFit="1" customWidth="1"/>
    <col min="3" max="3" width="10.33203125" customWidth="1"/>
    <col min="4" max="4" width="11.33203125" bestFit="1" customWidth="1"/>
    <col min="5" max="5" width="12.77734375" bestFit="1" customWidth="1"/>
    <col min="6" max="6" width="11.33203125" customWidth="1"/>
  </cols>
  <sheetData>
    <row r="2" spans="2:6" ht="21" x14ac:dyDescent="0.4">
      <c r="B2" s="5" t="s">
        <v>113</v>
      </c>
    </row>
    <row r="3" spans="2:6" x14ac:dyDescent="0.3">
      <c r="B3" t="s">
        <v>0</v>
      </c>
      <c r="C3" t="s">
        <v>71</v>
      </c>
      <c r="D3" t="s">
        <v>70</v>
      </c>
      <c r="E3" t="s">
        <v>69</v>
      </c>
      <c r="F3" t="s">
        <v>68</v>
      </c>
    </row>
    <row r="4" spans="2:6" x14ac:dyDescent="0.3">
      <c r="B4" t="s">
        <v>5</v>
      </c>
      <c r="C4" s="19">
        <v>24578000</v>
      </c>
      <c r="D4" s="19">
        <v>31536000</v>
      </c>
      <c r="E4" s="19">
        <v>53823000</v>
      </c>
      <c r="F4" s="19">
        <v>81462000</v>
      </c>
    </row>
    <row r="5" spans="2:6" x14ac:dyDescent="0.3">
      <c r="B5" t="s">
        <v>6</v>
      </c>
      <c r="C5" s="19">
        <v>20509000</v>
      </c>
      <c r="D5" s="19">
        <v>24906000</v>
      </c>
      <c r="E5" s="19">
        <v>40217000</v>
      </c>
      <c r="F5" s="19">
        <v>60609000</v>
      </c>
    </row>
    <row r="6" spans="2:6" x14ac:dyDescent="0.3">
      <c r="B6" t="s">
        <v>7</v>
      </c>
      <c r="C6" s="19">
        <v>4069000</v>
      </c>
      <c r="D6" s="19">
        <v>6630000</v>
      </c>
      <c r="E6" s="19">
        <v>13606000</v>
      </c>
      <c r="F6" s="19">
        <v>20853000</v>
      </c>
    </row>
    <row r="7" spans="2:6" x14ac:dyDescent="0.3">
      <c r="B7" t="s">
        <v>8</v>
      </c>
      <c r="C7" s="19"/>
      <c r="D7" s="19"/>
      <c r="E7" s="19"/>
      <c r="F7" s="19"/>
    </row>
    <row r="8" spans="2:6" x14ac:dyDescent="0.3">
      <c r="B8" t="s">
        <v>9</v>
      </c>
      <c r="C8" s="19">
        <v>1343000</v>
      </c>
      <c r="D8" s="19" t="s">
        <v>103</v>
      </c>
      <c r="E8" s="19">
        <v>2593000</v>
      </c>
      <c r="F8" s="19">
        <v>3075000</v>
      </c>
    </row>
    <row r="9" spans="2:6" x14ac:dyDescent="0.3">
      <c r="B9" t="s">
        <v>10</v>
      </c>
      <c r="C9" s="19">
        <v>2646000</v>
      </c>
      <c r="D9" s="19">
        <v>3145000</v>
      </c>
      <c r="E9" s="19">
        <v>4517000</v>
      </c>
      <c r="F9" s="19">
        <v>3946000</v>
      </c>
    </row>
    <row r="10" spans="2:6" x14ac:dyDescent="0.3">
      <c r="B10" t="s">
        <v>11</v>
      </c>
      <c r="C10" s="19">
        <v>149000</v>
      </c>
      <c r="D10" s="19">
        <v>0</v>
      </c>
      <c r="E10" s="19">
        <v>-27000</v>
      </c>
      <c r="F10" s="19">
        <v>176000</v>
      </c>
    </row>
    <row r="11" spans="2:6" x14ac:dyDescent="0.3">
      <c r="B11" t="s">
        <v>13</v>
      </c>
      <c r="C11" s="19">
        <v>0</v>
      </c>
      <c r="D11" s="19">
        <v>0</v>
      </c>
      <c r="E11" s="19">
        <v>0</v>
      </c>
      <c r="F11" s="19">
        <v>0</v>
      </c>
    </row>
    <row r="12" spans="2:6" x14ac:dyDescent="0.3">
      <c r="B12" t="s">
        <v>14</v>
      </c>
      <c r="C12" s="19">
        <v>-69000</v>
      </c>
      <c r="D12" s="19">
        <v>1994000</v>
      </c>
      <c r="E12" s="19">
        <v>6523000</v>
      </c>
      <c r="F12" s="19">
        <v>13656000</v>
      </c>
    </row>
    <row r="13" spans="2:6" x14ac:dyDescent="0.3">
      <c r="B13" t="s">
        <v>15</v>
      </c>
      <c r="C13" s="19">
        <v>89000</v>
      </c>
      <c r="D13" s="19">
        <v>-92000</v>
      </c>
      <c r="E13" s="19">
        <v>191000</v>
      </c>
      <c r="F13" s="19">
        <v>254000</v>
      </c>
    </row>
    <row r="14" spans="2:6" x14ac:dyDescent="0.3">
      <c r="B14" t="s">
        <v>16</v>
      </c>
      <c r="C14" s="19">
        <v>20000</v>
      </c>
      <c r="D14" s="19">
        <v>1902000</v>
      </c>
      <c r="E14" s="19">
        <v>6714000</v>
      </c>
      <c r="F14" s="19">
        <v>13910000</v>
      </c>
    </row>
    <row r="15" spans="2:6" x14ac:dyDescent="0.3">
      <c r="B15" t="s">
        <v>17</v>
      </c>
      <c r="C15" s="19">
        <v>685000</v>
      </c>
      <c r="D15" s="19">
        <v>748000</v>
      </c>
      <c r="E15" s="19">
        <v>371000</v>
      </c>
      <c r="F15" s="19">
        <v>191000</v>
      </c>
    </row>
    <row r="16" spans="2:6" x14ac:dyDescent="0.3">
      <c r="B16" t="s">
        <v>18</v>
      </c>
      <c r="C16" s="19">
        <v>-665000</v>
      </c>
      <c r="D16" s="19">
        <v>1154000</v>
      </c>
      <c r="E16" s="19">
        <v>6343000</v>
      </c>
      <c r="F16" s="19">
        <v>13719000</v>
      </c>
    </row>
    <row r="17" spans="2:6" x14ac:dyDescent="0.3">
      <c r="B17" t="s">
        <v>19</v>
      </c>
      <c r="C17" s="19">
        <v>110000</v>
      </c>
      <c r="D17" s="19">
        <v>292000</v>
      </c>
      <c r="E17" s="19">
        <v>699000</v>
      </c>
      <c r="F17" s="19">
        <v>1132000</v>
      </c>
    </row>
    <row r="18" spans="2:6" x14ac:dyDescent="0.3">
      <c r="B18" t="s">
        <v>20</v>
      </c>
      <c r="C18" s="19">
        <v>0</v>
      </c>
      <c r="D18" s="19">
        <v>0</v>
      </c>
      <c r="E18" s="19">
        <v>0</v>
      </c>
      <c r="F18" s="19">
        <v>0</v>
      </c>
    </row>
    <row r="19" spans="2:6" x14ac:dyDescent="0.3">
      <c r="B19" t="s">
        <v>21</v>
      </c>
      <c r="C19" s="19">
        <v>-87000</v>
      </c>
      <c r="D19" s="19">
        <v>-141000</v>
      </c>
      <c r="E19" s="19">
        <v>-125000</v>
      </c>
      <c r="F19" s="19">
        <v>-31000</v>
      </c>
    </row>
    <row r="20" spans="2:6" x14ac:dyDescent="0.3">
      <c r="B20" t="s">
        <v>22</v>
      </c>
      <c r="C20" s="19">
        <v>-862000</v>
      </c>
      <c r="D20" s="19">
        <v>721000</v>
      </c>
      <c r="E20" s="19">
        <v>5519000</v>
      </c>
      <c r="F20" s="19">
        <v>12556000</v>
      </c>
    </row>
    <row r="21" spans="2:6" x14ac:dyDescent="0.3">
      <c r="B21" t="s">
        <v>23</v>
      </c>
      <c r="C21" s="19">
        <v>-862000</v>
      </c>
      <c r="D21" s="19">
        <v>721000</v>
      </c>
      <c r="E21" s="19">
        <v>5519000</v>
      </c>
      <c r="F21" s="19">
        <v>12556000</v>
      </c>
    </row>
    <row r="22" spans="2:6" x14ac:dyDescent="0.3">
      <c r="B22" t="s">
        <v>24</v>
      </c>
      <c r="C22" s="19">
        <v>-862000</v>
      </c>
      <c r="D22" s="19">
        <v>721000</v>
      </c>
      <c r="E22" s="19">
        <v>5519000</v>
      </c>
      <c r="F22" s="19">
        <v>12556000</v>
      </c>
    </row>
    <row r="23" spans="2:6" x14ac:dyDescent="0.3">
      <c r="B23" t="s">
        <v>160</v>
      </c>
      <c r="C23" s="19">
        <v>75710000</v>
      </c>
      <c r="D23" s="19">
        <v>668900000</v>
      </c>
      <c r="E23" s="19">
        <v>1061000000</v>
      </c>
      <c r="F23" s="19">
        <v>388970000</v>
      </c>
    </row>
    <row r="24" spans="2:6" ht="18" x14ac:dyDescent="0.35">
      <c r="B24" s="2" t="s">
        <v>114</v>
      </c>
      <c r="C24" s="18"/>
      <c r="D24" s="18"/>
      <c r="E24" s="18"/>
      <c r="F24" s="18"/>
    </row>
    <row r="25" spans="2:6" x14ac:dyDescent="0.3">
      <c r="B25" t="s">
        <v>0</v>
      </c>
      <c r="C25" s="18" t="s">
        <v>71</v>
      </c>
      <c r="D25" s="18" t="s">
        <v>70</v>
      </c>
      <c r="E25" s="18" t="s">
        <v>69</v>
      </c>
      <c r="F25" s="18" t="s">
        <v>68</v>
      </c>
    </row>
    <row r="26" spans="2:6" x14ac:dyDescent="0.3">
      <c r="B26" t="s">
        <v>25</v>
      </c>
      <c r="C26" s="18"/>
      <c r="D26" s="18"/>
      <c r="E26" s="18"/>
      <c r="F26" s="18"/>
    </row>
    <row r="27" spans="2:6" x14ac:dyDescent="0.3">
      <c r="B27" t="s">
        <v>26</v>
      </c>
      <c r="C27" s="19">
        <v>6268000</v>
      </c>
      <c r="D27" s="19">
        <v>19384000</v>
      </c>
      <c r="E27" s="19">
        <v>17576000</v>
      </c>
      <c r="F27" s="19">
        <v>16253000</v>
      </c>
    </row>
    <row r="28" spans="2:6" x14ac:dyDescent="0.3">
      <c r="B28" t="s">
        <v>27</v>
      </c>
      <c r="C28" s="19">
        <v>0</v>
      </c>
      <c r="D28" s="19">
        <v>0</v>
      </c>
      <c r="E28" s="19">
        <v>131000</v>
      </c>
      <c r="F28" s="19">
        <v>5932000</v>
      </c>
    </row>
    <row r="29" spans="2:6" x14ac:dyDescent="0.3">
      <c r="B29" t="s">
        <v>28</v>
      </c>
      <c r="C29" s="19">
        <v>1324000</v>
      </c>
      <c r="D29" s="19">
        <v>1886000</v>
      </c>
      <c r="E29" s="19">
        <v>1913000</v>
      </c>
      <c r="F29" s="19">
        <v>2952000</v>
      </c>
    </row>
    <row r="30" spans="2:6" x14ac:dyDescent="0.3">
      <c r="B30" t="s">
        <v>29</v>
      </c>
      <c r="C30" s="19">
        <v>3552000</v>
      </c>
      <c r="D30" s="19">
        <v>4101000</v>
      </c>
      <c r="E30" s="19">
        <v>5757000</v>
      </c>
      <c r="F30" s="19">
        <v>12839000</v>
      </c>
    </row>
    <row r="31" spans="2:6" x14ac:dyDescent="0.3">
      <c r="B31" t="s">
        <v>30</v>
      </c>
      <c r="C31" s="19">
        <v>959000</v>
      </c>
      <c r="D31" s="19">
        <v>1346000</v>
      </c>
      <c r="E31" s="19">
        <v>1723000</v>
      </c>
      <c r="F31" s="19">
        <v>2941000</v>
      </c>
    </row>
    <row r="32" spans="2:6" x14ac:dyDescent="0.3">
      <c r="B32" t="s">
        <v>31</v>
      </c>
      <c r="C32" s="19">
        <v>12103000</v>
      </c>
      <c r="D32" s="19">
        <v>26717000</v>
      </c>
      <c r="E32" s="19">
        <v>27100000</v>
      </c>
      <c r="F32" s="19">
        <v>40917000</v>
      </c>
    </row>
    <row r="33" spans="2:6" x14ac:dyDescent="0.3">
      <c r="B33" t="s">
        <v>32</v>
      </c>
      <c r="C33" s="19"/>
      <c r="D33" s="19"/>
      <c r="E33" s="19"/>
      <c r="F33" s="19"/>
    </row>
    <row r="34" spans="2:6" x14ac:dyDescent="0.3">
      <c r="B34" t="s">
        <v>33</v>
      </c>
      <c r="C34" s="19">
        <v>0</v>
      </c>
      <c r="D34" s="19">
        <v>0</v>
      </c>
      <c r="E34" s="19">
        <v>0</v>
      </c>
      <c r="F34" s="19">
        <v>0</v>
      </c>
    </row>
    <row r="35" spans="2:6" x14ac:dyDescent="0.3">
      <c r="B35" t="s">
        <v>34</v>
      </c>
      <c r="C35" s="19">
        <v>14061000</v>
      </c>
      <c r="D35" s="19">
        <v>17396000</v>
      </c>
      <c r="E35" s="19">
        <v>25411000</v>
      </c>
      <c r="F35" s="19">
        <v>31146000</v>
      </c>
    </row>
    <row r="36" spans="2:6" x14ac:dyDescent="0.3">
      <c r="B36" t="s">
        <v>35</v>
      </c>
      <c r="C36" s="19">
        <v>198000</v>
      </c>
      <c r="D36" s="19">
        <v>207000</v>
      </c>
      <c r="E36" s="19">
        <v>200000</v>
      </c>
      <c r="F36" s="19">
        <v>194000</v>
      </c>
    </row>
    <row r="37" spans="2:6" x14ac:dyDescent="0.3">
      <c r="B37" t="s">
        <v>36</v>
      </c>
      <c r="C37" s="19">
        <v>339000</v>
      </c>
      <c r="D37" s="19">
        <v>313000</v>
      </c>
      <c r="E37" s="19">
        <v>257000</v>
      </c>
      <c r="F37" s="19">
        <v>215000</v>
      </c>
    </row>
    <row r="38" spans="2:6" x14ac:dyDescent="0.3">
      <c r="B38" t="s">
        <v>37</v>
      </c>
      <c r="C38" s="19">
        <v>7608000</v>
      </c>
      <c r="D38" s="19">
        <v>7515000</v>
      </c>
      <c r="E38" s="19">
        <v>9163000</v>
      </c>
      <c r="F38" s="19">
        <v>9866000</v>
      </c>
    </row>
    <row r="39" spans="2:6" x14ac:dyDescent="0.3">
      <c r="B39" t="s">
        <v>38</v>
      </c>
      <c r="C39" s="19">
        <v>0</v>
      </c>
      <c r="D39" s="19">
        <v>0</v>
      </c>
      <c r="E39" s="19">
        <v>0</v>
      </c>
      <c r="F39" s="19">
        <v>0</v>
      </c>
    </row>
    <row r="40" spans="2:6" x14ac:dyDescent="0.3">
      <c r="B40" t="s">
        <v>39</v>
      </c>
      <c r="C40" s="19">
        <v>34309000</v>
      </c>
      <c r="D40" s="19">
        <v>52148000</v>
      </c>
      <c r="E40" s="19">
        <v>62131000</v>
      </c>
      <c r="F40" s="19">
        <v>82338000</v>
      </c>
    </row>
    <row r="41" spans="2:6" x14ac:dyDescent="0.3">
      <c r="B41" t="s">
        <v>40</v>
      </c>
      <c r="C41" s="19"/>
      <c r="D41" s="19"/>
      <c r="E41" s="19"/>
      <c r="F41" s="19"/>
    </row>
    <row r="42" spans="2:6" x14ac:dyDescent="0.3">
      <c r="B42" t="s">
        <v>41</v>
      </c>
      <c r="C42" s="19">
        <v>6993000</v>
      </c>
      <c r="D42" s="19">
        <v>9906000</v>
      </c>
      <c r="E42" s="19">
        <v>15744000</v>
      </c>
      <c r="F42" s="19">
        <v>22397000</v>
      </c>
    </row>
    <row r="43" spans="2:6" x14ac:dyDescent="0.3">
      <c r="B43" t="s">
        <v>42</v>
      </c>
      <c r="C43" s="19">
        <v>1785000</v>
      </c>
      <c r="D43" s="20">
        <v>2132000</v>
      </c>
      <c r="E43" s="19">
        <v>1589000</v>
      </c>
      <c r="F43" s="19">
        <v>1502000</v>
      </c>
    </row>
    <row r="44" spans="2:6" x14ac:dyDescent="0.3">
      <c r="B44" t="s">
        <v>43</v>
      </c>
      <c r="C44" s="19">
        <v>1889000</v>
      </c>
      <c r="D44" s="19">
        <v>2210000</v>
      </c>
      <c r="E44" s="19">
        <v>2372000</v>
      </c>
      <c r="F44" s="19">
        <v>2810000</v>
      </c>
    </row>
    <row r="45" spans="2:6" x14ac:dyDescent="0.3">
      <c r="B45" t="s">
        <v>44</v>
      </c>
      <c r="C45" s="19">
        <v>10667000</v>
      </c>
      <c r="D45" s="19">
        <v>14248000</v>
      </c>
      <c r="E45" s="19">
        <v>19705000</v>
      </c>
      <c r="F45" s="19">
        <v>26709000</v>
      </c>
    </row>
    <row r="46" spans="2:6" x14ac:dyDescent="0.3">
      <c r="B46" t="s">
        <v>45</v>
      </c>
      <c r="C46" s="19">
        <v>11634000</v>
      </c>
      <c r="D46" s="19">
        <v>9556000</v>
      </c>
      <c r="E46" s="19">
        <v>5245000</v>
      </c>
      <c r="F46" s="19">
        <v>1597000</v>
      </c>
    </row>
    <row r="47" spans="2:6" x14ac:dyDescent="0.3">
      <c r="B47" t="s">
        <v>46</v>
      </c>
      <c r="C47" s="19">
        <v>2691000</v>
      </c>
      <c r="D47" s="19">
        <v>3330000</v>
      </c>
      <c r="E47" s="19">
        <v>3546000</v>
      </c>
      <c r="F47" s="19">
        <v>5330000</v>
      </c>
    </row>
    <row r="48" spans="2:6" x14ac:dyDescent="0.3">
      <c r="B48" t="s">
        <v>47</v>
      </c>
      <c r="C48" s="19">
        <v>1207000</v>
      </c>
      <c r="D48" s="19">
        <v>1284000</v>
      </c>
      <c r="E48" s="19">
        <v>2052000</v>
      </c>
      <c r="F48" s="19">
        <v>2804000</v>
      </c>
    </row>
    <row r="49" spans="2:6" x14ac:dyDescent="0.3">
      <c r="B49" t="s">
        <v>48</v>
      </c>
      <c r="C49" s="19">
        <v>849000</v>
      </c>
      <c r="D49" s="19">
        <v>850000</v>
      </c>
      <c r="E49" s="19">
        <v>826000</v>
      </c>
      <c r="F49" s="19">
        <v>785000</v>
      </c>
    </row>
    <row r="50" spans="2:6" x14ac:dyDescent="0.3">
      <c r="B50" t="s">
        <v>20</v>
      </c>
      <c r="C50" s="19">
        <v>643000</v>
      </c>
      <c r="D50" s="19">
        <v>655000</v>
      </c>
      <c r="E50" s="19">
        <v>568000</v>
      </c>
      <c r="F50" s="19">
        <v>409000</v>
      </c>
    </row>
    <row r="51" spans="2:6" x14ac:dyDescent="0.3">
      <c r="B51" t="s">
        <v>49</v>
      </c>
      <c r="C51" s="19">
        <v>27048000</v>
      </c>
      <c r="D51" s="19">
        <v>29268000</v>
      </c>
      <c r="E51" s="19">
        <v>31374000</v>
      </c>
      <c r="F51" s="19">
        <v>37225000</v>
      </c>
    </row>
    <row r="52" spans="2:6" x14ac:dyDescent="0.3">
      <c r="B52" t="s">
        <v>50</v>
      </c>
      <c r="C52" s="19"/>
      <c r="D52" s="19"/>
      <c r="E52" s="19"/>
      <c r="F52" s="19"/>
    </row>
    <row r="53" spans="2:6" x14ac:dyDescent="0.3">
      <c r="B53" t="s">
        <v>51</v>
      </c>
      <c r="C53" s="19">
        <v>1000</v>
      </c>
      <c r="D53" s="19">
        <v>1000</v>
      </c>
      <c r="E53" s="19">
        <v>3000</v>
      </c>
      <c r="F53" s="19">
        <v>3000</v>
      </c>
    </row>
    <row r="54" spans="2:6" x14ac:dyDescent="0.3">
      <c r="B54" t="s">
        <v>52</v>
      </c>
      <c r="C54" s="19">
        <v>-6083000</v>
      </c>
      <c r="D54" s="19">
        <v>-5399000</v>
      </c>
      <c r="E54" s="19">
        <v>329000</v>
      </c>
      <c r="F54" s="19">
        <v>12885000</v>
      </c>
    </row>
    <row r="55" spans="2:6" x14ac:dyDescent="0.3">
      <c r="B55" t="s">
        <v>53</v>
      </c>
      <c r="C55" s="19">
        <v>0</v>
      </c>
      <c r="D55" s="19">
        <v>0</v>
      </c>
      <c r="E55" s="19">
        <v>0</v>
      </c>
      <c r="F55" s="19">
        <v>0</v>
      </c>
    </row>
    <row r="56" spans="2:6" x14ac:dyDescent="0.3">
      <c r="B56" t="s">
        <v>54</v>
      </c>
      <c r="C56" s="19">
        <v>12736000</v>
      </c>
      <c r="D56" s="19">
        <v>27260000</v>
      </c>
      <c r="E56" s="19">
        <v>29803000</v>
      </c>
      <c r="F56" s="19">
        <v>32177000</v>
      </c>
    </row>
    <row r="57" spans="2:6" x14ac:dyDescent="0.3">
      <c r="B57" t="s">
        <v>55</v>
      </c>
      <c r="C57" s="19">
        <v>-36000</v>
      </c>
      <c r="D57" s="19">
        <v>363000</v>
      </c>
      <c r="E57" s="19">
        <v>54000</v>
      </c>
      <c r="F57" s="19">
        <v>-361000</v>
      </c>
    </row>
    <row r="58" spans="2:6" x14ac:dyDescent="0.3">
      <c r="B58" t="s">
        <v>56</v>
      </c>
      <c r="C58" s="19">
        <v>6618000</v>
      </c>
      <c r="D58" s="19">
        <v>22225000</v>
      </c>
      <c r="E58" s="19">
        <v>30189000</v>
      </c>
      <c r="F58" s="19">
        <v>44704000</v>
      </c>
    </row>
    <row r="59" spans="2:6" x14ac:dyDescent="0.3">
      <c r="B59" t="s">
        <v>57</v>
      </c>
      <c r="C59" s="19">
        <v>34309000</v>
      </c>
      <c r="D59" s="19">
        <v>52148000</v>
      </c>
      <c r="E59" s="19">
        <v>62131000</v>
      </c>
      <c r="F59" s="19">
        <v>82338000</v>
      </c>
    </row>
    <row r="60" spans="2:6" x14ac:dyDescent="0.3">
      <c r="C60" s="18"/>
      <c r="D60" s="18"/>
      <c r="E60" s="18"/>
      <c r="F60" s="18"/>
    </row>
    <row r="61" spans="2:6" ht="18" x14ac:dyDescent="0.35">
      <c r="B61" s="2" t="s">
        <v>115</v>
      </c>
      <c r="C61" s="18"/>
      <c r="D61" s="18"/>
      <c r="E61" s="18"/>
      <c r="F61" s="18"/>
    </row>
    <row r="62" spans="2:6" x14ac:dyDescent="0.3">
      <c r="B62" t="s">
        <v>0</v>
      </c>
      <c r="C62" s="18" t="s">
        <v>71</v>
      </c>
      <c r="D62" s="18" t="s">
        <v>70</v>
      </c>
      <c r="E62" s="18" t="s">
        <v>69</v>
      </c>
      <c r="F62" s="18" t="s">
        <v>68</v>
      </c>
    </row>
    <row r="63" spans="2:6" x14ac:dyDescent="0.3">
      <c r="B63" t="s">
        <v>23</v>
      </c>
      <c r="C63" s="19">
        <v>-862000</v>
      </c>
      <c r="D63" s="19">
        <v>721000</v>
      </c>
      <c r="E63" s="19">
        <v>5519000</v>
      </c>
      <c r="F63" s="19">
        <v>12556000</v>
      </c>
    </row>
    <row r="64" spans="2:6" x14ac:dyDescent="0.3">
      <c r="B64" t="s">
        <v>72</v>
      </c>
      <c r="C64" s="19"/>
      <c r="D64" s="19"/>
      <c r="E64" s="19"/>
      <c r="F64" s="19"/>
    </row>
    <row r="65" spans="2:6" x14ac:dyDescent="0.3">
      <c r="B65" t="s">
        <v>73</v>
      </c>
      <c r="C65" s="19">
        <v>2154000</v>
      </c>
      <c r="D65" s="19">
        <v>2322000</v>
      </c>
      <c r="E65" s="19">
        <v>2911000</v>
      </c>
      <c r="F65" s="19">
        <v>3747000</v>
      </c>
    </row>
    <row r="66" spans="2:6" x14ac:dyDescent="0.3">
      <c r="B66" t="s">
        <v>74</v>
      </c>
      <c r="C66" s="19">
        <v>1375000</v>
      </c>
      <c r="D66" s="19">
        <v>2575000</v>
      </c>
      <c r="E66" s="19">
        <v>2424000</v>
      </c>
      <c r="F66" s="19">
        <v>2298000</v>
      </c>
    </row>
    <row r="67" spans="2:6" x14ac:dyDescent="0.3">
      <c r="B67" t="s">
        <v>75</v>
      </c>
      <c r="C67" s="19"/>
      <c r="D67" s="19"/>
      <c r="E67" s="19"/>
      <c r="F67" s="19"/>
    </row>
    <row r="68" spans="2:6" x14ac:dyDescent="0.3">
      <c r="B68" t="s">
        <v>76</v>
      </c>
      <c r="C68" s="19">
        <v>-367000</v>
      </c>
      <c r="D68" s="19">
        <v>-652000</v>
      </c>
      <c r="E68" s="19">
        <v>-130000</v>
      </c>
      <c r="F68" s="19">
        <v>-1124000</v>
      </c>
    </row>
    <row r="69" spans="2:6" x14ac:dyDescent="0.3">
      <c r="B69" t="s">
        <v>77</v>
      </c>
      <c r="C69" s="19">
        <v>-429000</v>
      </c>
      <c r="D69" s="19">
        <v>-422000</v>
      </c>
      <c r="E69" s="19">
        <v>-1709000</v>
      </c>
      <c r="F69" s="19">
        <v>-6465000</v>
      </c>
    </row>
    <row r="70" spans="2:6" x14ac:dyDescent="0.3">
      <c r="B70" t="s">
        <v>78</v>
      </c>
      <c r="C70" s="19">
        <v>-937000</v>
      </c>
      <c r="D70" s="19">
        <v>-1667000</v>
      </c>
      <c r="E70" s="19">
        <v>-3676000</v>
      </c>
      <c r="F70" s="19">
        <v>-5538000</v>
      </c>
    </row>
    <row r="71" spans="2:6" x14ac:dyDescent="0.3">
      <c r="B71" t="s">
        <v>79</v>
      </c>
      <c r="C71" s="19">
        <v>1384000</v>
      </c>
      <c r="D71" s="19">
        <v>2925000</v>
      </c>
      <c r="E71" s="19">
        <v>6033000</v>
      </c>
      <c r="F71" s="19">
        <v>9219000</v>
      </c>
    </row>
    <row r="72" spans="2:6" x14ac:dyDescent="0.3">
      <c r="B72" t="s">
        <v>80</v>
      </c>
      <c r="C72" s="19">
        <v>2405000</v>
      </c>
      <c r="D72" s="19">
        <v>5943000</v>
      </c>
      <c r="E72" s="19">
        <v>11497000</v>
      </c>
      <c r="F72" s="19">
        <v>14724000</v>
      </c>
    </row>
    <row r="73" spans="2:6" x14ac:dyDescent="0.3">
      <c r="B73" t="s">
        <v>81</v>
      </c>
      <c r="C73" s="19"/>
      <c r="D73" s="19"/>
      <c r="E73" s="19"/>
      <c r="F73" s="19"/>
    </row>
    <row r="74" spans="2:6" x14ac:dyDescent="0.3">
      <c r="B74" t="s">
        <v>82</v>
      </c>
      <c r="C74" s="19">
        <v>-1432000</v>
      </c>
      <c r="D74" s="19">
        <v>-3232000</v>
      </c>
      <c r="E74" s="19">
        <v>-6514000</v>
      </c>
      <c r="F74" s="19">
        <v>-7163000</v>
      </c>
    </row>
    <row r="75" spans="2:6" x14ac:dyDescent="0.3">
      <c r="B75" t="s">
        <v>83</v>
      </c>
      <c r="C75" s="19">
        <v>0</v>
      </c>
      <c r="D75" s="19">
        <v>0</v>
      </c>
      <c r="E75" s="19">
        <v>-132000</v>
      </c>
      <c r="F75" s="19">
        <v>-5813000</v>
      </c>
    </row>
    <row r="76" spans="2:6" x14ac:dyDescent="0.3">
      <c r="B76" t="s">
        <v>84</v>
      </c>
      <c r="C76" s="19">
        <v>-4000</v>
      </c>
      <c r="D76" s="19">
        <v>100000</v>
      </c>
      <c r="E76" s="19">
        <v>-1222000</v>
      </c>
      <c r="F76" s="19">
        <v>1003000</v>
      </c>
    </row>
    <row r="77" spans="2:6" x14ac:dyDescent="0.3">
      <c r="B77" t="s">
        <v>85</v>
      </c>
      <c r="C77" s="19">
        <v>-1436000</v>
      </c>
      <c r="D77" s="19">
        <v>-3132000</v>
      </c>
      <c r="E77" s="19">
        <v>-7868000</v>
      </c>
      <c r="F77" s="19">
        <v>-11973000</v>
      </c>
    </row>
    <row r="78" spans="2:6" x14ac:dyDescent="0.3">
      <c r="B78" t="s">
        <v>86</v>
      </c>
      <c r="C78" s="19"/>
      <c r="D78" s="19"/>
      <c r="E78" s="19"/>
      <c r="F78" s="19"/>
    </row>
    <row r="79" spans="2:6" x14ac:dyDescent="0.3">
      <c r="B79" t="s">
        <v>87</v>
      </c>
      <c r="C79" s="19">
        <v>1555000</v>
      </c>
      <c r="D79" s="19">
        <v>12675000</v>
      </c>
      <c r="E79" s="19">
        <v>699000</v>
      </c>
      <c r="F79" s="19">
        <v>496000</v>
      </c>
    </row>
    <row r="80" spans="2:6" x14ac:dyDescent="0.3">
      <c r="B80" t="s">
        <v>88</v>
      </c>
      <c r="C80" s="19">
        <v>798000</v>
      </c>
      <c r="D80" s="19">
        <v>-2488000</v>
      </c>
      <c r="E80" s="19">
        <v>-5732000</v>
      </c>
      <c r="F80" s="19">
        <v>-3866000</v>
      </c>
    </row>
    <row r="81" spans="2:6" x14ac:dyDescent="0.3">
      <c r="B81" t="s">
        <v>89</v>
      </c>
      <c r="C81" s="19">
        <v>0</v>
      </c>
      <c r="D81" s="19">
        <v>0</v>
      </c>
      <c r="E81" s="19">
        <v>0</v>
      </c>
      <c r="F81" s="19">
        <v>0</v>
      </c>
    </row>
    <row r="82" spans="2:6" x14ac:dyDescent="0.3">
      <c r="B82" t="s">
        <v>90</v>
      </c>
      <c r="C82" s="19">
        <v>1529000</v>
      </c>
      <c r="D82" s="19">
        <v>9973000</v>
      </c>
      <c r="E82" s="19">
        <v>-5203000</v>
      </c>
      <c r="F82" s="19">
        <v>-3527000</v>
      </c>
    </row>
    <row r="83" spans="2:6" x14ac:dyDescent="0.3">
      <c r="B83" t="s">
        <v>91</v>
      </c>
      <c r="C83" s="19">
        <v>8000</v>
      </c>
      <c r="D83" s="19">
        <v>334000</v>
      </c>
      <c r="E83" s="19">
        <v>-183000</v>
      </c>
      <c r="F83" s="19">
        <v>-444000</v>
      </c>
    </row>
    <row r="84" spans="2:6" x14ac:dyDescent="0.3">
      <c r="B84" t="s">
        <v>92</v>
      </c>
      <c r="C84" s="19">
        <v>2506000</v>
      </c>
      <c r="D84" s="19">
        <v>13118000</v>
      </c>
      <c r="E84" s="19">
        <v>-1757000</v>
      </c>
      <c r="F84" s="19">
        <v>-1220000</v>
      </c>
    </row>
  </sheetData>
  <sheetProtection sheet="1" objects="1" scenarios="1"/>
  <customSheetViews>
    <customSheetView guid="{157A7F57-E932-4D71-AAC5-1BA0DA6A9C96}" showGridLines="0" topLeftCell="A49">
      <selection activeCell="C23" sqref="C23:F23"/>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18"/>
  <sheetViews>
    <sheetView showGridLines="0" workbookViewId="0">
      <selection activeCell="L20" sqref="L20"/>
    </sheetView>
  </sheetViews>
  <sheetFormatPr defaultRowHeight="14.4" x14ac:dyDescent="0.3"/>
  <cols>
    <col min="1" max="1" width="1.88671875" customWidth="1"/>
    <col min="12" max="12" width="10.33203125" bestFit="1" customWidth="1"/>
    <col min="13" max="13" width="11.33203125" bestFit="1" customWidth="1"/>
    <col min="14" max="14" width="12.77734375" bestFit="1" customWidth="1"/>
    <col min="15" max="15" width="13.6640625" customWidth="1"/>
  </cols>
  <sheetData>
    <row r="2" spans="2:17" ht="18" x14ac:dyDescent="0.35">
      <c r="B2" s="194" t="s">
        <v>250</v>
      </c>
      <c r="C2" s="190"/>
      <c r="D2" s="190"/>
      <c r="E2" s="190"/>
      <c r="F2" s="190"/>
      <c r="G2" s="190"/>
      <c r="H2" s="190"/>
      <c r="I2" s="190"/>
      <c r="J2" s="190"/>
      <c r="K2" s="190"/>
      <c r="L2" s="190"/>
      <c r="M2" s="190"/>
      <c r="N2" s="190"/>
      <c r="O2" s="190"/>
      <c r="P2" s="190"/>
      <c r="Q2" s="190"/>
    </row>
    <row r="3" spans="2:17" x14ac:dyDescent="0.3">
      <c r="B3" s="190"/>
      <c r="C3" s="190"/>
      <c r="D3" s="190"/>
      <c r="E3" s="190"/>
      <c r="F3" s="190"/>
      <c r="G3" s="190"/>
      <c r="H3" s="190"/>
      <c r="I3" s="190"/>
      <c r="J3" s="190"/>
      <c r="K3" s="190"/>
      <c r="L3" s="190"/>
      <c r="M3" s="190"/>
      <c r="N3" s="190"/>
      <c r="O3" s="190"/>
      <c r="P3" s="190"/>
      <c r="Q3" s="190"/>
    </row>
    <row r="4" spans="2:17" x14ac:dyDescent="0.3">
      <c r="B4" s="193" t="s">
        <v>251</v>
      </c>
      <c r="C4" s="190"/>
      <c r="D4" s="190"/>
      <c r="E4" s="190"/>
      <c r="F4" s="190"/>
      <c r="G4" s="190"/>
      <c r="H4" s="190"/>
      <c r="I4" s="190"/>
      <c r="J4" s="190"/>
      <c r="K4" s="190"/>
      <c r="L4" s="190"/>
      <c r="M4" s="190"/>
      <c r="N4" s="190"/>
      <c r="O4" s="190"/>
      <c r="P4" s="190"/>
      <c r="Q4" s="190"/>
    </row>
    <row r="5" spans="2:17" x14ac:dyDescent="0.3">
      <c r="B5" s="193" t="s">
        <v>252</v>
      </c>
      <c r="C5" s="190"/>
      <c r="D5" s="190"/>
      <c r="E5" s="190"/>
      <c r="F5" s="190"/>
      <c r="G5" s="190"/>
      <c r="H5" s="190"/>
      <c r="I5" s="190"/>
      <c r="J5" s="190"/>
      <c r="K5" s="190"/>
      <c r="L5" s="190"/>
      <c r="M5" s="190"/>
      <c r="N5" s="190"/>
      <c r="O5" s="190"/>
      <c r="P5" s="190"/>
      <c r="Q5" s="190"/>
    </row>
    <row r="6" spans="2:17" x14ac:dyDescent="0.3">
      <c r="B6" s="193"/>
      <c r="C6" s="190"/>
      <c r="D6" s="190"/>
      <c r="E6" s="190"/>
      <c r="F6" s="190"/>
      <c r="G6" s="190"/>
      <c r="H6" s="190"/>
      <c r="I6" s="190"/>
      <c r="J6" s="190"/>
      <c r="K6" s="190"/>
      <c r="L6" s="190"/>
      <c r="M6" s="190"/>
      <c r="N6" s="190"/>
      <c r="O6" s="190"/>
      <c r="P6" s="190"/>
      <c r="Q6" s="190"/>
    </row>
    <row r="8" spans="2:17" x14ac:dyDescent="0.3">
      <c r="B8" s="449" t="s">
        <v>245</v>
      </c>
      <c r="C8" s="449"/>
      <c r="D8" s="449"/>
      <c r="E8" s="449"/>
      <c r="F8" s="449"/>
      <c r="G8" s="449"/>
      <c r="H8" s="449"/>
      <c r="I8" s="449"/>
      <c r="J8" s="449"/>
      <c r="K8" s="449"/>
      <c r="L8" s="449"/>
      <c r="M8" s="449"/>
      <c r="N8" s="449"/>
      <c r="O8" s="449"/>
    </row>
    <row r="9" spans="2:17" x14ac:dyDescent="0.3">
      <c r="B9" s="449"/>
      <c r="C9" s="449"/>
      <c r="D9" s="449"/>
      <c r="E9" s="449"/>
      <c r="F9" s="449"/>
      <c r="G9" s="449"/>
      <c r="H9" s="449"/>
      <c r="I9" s="449"/>
      <c r="J9" s="449"/>
      <c r="K9" s="449"/>
      <c r="L9" s="449"/>
      <c r="M9" s="449"/>
      <c r="N9" s="449"/>
      <c r="O9" s="449"/>
    </row>
    <row r="10" spans="2:17" x14ac:dyDescent="0.3">
      <c r="B10" s="449"/>
      <c r="C10" s="449"/>
      <c r="D10" s="449"/>
      <c r="E10" s="449"/>
      <c r="F10" s="449"/>
      <c r="G10" s="449"/>
      <c r="H10" s="449"/>
      <c r="I10" s="449"/>
      <c r="J10" s="449"/>
      <c r="K10" s="449"/>
      <c r="L10" s="449"/>
      <c r="M10" s="449"/>
      <c r="N10" s="449"/>
      <c r="O10" s="449"/>
    </row>
    <row r="11" spans="2:17" x14ac:dyDescent="0.3">
      <c r="B11" s="449"/>
      <c r="C11" s="449"/>
      <c r="D11" s="449"/>
      <c r="E11" s="449"/>
      <c r="F11" s="449"/>
      <c r="G11" s="449"/>
      <c r="H11" s="449"/>
      <c r="I11" s="449"/>
      <c r="J11" s="449"/>
      <c r="K11" s="449"/>
      <c r="L11" s="449"/>
      <c r="M11" s="449"/>
      <c r="N11" s="449"/>
      <c r="O11" s="449"/>
    </row>
    <row r="12" spans="2:17" x14ac:dyDescent="0.3">
      <c r="B12" s="449"/>
      <c r="C12" s="449"/>
      <c r="D12" s="449"/>
      <c r="E12" s="449"/>
      <c r="F12" s="449"/>
      <c r="G12" s="449"/>
      <c r="H12" s="449"/>
      <c r="I12" s="449"/>
      <c r="J12" s="449"/>
      <c r="K12" s="449"/>
      <c r="L12" s="449"/>
      <c r="M12" s="449"/>
      <c r="N12" s="449"/>
      <c r="O12" s="449"/>
    </row>
    <row r="14" spans="2:17" x14ac:dyDescent="0.3">
      <c r="B14" s="450" t="s">
        <v>253</v>
      </c>
      <c r="C14" s="451"/>
      <c r="D14" s="451"/>
      <c r="E14" s="451"/>
      <c r="F14" s="451"/>
      <c r="G14" s="451"/>
      <c r="H14" s="451"/>
      <c r="I14" s="451"/>
      <c r="J14" s="451"/>
      <c r="K14" s="451"/>
      <c r="L14" s="451"/>
      <c r="M14" s="451"/>
      <c r="N14" s="451"/>
      <c r="O14" s="451"/>
      <c r="P14" s="451"/>
      <c r="Q14" s="452"/>
    </row>
    <row r="15" spans="2:17" x14ac:dyDescent="0.3">
      <c r="B15" s="205"/>
      <c r="C15" s="38"/>
      <c r="D15" s="38"/>
      <c r="E15" s="38"/>
      <c r="F15" s="38"/>
      <c r="G15" s="38"/>
      <c r="H15" s="38"/>
      <c r="I15" s="38"/>
      <c r="J15" s="38"/>
      <c r="K15" s="38"/>
      <c r="L15" s="38"/>
      <c r="M15" s="38"/>
      <c r="N15" s="38"/>
      <c r="O15" s="38"/>
      <c r="P15" s="38"/>
      <c r="Q15" s="206"/>
    </row>
    <row r="16" spans="2:17" x14ac:dyDescent="0.3">
      <c r="B16" s="446" t="s">
        <v>64</v>
      </c>
      <c r="C16" s="447"/>
      <c r="D16" s="447"/>
      <c r="E16" s="447"/>
      <c r="F16" s="447"/>
      <c r="G16" s="447"/>
      <c r="H16" s="447"/>
      <c r="I16" s="447"/>
      <c r="J16" s="447"/>
      <c r="K16" s="447"/>
      <c r="L16" s="447"/>
      <c r="M16" s="447"/>
      <c r="N16" s="447"/>
      <c r="O16" s="447"/>
      <c r="P16" s="447"/>
      <c r="Q16" s="448"/>
    </row>
    <row r="17" spans="2:17" x14ac:dyDescent="0.3">
      <c r="B17" s="205"/>
      <c r="C17" s="38"/>
      <c r="D17" s="38"/>
      <c r="E17" s="38"/>
      <c r="F17" s="38"/>
      <c r="G17" s="38"/>
      <c r="H17" s="38"/>
      <c r="I17" s="38"/>
      <c r="J17" s="38"/>
      <c r="K17" s="38"/>
      <c r="L17" s="49">
        <v>43800</v>
      </c>
      <c r="M17" s="49">
        <f>L17+366</f>
        <v>44166</v>
      </c>
      <c r="N17" s="49">
        <f t="shared" ref="N17:O17" si="0">M17+366</f>
        <v>44532</v>
      </c>
      <c r="O17" s="49">
        <f t="shared" si="0"/>
        <v>44898</v>
      </c>
      <c r="P17" s="38"/>
      <c r="Q17" s="206"/>
    </row>
    <row r="18" spans="2:17" x14ac:dyDescent="0.3">
      <c r="B18" s="205" t="s">
        <v>179</v>
      </c>
      <c r="C18" s="38"/>
      <c r="D18" s="38"/>
      <c r="E18" s="38"/>
      <c r="F18" s="38"/>
      <c r="G18" s="38"/>
      <c r="H18" s="38"/>
      <c r="I18" s="38"/>
      <c r="J18" s="38"/>
      <c r="K18" s="38"/>
      <c r="L18" s="39">
        <f>'Tesla Financials'!C32/'Tesla Financials'!C45</f>
        <v>1.1346207931002157</v>
      </c>
      <c r="M18" s="39">
        <f>'Tesla Financials'!D32/'Tesla Financials'!D45</f>
        <v>1.8751403705783267</v>
      </c>
      <c r="N18" s="39">
        <f>'Tesla Financials'!E32/'Tesla Financials'!E45</f>
        <v>1.3752854605430094</v>
      </c>
      <c r="O18" s="39">
        <f>'Tesla Financials'!F32/'Tesla Financials'!F45</f>
        <v>1.53195552061103</v>
      </c>
      <c r="P18" s="38"/>
      <c r="Q18" s="206"/>
    </row>
    <row r="19" spans="2:17" x14ac:dyDescent="0.3">
      <c r="B19" s="205" t="s">
        <v>180</v>
      </c>
      <c r="C19" s="38"/>
      <c r="D19" s="38"/>
      <c r="E19" s="38"/>
      <c r="F19" s="38"/>
      <c r="G19" s="38"/>
      <c r="H19" s="38"/>
      <c r="I19" s="38"/>
      <c r="J19" s="38"/>
      <c r="K19" s="38"/>
      <c r="L19" s="39">
        <f>('Tesla Financials'!C32-'Tesla Financials'!C30)/'Tesla Financials'!C45</f>
        <v>0.80163119902503044</v>
      </c>
      <c r="M19" s="39">
        <f>('Tesla Financials'!D32-'Tesla Financials'!D30)/'Tesla Financials'!D45</f>
        <v>1.5873104997192589</v>
      </c>
      <c r="N19" s="39">
        <f>('Tesla Financials'!E32-'Tesla Financials'!E30)/'Tesla Financials'!E45</f>
        <v>1.0831261101243339</v>
      </c>
      <c r="O19" s="39">
        <f>('Tesla Financials'!F32-'Tesla Financials'!F30)/'Tesla Financials'!F45</f>
        <v>1.0512561308922086</v>
      </c>
      <c r="P19" s="38"/>
      <c r="Q19" s="206"/>
    </row>
    <row r="20" spans="2:17" x14ac:dyDescent="0.3">
      <c r="B20" s="205" t="s">
        <v>67</v>
      </c>
      <c r="C20" s="38"/>
      <c r="D20" s="38"/>
      <c r="E20" s="38"/>
      <c r="F20" s="38"/>
      <c r="G20" s="38"/>
      <c r="H20" s="38"/>
      <c r="I20" s="38"/>
      <c r="J20" s="38"/>
      <c r="K20" s="38"/>
      <c r="L20" s="39">
        <f>('Tesla Financials'!C27+'Tesla Financials'!C28)/'Tesla Financials'!C45</f>
        <v>0.58760663729258455</v>
      </c>
      <c r="M20" s="39">
        <f>('Tesla Financials'!D27+'Tesla Financials'!D28)/'Tesla Financials'!D45</f>
        <v>1.360471645143178</v>
      </c>
      <c r="N20" s="39">
        <f>('Tesla Financials'!E27+'Tesla Financials'!E28)/'Tesla Financials'!E45</f>
        <v>0.89860441512306521</v>
      </c>
      <c r="O20" s="39">
        <f>('Tesla Financials'!F27+'Tesla Financials'!F28)/'Tesla Financials'!F45</f>
        <v>0.83061889250814336</v>
      </c>
      <c r="P20" s="38"/>
      <c r="Q20" s="206"/>
    </row>
    <row r="21" spans="2:17" x14ac:dyDescent="0.3">
      <c r="B21" s="205"/>
      <c r="C21" s="38"/>
      <c r="D21" s="38"/>
      <c r="E21" s="38"/>
      <c r="F21" s="38"/>
      <c r="G21" s="38"/>
      <c r="H21" s="38"/>
      <c r="I21" s="38"/>
      <c r="J21" s="38"/>
      <c r="K21" s="38"/>
      <c r="L21" s="38"/>
      <c r="M21" s="38"/>
      <c r="N21" s="38"/>
      <c r="O21" s="38"/>
      <c r="P21" s="38"/>
      <c r="Q21" s="206"/>
    </row>
    <row r="22" spans="2:17" x14ac:dyDescent="0.3">
      <c r="B22" s="446" t="s">
        <v>116</v>
      </c>
      <c r="C22" s="447"/>
      <c r="D22" s="447"/>
      <c r="E22" s="447"/>
      <c r="F22" s="447"/>
      <c r="G22" s="447"/>
      <c r="H22" s="447"/>
      <c r="I22" s="447"/>
      <c r="J22" s="447"/>
      <c r="K22" s="447"/>
      <c r="L22" s="447"/>
      <c r="M22" s="447"/>
      <c r="N22" s="447"/>
      <c r="O22" s="447"/>
      <c r="P22" s="447"/>
      <c r="Q22" s="448"/>
    </row>
    <row r="23" spans="2:17" x14ac:dyDescent="0.3">
      <c r="B23" s="205"/>
      <c r="C23" s="38"/>
      <c r="D23" s="38"/>
      <c r="E23" s="38"/>
      <c r="F23" s="38"/>
      <c r="G23" s="38"/>
      <c r="H23" s="38"/>
      <c r="I23" s="38"/>
      <c r="J23" s="38"/>
      <c r="K23" s="38"/>
      <c r="L23" s="49">
        <f>L17</f>
        <v>43800</v>
      </c>
      <c r="M23" s="49">
        <f t="shared" ref="M23:O23" si="1">M17</f>
        <v>44166</v>
      </c>
      <c r="N23" s="49">
        <f t="shared" si="1"/>
        <v>44532</v>
      </c>
      <c r="O23" s="49">
        <f t="shared" si="1"/>
        <v>44898</v>
      </c>
      <c r="P23" s="38"/>
      <c r="Q23" s="206"/>
    </row>
    <row r="24" spans="2:17" x14ac:dyDescent="0.3">
      <c r="B24" s="205" t="s">
        <v>117</v>
      </c>
      <c r="C24" s="38"/>
      <c r="D24" s="38"/>
      <c r="E24" s="38"/>
      <c r="F24" s="38"/>
      <c r="G24" s="38"/>
      <c r="H24" s="38"/>
      <c r="I24" s="38"/>
      <c r="J24" s="38"/>
      <c r="K24" s="38"/>
      <c r="L24" s="39">
        <f>('Tesla Financials'!C46+'Tesla Financials'!C43)/'Tesla Financials'!C40</f>
        <v>0.39112186306799968</v>
      </c>
      <c r="M24" s="39">
        <f>('Tesla Financials'!D46+'Tesla Financials'!D43)/'Tesla Financials'!D40</f>
        <v>0.22413131855488225</v>
      </c>
      <c r="N24" s="39">
        <f>('Tesla Financials'!E46+'Tesla Financials'!E43)/'Tesla Financials'!E40</f>
        <v>0.10999340103973862</v>
      </c>
      <c r="O24" s="39">
        <f>('Tesla Financials'!F46+'Tesla Financials'!F43)/'Tesla Financials'!F40</f>
        <v>3.7637542811338631E-2</v>
      </c>
      <c r="P24" s="38"/>
      <c r="Q24" s="206"/>
    </row>
    <row r="25" spans="2:17" x14ac:dyDescent="0.3">
      <c r="B25" s="205" t="s">
        <v>118</v>
      </c>
      <c r="C25" s="38"/>
      <c r="D25" s="38"/>
      <c r="E25" s="38"/>
      <c r="F25" s="38"/>
      <c r="G25" s="38"/>
      <c r="H25" s="38"/>
      <c r="I25" s="38"/>
      <c r="J25" s="38"/>
      <c r="K25" s="38"/>
      <c r="L25" s="39">
        <f>('Tesla Financials'!C46+'Tesla Financials'!C43)/'Tesla Financials'!C58</f>
        <v>2.0276518585675429</v>
      </c>
      <c r="M25" s="39">
        <f>('Tesla Financials'!D46+'Tesla Financials'!D43)/'Tesla Financials'!D58</f>
        <v>0.52589426321709787</v>
      </c>
      <c r="N25" s="39">
        <f>('Tesla Financials'!E46+'Tesla Financials'!E43)/'Tesla Financials'!E58</f>
        <v>0.22637384477789924</v>
      </c>
      <c r="O25" s="39">
        <f>('Tesla Financials'!F46+'Tesla Financials'!F43)/'Tesla Financials'!F58</f>
        <v>6.9322655690765927E-2</v>
      </c>
      <c r="P25" s="38"/>
      <c r="Q25" s="206"/>
    </row>
    <row r="26" spans="2:17" x14ac:dyDescent="0.3">
      <c r="B26" s="205" t="s">
        <v>120</v>
      </c>
      <c r="C26" s="38"/>
      <c r="D26" s="38"/>
      <c r="E26" s="38"/>
      <c r="F26" s="38"/>
      <c r="G26" s="38"/>
      <c r="H26" s="38"/>
      <c r="I26" s="38"/>
      <c r="J26" s="38"/>
      <c r="K26" s="38"/>
      <c r="L26" s="39">
        <f>L25/(1+L25)</f>
        <v>0.66971103458601589</v>
      </c>
      <c r="M26" s="39">
        <f t="shared" ref="M26:O26" si="2">M25/(1+M25)</f>
        <v>0.34464659570076367</v>
      </c>
      <c r="N26" s="39">
        <f t="shared" si="2"/>
        <v>0.18458795883639897</v>
      </c>
      <c r="O26" s="39">
        <f t="shared" si="2"/>
        <v>6.4828567244733584E-2</v>
      </c>
      <c r="P26" s="38"/>
      <c r="Q26" s="206"/>
    </row>
    <row r="27" spans="2:17" x14ac:dyDescent="0.3">
      <c r="B27" s="205" t="s">
        <v>121</v>
      </c>
      <c r="C27" s="38"/>
      <c r="D27" s="38"/>
      <c r="E27" s="38"/>
      <c r="F27" s="38"/>
      <c r="G27" s="38"/>
      <c r="H27" s="38"/>
      <c r="I27" s="38"/>
      <c r="J27" s="38"/>
      <c r="K27" s="38"/>
      <c r="L27" s="39">
        <f>('Tesla Financials'!C14+'Tesla Financials'!C65)/'Tesla Financials'!C15</f>
        <v>3.1737226277372264</v>
      </c>
      <c r="M27" s="39">
        <f>('Tesla Financials'!D14+'Tesla Financials'!D65)/'Tesla Financials'!D15</f>
        <v>5.6470588235294121</v>
      </c>
      <c r="N27" s="39">
        <f>('Tesla Financials'!E14+'Tesla Financials'!E65)/'Tesla Financials'!E15</f>
        <v>25.943396226415093</v>
      </c>
      <c r="O27" s="39">
        <f>('Tesla Financials'!F14+'Tesla Financials'!F65)/'Tesla Financials'!F15</f>
        <v>92.445026178010465</v>
      </c>
      <c r="P27" s="38"/>
      <c r="Q27" s="206"/>
    </row>
    <row r="28" spans="2:17" x14ac:dyDescent="0.3">
      <c r="B28" s="205" t="s">
        <v>119</v>
      </c>
      <c r="C28" s="38"/>
      <c r="D28" s="38"/>
      <c r="E28" s="38"/>
      <c r="F28" s="38"/>
      <c r="G28" s="38"/>
      <c r="H28" s="38"/>
      <c r="I28" s="38"/>
      <c r="J28" s="38"/>
      <c r="K28" s="38"/>
      <c r="L28" s="39">
        <f>'Tesla Financials'!C40/'Tesla Financials'!C58</f>
        <v>5.184194620731339</v>
      </c>
      <c r="M28" s="39">
        <f>'Tesla Financials'!D40/'Tesla Financials'!D58</f>
        <v>2.3463667041619796</v>
      </c>
      <c r="N28" s="39">
        <f>'Tesla Financials'!E40/'Tesla Financials'!E58</f>
        <v>2.0580675080327273</v>
      </c>
      <c r="O28" s="39">
        <f>'Tesla Financials'!F40/'Tesla Financials'!F58</f>
        <v>1.8418486041517537</v>
      </c>
      <c r="P28" s="38"/>
      <c r="Q28" s="206"/>
    </row>
    <row r="29" spans="2:17" x14ac:dyDescent="0.3">
      <c r="B29" s="205" t="s">
        <v>193</v>
      </c>
      <c r="C29" s="38"/>
      <c r="D29" s="38"/>
      <c r="E29" s="38"/>
      <c r="F29" s="38"/>
      <c r="G29" s="38"/>
      <c r="H29" s="38"/>
      <c r="I29" s="38"/>
      <c r="J29" s="38"/>
      <c r="K29" s="38"/>
      <c r="L29" s="39">
        <f>'Tesla Financials'!C72/('Tesla Financials'!C46+'Tesla Financials'!C43)</f>
        <v>0.17922348908264402</v>
      </c>
      <c r="M29" s="39">
        <f>'Tesla Financials'!D72/('Tesla Financials'!D46+'Tesla Financials'!D43)</f>
        <v>0.50847022587268997</v>
      </c>
      <c r="N29" s="39">
        <f>'Tesla Financials'!E72/('Tesla Financials'!E46+'Tesla Financials'!E43)</f>
        <v>1.6823236757389524</v>
      </c>
      <c r="O29" s="39">
        <f>'Tesla Financials'!F72/('Tesla Financials'!F46+'Tesla Financials'!F43)</f>
        <v>4.751210067763795</v>
      </c>
      <c r="P29" s="38"/>
      <c r="Q29" s="206"/>
    </row>
    <row r="30" spans="2:17" x14ac:dyDescent="0.3">
      <c r="B30" s="205"/>
      <c r="C30" s="38"/>
      <c r="D30" s="38"/>
      <c r="E30" s="38"/>
      <c r="F30" s="38"/>
      <c r="G30" s="38"/>
      <c r="H30" s="38"/>
      <c r="I30" s="38"/>
      <c r="J30" s="38"/>
      <c r="K30" s="38"/>
      <c r="L30" s="38"/>
      <c r="M30" s="38"/>
      <c r="N30" s="38"/>
      <c r="O30" s="38"/>
      <c r="P30" s="38"/>
      <c r="Q30" s="206"/>
    </row>
    <row r="31" spans="2:17" x14ac:dyDescent="0.3">
      <c r="B31" s="446" t="s">
        <v>122</v>
      </c>
      <c r="C31" s="447"/>
      <c r="D31" s="447"/>
      <c r="E31" s="447"/>
      <c r="F31" s="447"/>
      <c r="G31" s="447"/>
      <c r="H31" s="447"/>
      <c r="I31" s="447"/>
      <c r="J31" s="447"/>
      <c r="K31" s="447"/>
      <c r="L31" s="447"/>
      <c r="M31" s="447"/>
      <c r="N31" s="447"/>
      <c r="O31" s="447"/>
      <c r="P31" s="447"/>
      <c r="Q31" s="448"/>
    </row>
    <row r="32" spans="2:17" x14ac:dyDescent="0.3">
      <c r="B32" s="205"/>
      <c r="C32" s="38"/>
      <c r="D32" s="38"/>
      <c r="E32" s="38"/>
      <c r="F32" s="38"/>
      <c r="G32" s="38"/>
      <c r="H32" s="38"/>
      <c r="I32" s="38"/>
      <c r="J32" s="38"/>
      <c r="K32" s="38"/>
      <c r="L32" s="49">
        <f>L23</f>
        <v>43800</v>
      </c>
      <c r="M32" s="49">
        <f t="shared" ref="M32:O32" si="3">M23</f>
        <v>44166</v>
      </c>
      <c r="N32" s="49">
        <f t="shared" si="3"/>
        <v>44532</v>
      </c>
      <c r="O32" s="49">
        <f t="shared" si="3"/>
        <v>44898</v>
      </c>
      <c r="P32" s="38"/>
      <c r="Q32" s="206"/>
    </row>
    <row r="33" spans="2:17" x14ac:dyDescent="0.3">
      <c r="B33" s="205" t="s">
        <v>123</v>
      </c>
      <c r="C33" s="38"/>
      <c r="D33" s="38"/>
      <c r="E33" s="38"/>
      <c r="F33" s="38"/>
      <c r="G33" s="38"/>
      <c r="H33" s="38"/>
      <c r="I33" s="38"/>
      <c r="J33" s="38"/>
      <c r="K33" s="38"/>
      <c r="L33" s="39">
        <f>'Tesla Financials'!C4/'Tesla Financials'!C40</f>
        <v>0.71637179748753976</v>
      </c>
      <c r="M33" s="39">
        <f>'Tesla Financials'!D4/'Tesla Financials'!D40</f>
        <v>0.60474035437600671</v>
      </c>
      <c r="N33" s="39">
        <f>'Tesla Financials'!E4/'Tesla Financials'!E40</f>
        <v>0.86628253206933736</v>
      </c>
      <c r="O33" s="39">
        <f>'Tesla Financials'!F4/'Tesla Financials'!F40</f>
        <v>0.98936092691102528</v>
      </c>
      <c r="P33" s="38"/>
      <c r="Q33" s="206"/>
    </row>
    <row r="34" spans="2:17" x14ac:dyDescent="0.3">
      <c r="B34" s="205" t="s">
        <v>124</v>
      </c>
      <c r="C34" s="38"/>
      <c r="D34" s="38"/>
      <c r="E34" s="38"/>
      <c r="F34" s="38"/>
      <c r="G34" s="38"/>
      <c r="H34" s="38"/>
      <c r="I34" s="38"/>
      <c r="J34" s="38"/>
      <c r="K34" s="38"/>
      <c r="L34" s="39">
        <f>'Tesla Financials'!C4/('Tesla Financials'!C32-'Tesla Financials'!C45)</f>
        <v>17.115598885793872</v>
      </c>
      <c r="M34" s="39">
        <f>'Tesla Financials'!D4/('Tesla Financials'!D32-'Tesla Financials'!D45)</f>
        <v>2.5291522976982916</v>
      </c>
      <c r="N34" s="39">
        <f>'Tesla Financials'!E4/('Tesla Financials'!E32-'Tesla Financials'!E45)</f>
        <v>7.2782961460446245</v>
      </c>
      <c r="O34" s="39">
        <f>'Tesla Financials'!F4/('Tesla Financials'!F32-'Tesla Financials'!F45)</f>
        <v>5.7335304054054053</v>
      </c>
      <c r="P34" s="38"/>
      <c r="Q34" s="206"/>
    </row>
    <row r="35" spans="2:17" x14ac:dyDescent="0.3">
      <c r="B35" s="205" t="s">
        <v>125</v>
      </c>
      <c r="C35" s="38"/>
      <c r="D35" s="38"/>
      <c r="E35" s="38"/>
      <c r="F35" s="38"/>
      <c r="G35" s="38"/>
      <c r="H35" s="38"/>
      <c r="I35" s="38"/>
      <c r="J35" s="38"/>
      <c r="K35" s="38"/>
      <c r="L35" s="39">
        <f>'Tesla Financials'!C5/'Tesla Financials'!C30</f>
        <v>5.7739301801801801</v>
      </c>
      <c r="M35" s="39">
        <f>'Tesla Financials'!D5/'Tesla Financials'!D30</f>
        <v>6.0731528895391369</v>
      </c>
      <c r="N35" s="39">
        <f>'Tesla Financials'!E5/'Tesla Financials'!E30</f>
        <v>6.9857564703838806</v>
      </c>
      <c r="O35" s="39">
        <f>'Tesla Financials'!F5/'Tesla Financials'!F30</f>
        <v>4.7206947581587348</v>
      </c>
      <c r="P35" s="38"/>
      <c r="Q35" s="206"/>
    </row>
    <row r="36" spans="2:17" x14ac:dyDescent="0.3">
      <c r="B36" s="205" t="s">
        <v>126</v>
      </c>
      <c r="C36" s="38"/>
      <c r="D36" s="38"/>
      <c r="E36" s="38"/>
      <c r="F36" s="38"/>
      <c r="G36" s="38"/>
      <c r="H36" s="38"/>
      <c r="I36" s="38"/>
      <c r="J36" s="38"/>
      <c r="K36" s="38"/>
      <c r="L36" s="39">
        <f>'Tesla Financials'!C4/'Tesla Financials'!C29</f>
        <v>18.563444108761328</v>
      </c>
      <c r="M36" s="39">
        <f>'Tesla Financials'!D4/'Tesla Financials'!D29</f>
        <v>16.721102863202546</v>
      </c>
      <c r="N36" s="39">
        <f>'Tesla Financials'!E4/'Tesla Financials'!E29</f>
        <v>28.135389440669105</v>
      </c>
      <c r="O36" s="39">
        <f>'Tesla Financials'!F4/'Tesla Financials'!F29</f>
        <v>27.595528455284551</v>
      </c>
      <c r="P36" s="38"/>
      <c r="Q36" s="206"/>
    </row>
    <row r="37" spans="2:17" x14ac:dyDescent="0.3">
      <c r="B37" s="205"/>
      <c r="C37" s="38"/>
      <c r="D37" s="38"/>
      <c r="E37" s="38"/>
      <c r="F37" s="38"/>
      <c r="G37" s="38"/>
      <c r="H37" s="38"/>
      <c r="I37" s="38"/>
      <c r="J37" s="38"/>
      <c r="K37" s="38"/>
      <c r="L37" s="38"/>
      <c r="M37" s="38"/>
      <c r="N37" s="38"/>
      <c r="O37" s="38"/>
      <c r="P37" s="38"/>
      <c r="Q37" s="206"/>
    </row>
    <row r="38" spans="2:17" x14ac:dyDescent="0.3">
      <c r="B38" s="446" t="s">
        <v>131</v>
      </c>
      <c r="C38" s="447"/>
      <c r="D38" s="447"/>
      <c r="E38" s="447"/>
      <c r="F38" s="447"/>
      <c r="G38" s="447"/>
      <c r="H38" s="447"/>
      <c r="I38" s="447"/>
      <c r="J38" s="447"/>
      <c r="K38" s="447"/>
      <c r="L38" s="447"/>
      <c r="M38" s="447"/>
      <c r="N38" s="447"/>
      <c r="O38" s="447"/>
      <c r="P38" s="447"/>
      <c r="Q38" s="448"/>
    </row>
    <row r="39" spans="2:17" x14ac:dyDescent="0.3">
      <c r="B39" s="205"/>
      <c r="C39" s="38"/>
      <c r="D39" s="38"/>
      <c r="E39" s="38"/>
      <c r="F39" s="38"/>
      <c r="G39" s="38"/>
      <c r="H39" s="38"/>
      <c r="I39" s="38"/>
      <c r="J39" s="38"/>
      <c r="K39" s="38"/>
      <c r="L39" s="49">
        <f>L32</f>
        <v>43800</v>
      </c>
      <c r="M39" s="49">
        <f t="shared" ref="M39:O39" si="4">M32</f>
        <v>44166</v>
      </c>
      <c r="N39" s="49">
        <f t="shared" si="4"/>
        <v>44532</v>
      </c>
      <c r="O39" s="49">
        <f t="shared" si="4"/>
        <v>44898</v>
      </c>
      <c r="P39" s="38"/>
      <c r="Q39" s="206"/>
    </row>
    <row r="40" spans="2:17" x14ac:dyDescent="0.3">
      <c r="B40" s="205" t="s">
        <v>132</v>
      </c>
      <c r="C40" s="38"/>
      <c r="D40" s="38"/>
      <c r="E40" s="38"/>
      <c r="F40" s="38"/>
      <c r="G40" s="38"/>
      <c r="H40" s="38"/>
      <c r="I40" s="38"/>
      <c r="J40" s="38"/>
      <c r="K40" s="38"/>
      <c r="L40" s="67">
        <f>'Tesla Financials'!C21/'Tesla Financials'!C58</f>
        <v>-0.13025083106678756</v>
      </c>
      <c r="M40" s="67">
        <f>'Tesla Financials'!D21/'Tesla Financials'!D58</f>
        <v>3.2440944881889762E-2</v>
      </c>
      <c r="N40" s="67">
        <f>'Tesla Financials'!E21/'Tesla Financials'!E58</f>
        <v>0.18281493259134121</v>
      </c>
      <c r="O40" s="67">
        <f>'Tesla Financials'!F21/'Tesla Financials'!F58</f>
        <v>0.28086972083035078</v>
      </c>
      <c r="P40" s="38"/>
      <c r="Q40" s="206"/>
    </row>
    <row r="41" spans="2:17" x14ac:dyDescent="0.3">
      <c r="B41" s="205" t="s">
        <v>133</v>
      </c>
      <c r="C41" s="38"/>
      <c r="D41" s="38"/>
      <c r="E41" s="38"/>
      <c r="F41" s="38"/>
      <c r="G41" s="38"/>
      <c r="H41" s="38"/>
      <c r="I41" s="38"/>
      <c r="J41" s="38"/>
      <c r="K41" s="38"/>
      <c r="L41" s="67">
        <f>'Tesla Financials'!C22/'Tesla Financials'!C40</f>
        <v>-2.5124602873881487E-2</v>
      </c>
      <c r="M41" s="67">
        <f>'Tesla Financials'!D22/'Tesla Financials'!D40</f>
        <v>1.3826033596686355E-2</v>
      </c>
      <c r="N41" s="67">
        <f>'Tesla Financials'!E22/'Tesla Financials'!E40</f>
        <v>8.8828443128229059E-2</v>
      </c>
      <c r="O41" s="67">
        <f>'Tesla Financials'!F22/'Tesla Financials'!F40</f>
        <v>0.1524933809419709</v>
      </c>
      <c r="P41" s="38"/>
      <c r="Q41" s="206"/>
    </row>
    <row r="42" spans="2:17" x14ac:dyDescent="0.3">
      <c r="B42" s="205" t="s">
        <v>134</v>
      </c>
      <c r="C42" s="38"/>
      <c r="D42" s="38"/>
      <c r="E42" s="38"/>
      <c r="F42" s="38"/>
      <c r="G42" s="38"/>
      <c r="H42" s="38"/>
      <c r="I42" s="38"/>
      <c r="J42" s="38"/>
      <c r="K42" s="38"/>
      <c r="L42" s="67">
        <f>'Tesla Financials'!C22/('Tesla Financials'!C58+'Tesla Financials'!C46+'Tesla Financials'!C43)</f>
        <v>-4.3020412237360882E-2</v>
      </c>
      <c r="M42" s="67">
        <f>'Tesla Financials'!D22/('Tesla Financials'!D58+'Tesla Financials'!D46+'Tesla Financials'!D43)</f>
        <v>2.1260283667030342E-2</v>
      </c>
      <c r="N42" s="67">
        <f>'Tesla Financials'!E22/('Tesla Financials'!E58+'Tesla Financials'!E46+'Tesla Financials'!E43)</f>
        <v>0.14906949733949168</v>
      </c>
      <c r="O42" s="67">
        <f>'Tesla Financials'!F22/('Tesla Financials'!F58+'Tesla Financials'!F46+'Tesla Financials'!F43)</f>
        <v>0.26266133924649082</v>
      </c>
      <c r="P42" s="38"/>
      <c r="Q42" s="206"/>
    </row>
    <row r="43" spans="2:17" x14ac:dyDescent="0.3">
      <c r="B43" s="205" t="s">
        <v>135</v>
      </c>
      <c r="C43" s="38"/>
      <c r="D43" s="38"/>
      <c r="E43" s="38"/>
      <c r="F43" s="38"/>
      <c r="G43" s="38"/>
      <c r="H43" s="38"/>
      <c r="I43" s="38"/>
      <c r="J43" s="38"/>
      <c r="K43" s="38"/>
      <c r="L43" s="67">
        <f>'Tesla Financials'!C22/('Tesla Financials'!C35+'Tesla Financials'!C32-'Tesla Financials'!C45)</f>
        <v>-5.562366909724463E-2</v>
      </c>
      <c r="M43" s="67">
        <f>'Tesla Financials'!D22/('Tesla Financials'!D35+'Tesla Financials'!D32-'Tesla Financials'!D45)</f>
        <v>2.4141972208270551E-2</v>
      </c>
      <c r="N43" s="67">
        <f>'Tesla Financials'!E22/('Tesla Financials'!E35+'Tesla Financials'!E32-'Tesla Financials'!E45)</f>
        <v>0.16823142108150949</v>
      </c>
      <c r="O43" s="67">
        <f>'Tesla Financials'!F22/('Tesla Financials'!F35+'Tesla Financials'!F32-'Tesla Financials'!F45)</f>
        <v>0.27684437976804693</v>
      </c>
      <c r="P43" s="38"/>
      <c r="Q43" s="206"/>
    </row>
    <row r="44" spans="2:17" x14ac:dyDescent="0.3">
      <c r="B44" s="205" t="s">
        <v>136</v>
      </c>
      <c r="C44" s="38"/>
      <c r="D44" s="38"/>
      <c r="E44" s="38"/>
      <c r="F44" s="38"/>
      <c r="G44" s="38"/>
      <c r="H44" s="38"/>
      <c r="I44" s="38"/>
      <c r="J44" s="38"/>
      <c r="K44" s="38"/>
      <c r="L44" s="67">
        <f>('Tesla Financials'!C14+'Tesla Financials'!C65)/'Tesla Financials'!C4</f>
        <v>8.8453088127593782E-2</v>
      </c>
      <c r="M44" s="67">
        <f>('Tesla Financials'!D14+'Tesla Financials'!D65)/'Tesla Financials'!D4</f>
        <v>0.13394216133942161</v>
      </c>
      <c r="N44" s="67">
        <f>('Tesla Financials'!E14+'Tesla Financials'!E65)/'Tesla Financials'!E4</f>
        <v>0.17882689556509299</v>
      </c>
      <c r="O44" s="67">
        <f>('Tesla Financials'!F14+'Tesla Financials'!F65)/'Tesla Financials'!F4</f>
        <v>0.21675136873634332</v>
      </c>
      <c r="P44" s="38"/>
      <c r="Q44" s="206"/>
    </row>
    <row r="45" spans="2:17" x14ac:dyDescent="0.3">
      <c r="B45" s="205" t="s">
        <v>137</v>
      </c>
      <c r="C45" s="38"/>
      <c r="D45" s="38"/>
      <c r="E45" s="38"/>
      <c r="F45" s="38"/>
      <c r="G45" s="38"/>
      <c r="H45" s="38"/>
      <c r="I45" s="38"/>
      <c r="J45" s="38"/>
      <c r="K45" s="38"/>
      <c r="L45" s="67">
        <f>'Tesla Financials'!C22/'Tesla Financials'!C4</f>
        <v>-3.5072015623728539E-2</v>
      </c>
      <c r="M45" s="67">
        <f>'Tesla Financials'!D22/'Tesla Financials'!D4</f>
        <v>2.2862760020294266E-2</v>
      </c>
      <c r="N45" s="67">
        <f>'Tesla Financials'!E22/'Tesla Financials'!E4</f>
        <v>0.10253980640246735</v>
      </c>
      <c r="O45" s="67">
        <f>'Tesla Financials'!F22/'Tesla Financials'!F4</f>
        <v>0.15413321548697553</v>
      </c>
      <c r="P45" s="38"/>
      <c r="Q45" s="206"/>
    </row>
    <row r="46" spans="2:17" x14ac:dyDescent="0.3">
      <c r="B46" s="205"/>
      <c r="C46" s="38"/>
      <c r="D46" s="38"/>
      <c r="E46" s="38"/>
      <c r="F46" s="38"/>
      <c r="G46" s="38"/>
      <c r="H46" s="38"/>
      <c r="I46" s="38"/>
      <c r="J46" s="38"/>
      <c r="K46" s="38"/>
      <c r="L46" s="38"/>
      <c r="M46" s="38"/>
      <c r="N46" s="38"/>
      <c r="O46" s="38"/>
      <c r="P46" s="38"/>
      <c r="Q46" s="206"/>
    </row>
    <row r="47" spans="2:17" x14ac:dyDescent="0.3">
      <c r="B47" s="446" t="s">
        <v>127</v>
      </c>
      <c r="C47" s="447"/>
      <c r="D47" s="447"/>
      <c r="E47" s="447"/>
      <c r="F47" s="447"/>
      <c r="G47" s="447"/>
      <c r="H47" s="447"/>
      <c r="I47" s="447"/>
      <c r="J47" s="447"/>
      <c r="K47" s="447"/>
      <c r="L47" s="447"/>
      <c r="M47" s="447"/>
      <c r="N47" s="447"/>
      <c r="O47" s="447"/>
      <c r="P47" s="447"/>
      <c r="Q47" s="448"/>
    </row>
    <row r="48" spans="2:17" x14ac:dyDescent="0.3">
      <c r="B48" s="205"/>
      <c r="C48" s="38"/>
      <c r="D48" s="38"/>
      <c r="E48" s="38"/>
      <c r="F48" s="38"/>
      <c r="G48" s="38"/>
      <c r="H48" s="38"/>
      <c r="I48" s="38"/>
      <c r="J48" s="38"/>
      <c r="K48" s="38"/>
      <c r="L48" s="49">
        <f>L39</f>
        <v>43800</v>
      </c>
      <c r="M48" s="49">
        <f t="shared" ref="M48:O48" si="5">M39</f>
        <v>44166</v>
      </c>
      <c r="N48" s="49">
        <f t="shared" si="5"/>
        <v>44532</v>
      </c>
      <c r="O48" s="49">
        <f t="shared" si="5"/>
        <v>44898</v>
      </c>
      <c r="P48" s="38"/>
      <c r="Q48" s="206"/>
    </row>
    <row r="49" spans="2:17" x14ac:dyDescent="0.3">
      <c r="B49" s="205" t="s">
        <v>128</v>
      </c>
      <c r="C49" s="38"/>
      <c r="D49" s="38"/>
      <c r="E49" s="38"/>
      <c r="F49" s="38"/>
      <c r="G49" s="38"/>
      <c r="H49" s="38"/>
      <c r="I49" s="38"/>
      <c r="J49" s="38"/>
      <c r="K49" s="38"/>
      <c r="L49" s="39">
        <f>'Tesla Financials'!C23/'Tesla Financials'!C4</f>
        <v>3.0803971031003337</v>
      </c>
      <c r="M49" s="39">
        <f>'Tesla Financials'!D23/'Tesla Financials'!D4</f>
        <v>21.210679857940132</v>
      </c>
      <c r="N49" s="39">
        <f>'Tesla Financials'!E23/'Tesla Financials'!E4</f>
        <v>19.712762202032589</v>
      </c>
      <c r="O49" s="39">
        <f>'Tesla Financials'!F23/'Tesla Financials'!F4</f>
        <v>4.7748643539318945</v>
      </c>
      <c r="P49" s="38"/>
      <c r="Q49" s="206"/>
    </row>
    <row r="50" spans="2:17" x14ac:dyDescent="0.3">
      <c r="B50" s="205" t="s">
        <v>129</v>
      </c>
      <c r="C50" s="38"/>
      <c r="D50" s="38"/>
      <c r="E50" s="38"/>
      <c r="F50" s="38"/>
      <c r="G50" s="38"/>
      <c r="H50" s="38"/>
      <c r="I50" s="38"/>
      <c r="J50" s="38"/>
      <c r="K50" s="38"/>
      <c r="L50" s="39">
        <f>'Tesla Financials'!C23/'Tesla Financials'!C22</f>
        <v>-87.830626450116014</v>
      </c>
      <c r="M50" s="39">
        <f>'Tesla Financials'!D23/'Tesla Financials'!D22</f>
        <v>927.73925104022192</v>
      </c>
      <c r="N50" s="39">
        <f>'Tesla Financials'!E23/'Tesla Financials'!E22</f>
        <v>192.24497191520203</v>
      </c>
      <c r="O50" s="39">
        <f>'Tesla Financials'!F23/'Tesla Financials'!F22</f>
        <v>30.978814909206754</v>
      </c>
      <c r="P50" s="38"/>
      <c r="Q50" s="206"/>
    </row>
    <row r="51" spans="2:17" x14ac:dyDescent="0.3">
      <c r="B51" s="205" t="s">
        <v>140</v>
      </c>
      <c r="C51" s="38"/>
      <c r="D51" s="38"/>
      <c r="E51" s="38"/>
      <c r="F51" s="38"/>
      <c r="G51" s="38"/>
      <c r="H51" s="38"/>
      <c r="I51" s="38"/>
      <c r="J51" s="38"/>
      <c r="K51" s="38"/>
      <c r="L51" s="39">
        <f>'Tesla Financials'!C23/'Tesla Financials'!C72</f>
        <v>31.48024948024948</v>
      </c>
      <c r="M51" s="39">
        <f>'Tesla Financials'!D23/'Tesla Financials'!D72</f>
        <v>112.55258287060407</v>
      </c>
      <c r="N51" s="39">
        <f>'Tesla Financials'!E23/'Tesla Financials'!E72</f>
        <v>92.284943898408287</v>
      </c>
      <c r="O51" s="39">
        <f>'Tesla Financials'!F23/'Tesla Financials'!F72</f>
        <v>26.417413746264604</v>
      </c>
      <c r="P51" s="38"/>
      <c r="Q51" s="206"/>
    </row>
    <row r="52" spans="2:17" x14ac:dyDescent="0.3">
      <c r="B52" s="205" t="s">
        <v>130</v>
      </c>
      <c r="C52" s="38"/>
      <c r="D52" s="38"/>
      <c r="E52" s="38"/>
      <c r="F52" s="38"/>
      <c r="G52" s="38"/>
      <c r="H52" s="38"/>
      <c r="I52" s="38"/>
      <c r="J52" s="38"/>
      <c r="K52" s="38"/>
      <c r="L52" s="39">
        <f>'Tesla Financials'!C23/'Tesla Financials'!C58</f>
        <v>11.440012088244183</v>
      </c>
      <c r="M52" s="39">
        <f>'Tesla Financials'!D23/'Tesla Financials'!D58</f>
        <v>30.096737907761529</v>
      </c>
      <c r="N52" s="39">
        <f>'Tesla Financials'!E23/'Tesla Financials'!E58</f>
        <v>35.145251581701942</v>
      </c>
      <c r="O52" s="39">
        <f>'Tesla Financials'!F23/'Tesla Financials'!F58</f>
        <v>8.7010110952040094</v>
      </c>
      <c r="P52" s="38"/>
      <c r="Q52" s="206"/>
    </row>
    <row r="53" spans="2:17" x14ac:dyDescent="0.3">
      <c r="B53" s="205"/>
      <c r="C53" s="38"/>
      <c r="D53" s="38"/>
      <c r="E53" s="38"/>
      <c r="F53" s="38"/>
      <c r="G53" s="38"/>
      <c r="H53" s="38"/>
      <c r="I53" s="38"/>
      <c r="J53" s="38"/>
      <c r="K53" s="38"/>
      <c r="L53" s="38"/>
      <c r="M53" s="38"/>
      <c r="N53" s="38"/>
      <c r="O53" s="38"/>
      <c r="P53" s="38"/>
      <c r="Q53" s="206"/>
    </row>
    <row r="54" spans="2:17" x14ac:dyDescent="0.3">
      <c r="B54" s="446" t="s">
        <v>138</v>
      </c>
      <c r="C54" s="447"/>
      <c r="D54" s="447"/>
      <c r="E54" s="447"/>
      <c r="F54" s="447"/>
      <c r="G54" s="447"/>
      <c r="H54" s="447"/>
      <c r="I54" s="447"/>
      <c r="J54" s="447"/>
      <c r="K54" s="447"/>
      <c r="L54" s="447"/>
      <c r="M54" s="447"/>
      <c r="N54" s="447"/>
      <c r="O54" s="447"/>
      <c r="P54" s="447"/>
      <c r="Q54" s="448"/>
    </row>
    <row r="55" spans="2:17" x14ac:dyDescent="0.3">
      <c r="B55" s="205"/>
      <c r="C55" s="38"/>
      <c r="D55" s="38"/>
      <c r="E55" s="38"/>
      <c r="F55" s="38"/>
      <c r="G55" s="38"/>
      <c r="H55" s="38"/>
      <c r="I55" s="38"/>
      <c r="J55" s="38"/>
      <c r="K55" s="38"/>
      <c r="L55" s="49">
        <f>L48</f>
        <v>43800</v>
      </c>
      <c r="M55" s="49">
        <f t="shared" ref="M55:O55" si="6">M48</f>
        <v>44166</v>
      </c>
      <c r="N55" s="49">
        <f t="shared" si="6"/>
        <v>44532</v>
      </c>
      <c r="O55" s="49">
        <f t="shared" si="6"/>
        <v>44898</v>
      </c>
      <c r="P55" s="38"/>
      <c r="Q55" s="206"/>
    </row>
    <row r="56" spans="2:17" x14ac:dyDescent="0.3">
      <c r="B56" s="205" t="s">
        <v>23</v>
      </c>
      <c r="C56" s="38"/>
      <c r="D56" s="38"/>
      <c r="E56" s="38"/>
      <c r="F56" s="38"/>
      <c r="G56" s="38"/>
      <c r="H56" s="38"/>
      <c r="I56" s="38"/>
      <c r="J56" s="38"/>
      <c r="K56" s="38"/>
      <c r="L56" s="51">
        <f>'Tesla Financials'!C22</f>
        <v>-862000</v>
      </c>
      <c r="M56" s="51">
        <f>'Tesla Financials'!D22</f>
        <v>721000</v>
      </c>
      <c r="N56" s="51">
        <f>'Tesla Financials'!E22</f>
        <v>5519000</v>
      </c>
      <c r="O56" s="51">
        <f>'Tesla Financials'!F22</f>
        <v>12556000</v>
      </c>
      <c r="P56" s="38"/>
      <c r="Q56" s="206"/>
    </row>
    <row r="57" spans="2:17" x14ac:dyDescent="0.3">
      <c r="B57" s="205" t="s">
        <v>139</v>
      </c>
      <c r="C57" s="38"/>
      <c r="D57" s="38"/>
      <c r="E57" s="38"/>
      <c r="F57" s="38"/>
      <c r="G57" s="38"/>
      <c r="H57" s="38"/>
      <c r="I57" s="38"/>
      <c r="J57" s="38"/>
      <c r="K57" s="38"/>
      <c r="L57" s="51">
        <f>'Tesla Financials'!C4</f>
        <v>24578000</v>
      </c>
      <c r="M57" s="51">
        <f>'Tesla Financials'!D4</f>
        <v>31536000</v>
      </c>
      <c r="N57" s="51">
        <f>'Tesla Financials'!E4</f>
        <v>53823000</v>
      </c>
      <c r="O57" s="51">
        <f>'Tesla Financials'!F4</f>
        <v>81462000</v>
      </c>
      <c r="P57" s="38"/>
      <c r="Q57" s="206"/>
    </row>
    <row r="58" spans="2:17" x14ac:dyDescent="0.3">
      <c r="B58" s="205" t="s">
        <v>39</v>
      </c>
      <c r="C58" s="38"/>
      <c r="D58" s="38"/>
      <c r="E58" s="38"/>
      <c r="F58" s="38"/>
      <c r="G58" s="38"/>
      <c r="H58" s="38"/>
      <c r="I58" s="38"/>
      <c r="J58" s="38"/>
      <c r="K58" s="38"/>
      <c r="L58" s="51">
        <f>'Tesla Financials'!C40</f>
        <v>34309000</v>
      </c>
      <c r="M58" s="51">
        <f>'Tesla Financials'!D40</f>
        <v>52148000</v>
      </c>
      <c r="N58" s="51">
        <f>'Tesla Financials'!E40</f>
        <v>62131000</v>
      </c>
      <c r="O58" s="51">
        <f>'Tesla Financials'!F40</f>
        <v>82338000</v>
      </c>
      <c r="P58" s="38"/>
      <c r="Q58" s="206"/>
    </row>
    <row r="59" spans="2:17" x14ac:dyDescent="0.3">
      <c r="B59" s="205" t="s">
        <v>141</v>
      </c>
      <c r="C59" s="38"/>
      <c r="D59" s="38"/>
      <c r="E59" s="38"/>
      <c r="F59" s="38"/>
      <c r="G59" s="38"/>
      <c r="H59" s="38"/>
      <c r="I59" s="38"/>
      <c r="J59" s="38"/>
      <c r="K59" s="38"/>
      <c r="L59" s="51">
        <f>'Tesla Financials'!C58</f>
        <v>6618000</v>
      </c>
      <c r="M59" s="51">
        <f>'Tesla Financials'!D58</f>
        <v>22225000</v>
      </c>
      <c r="N59" s="51">
        <f>'Tesla Financials'!E58</f>
        <v>30189000</v>
      </c>
      <c r="O59" s="51">
        <f>'Tesla Financials'!F58</f>
        <v>44704000</v>
      </c>
      <c r="P59" s="38"/>
      <c r="Q59" s="206"/>
    </row>
    <row r="60" spans="2:17" x14ac:dyDescent="0.3">
      <c r="B60" s="205" t="s">
        <v>142</v>
      </c>
      <c r="C60" s="38"/>
      <c r="D60" s="38"/>
      <c r="E60" s="38"/>
      <c r="F60" s="38"/>
      <c r="G60" s="38"/>
      <c r="H60" s="38"/>
      <c r="I60" s="38"/>
      <c r="J60" s="38"/>
      <c r="K60" s="38"/>
      <c r="L60" s="67">
        <f>L56/L57</f>
        <v>-3.5072015623728539E-2</v>
      </c>
      <c r="M60" s="67">
        <f t="shared" ref="M60:O60" si="7">M56/M57</f>
        <v>2.2862760020294266E-2</v>
      </c>
      <c r="N60" s="67">
        <f t="shared" si="7"/>
        <v>0.10253980640246735</v>
      </c>
      <c r="O60" s="67">
        <f t="shared" si="7"/>
        <v>0.15413321548697553</v>
      </c>
      <c r="P60" s="38"/>
      <c r="Q60" s="206"/>
    </row>
    <row r="61" spans="2:17" x14ac:dyDescent="0.3">
      <c r="B61" s="205" t="s">
        <v>143</v>
      </c>
      <c r="C61" s="38"/>
      <c r="D61" s="38"/>
      <c r="E61" s="38"/>
      <c r="F61" s="38"/>
      <c r="G61" s="38"/>
      <c r="H61" s="38"/>
      <c r="I61" s="38"/>
      <c r="J61" s="38"/>
      <c r="K61" s="38"/>
      <c r="L61" s="39">
        <f>L57/L58</f>
        <v>0.71637179748753976</v>
      </c>
      <c r="M61" s="39">
        <f t="shared" ref="M61:O61" si="8">M57/M58</f>
        <v>0.60474035437600671</v>
      </c>
      <c r="N61" s="39">
        <f t="shared" si="8"/>
        <v>0.86628253206933736</v>
      </c>
      <c r="O61" s="39">
        <f t="shared" si="8"/>
        <v>0.98936092691102528</v>
      </c>
      <c r="P61" s="38"/>
      <c r="Q61" s="206"/>
    </row>
    <row r="62" spans="2:17" x14ac:dyDescent="0.3">
      <c r="B62" s="205" t="s">
        <v>144</v>
      </c>
      <c r="C62" s="38"/>
      <c r="D62" s="38"/>
      <c r="E62" s="38"/>
      <c r="F62" s="38"/>
      <c r="G62" s="38"/>
      <c r="H62" s="38"/>
      <c r="I62" s="38"/>
      <c r="J62" s="38"/>
      <c r="K62" s="38"/>
      <c r="L62" s="39">
        <f>L58/L59</f>
        <v>5.184194620731339</v>
      </c>
      <c r="M62" s="39">
        <f t="shared" ref="M62:O62" si="9">M58/M59</f>
        <v>2.3463667041619796</v>
      </c>
      <c r="N62" s="39">
        <f t="shared" si="9"/>
        <v>2.0580675080327273</v>
      </c>
      <c r="O62" s="39">
        <f t="shared" si="9"/>
        <v>1.8418486041517537</v>
      </c>
      <c r="P62" s="38"/>
      <c r="Q62" s="206"/>
    </row>
    <row r="63" spans="2:17" x14ac:dyDescent="0.3">
      <c r="B63" s="207" t="s">
        <v>145</v>
      </c>
      <c r="C63" s="208"/>
      <c r="D63" s="208"/>
      <c r="E63" s="208"/>
      <c r="F63" s="208"/>
      <c r="G63" s="208"/>
      <c r="H63" s="208"/>
      <c r="I63" s="208"/>
      <c r="J63" s="208"/>
      <c r="K63" s="208"/>
      <c r="L63" s="209">
        <f>L60*L61*L62</f>
        <v>-0.13025083106678756</v>
      </c>
      <c r="M63" s="209">
        <f t="shared" ref="M63:O63" si="10">M60*M61*M62</f>
        <v>3.2440944881889755E-2</v>
      </c>
      <c r="N63" s="209">
        <f t="shared" si="10"/>
        <v>0.18281493259134121</v>
      </c>
      <c r="O63" s="209">
        <f t="shared" si="10"/>
        <v>0.28086972083035072</v>
      </c>
      <c r="P63" s="208"/>
      <c r="Q63" s="210"/>
    </row>
    <row r="64" spans="2:17" x14ac:dyDescent="0.3">
      <c r="B64" s="205"/>
      <c r="C64" s="38"/>
      <c r="D64" s="38"/>
      <c r="E64" s="38"/>
      <c r="F64" s="38"/>
      <c r="G64" s="38"/>
      <c r="H64" s="38"/>
      <c r="I64" s="38"/>
      <c r="J64" s="38"/>
      <c r="K64" s="38"/>
      <c r="L64" s="38"/>
      <c r="M64" s="38"/>
      <c r="N64" s="38"/>
      <c r="O64" s="38"/>
      <c r="P64" s="38"/>
      <c r="Q64" s="206"/>
    </row>
    <row r="65" spans="2:17" x14ac:dyDescent="0.3">
      <c r="B65" s="446" t="s">
        <v>254</v>
      </c>
      <c r="C65" s="447"/>
      <c r="D65" s="447"/>
      <c r="E65" s="447"/>
      <c r="F65" s="447"/>
      <c r="G65" s="447"/>
      <c r="H65" s="447"/>
      <c r="I65" s="447"/>
      <c r="J65" s="447"/>
      <c r="K65" s="447"/>
      <c r="L65" s="447"/>
      <c r="M65" s="447"/>
      <c r="N65" s="447"/>
      <c r="O65" s="447"/>
      <c r="P65" s="447"/>
      <c r="Q65" s="448"/>
    </row>
    <row r="66" spans="2:17" x14ac:dyDescent="0.3">
      <c r="B66" s="205"/>
      <c r="C66" s="38"/>
      <c r="D66" s="38"/>
      <c r="E66" s="38"/>
      <c r="F66" s="38"/>
      <c r="G66" s="38"/>
      <c r="H66" s="38"/>
      <c r="I66" s="38"/>
      <c r="J66" s="38"/>
      <c r="K66" s="38"/>
      <c r="L66" s="49">
        <f>L55</f>
        <v>43800</v>
      </c>
      <c r="M66" s="49">
        <f t="shared" ref="M66:O66" si="11">M55</f>
        <v>44166</v>
      </c>
      <c r="N66" s="49">
        <f t="shared" si="11"/>
        <v>44532</v>
      </c>
      <c r="O66" s="49">
        <f t="shared" si="11"/>
        <v>44898</v>
      </c>
      <c r="P66" s="38"/>
      <c r="Q66" s="206"/>
    </row>
    <row r="67" spans="2:17" x14ac:dyDescent="0.3">
      <c r="B67" s="205" t="s">
        <v>23</v>
      </c>
      <c r="C67" s="38"/>
      <c r="D67" s="38"/>
      <c r="E67" s="38"/>
      <c r="F67" s="38"/>
      <c r="G67" s="38"/>
      <c r="H67" s="38"/>
      <c r="I67" s="38"/>
      <c r="J67" s="38"/>
      <c r="K67" s="38"/>
      <c r="L67" s="51">
        <f>L56</f>
        <v>-862000</v>
      </c>
      <c r="M67" s="51">
        <f t="shared" ref="M67:O67" si="12">M56</f>
        <v>721000</v>
      </c>
      <c r="N67" s="51">
        <f t="shared" si="12"/>
        <v>5519000</v>
      </c>
      <c r="O67" s="51">
        <f t="shared" si="12"/>
        <v>12556000</v>
      </c>
      <c r="P67" s="38"/>
      <c r="Q67" s="206"/>
    </row>
    <row r="68" spans="2:17" x14ac:dyDescent="0.3">
      <c r="B68" s="205" t="s">
        <v>139</v>
      </c>
      <c r="C68" s="38"/>
      <c r="D68" s="38"/>
      <c r="E68" s="38"/>
      <c r="F68" s="38"/>
      <c r="G68" s="38"/>
      <c r="H68" s="38"/>
      <c r="I68" s="38"/>
      <c r="J68" s="38"/>
      <c r="K68" s="38"/>
      <c r="L68" s="51">
        <f>L57</f>
        <v>24578000</v>
      </c>
      <c r="M68" s="51">
        <f t="shared" ref="M68:O68" si="13">M57</f>
        <v>31536000</v>
      </c>
      <c r="N68" s="51">
        <f t="shared" si="13"/>
        <v>53823000</v>
      </c>
      <c r="O68" s="51">
        <f t="shared" si="13"/>
        <v>81462000</v>
      </c>
      <c r="P68" s="38"/>
      <c r="Q68" s="206"/>
    </row>
    <row r="69" spans="2:17" x14ac:dyDescent="0.3">
      <c r="B69" s="205" t="s">
        <v>39</v>
      </c>
      <c r="C69" s="38"/>
      <c r="D69" s="38"/>
      <c r="E69" s="38"/>
      <c r="F69" s="38"/>
      <c r="G69" s="38"/>
      <c r="H69" s="38"/>
      <c r="I69" s="38"/>
      <c r="J69" s="38"/>
      <c r="K69" s="38"/>
      <c r="L69" s="51">
        <f>L58</f>
        <v>34309000</v>
      </c>
      <c r="M69" s="51">
        <f t="shared" ref="M69:O69" si="14">M58</f>
        <v>52148000</v>
      </c>
      <c r="N69" s="51">
        <f t="shared" si="14"/>
        <v>62131000</v>
      </c>
      <c r="O69" s="51">
        <f t="shared" si="14"/>
        <v>82338000</v>
      </c>
      <c r="P69" s="38"/>
      <c r="Q69" s="206"/>
    </row>
    <row r="70" spans="2:17" x14ac:dyDescent="0.3">
      <c r="B70" s="205" t="s">
        <v>142</v>
      </c>
      <c r="C70" s="38"/>
      <c r="D70" s="38"/>
      <c r="E70" s="38"/>
      <c r="F70" s="38"/>
      <c r="G70" s="38"/>
      <c r="H70" s="38"/>
      <c r="I70" s="38"/>
      <c r="J70" s="38"/>
      <c r="K70" s="38"/>
      <c r="L70" s="67">
        <f>L67/L68</f>
        <v>-3.5072015623728539E-2</v>
      </c>
      <c r="M70" s="67">
        <f t="shared" ref="M70:O70" si="15">M67/M68</f>
        <v>2.2862760020294266E-2</v>
      </c>
      <c r="N70" s="67">
        <f t="shared" si="15"/>
        <v>0.10253980640246735</v>
      </c>
      <c r="O70" s="67">
        <f t="shared" si="15"/>
        <v>0.15413321548697553</v>
      </c>
      <c r="P70" s="38"/>
      <c r="Q70" s="206"/>
    </row>
    <row r="71" spans="2:17" x14ac:dyDescent="0.3">
      <c r="B71" s="205" t="s">
        <v>143</v>
      </c>
      <c r="C71" s="38"/>
      <c r="D71" s="38"/>
      <c r="E71" s="38"/>
      <c r="F71" s="38"/>
      <c r="G71" s="38"/>
      <c r="H71" s="38"/>
      <c r="I71" s="38"/>
      <c r="J71" s="38"/>
      <c r="K71" s="38"/>
      <c r="L71" s="39">
        <f>L68/L69</f>
        <v>0.71637179748753976</v>
      </c>
      <c r="M71" s="39">
        <f t="shared" ref="M71:O71" si="16">M68/M69</f>
        <v>0.60474035437600671</v>
      </c>
      <c r="N71" s="39">
        <f t="shared" si="16"/>
        <v>0.86628253206933736</v>
      </c>
      <c r="O71" s="39">
        <f t="shared" si="16"/>
        <v>0.98936092691102528</v>
      </c>
      <c r="P71" s="38"/>
      <c r="Q71" s="206"/>
    </row>
    <row r="72" spans="2:17" ht="15" thickBot="1" x14ac:dyDescent="0.35">
      <c r="B72" s="211" t="s">
        <v>147</v>
      </c>
      <c r="C72" s="212"/>
      <c r="D72" s="212"/>
      <c r="E72" s="212"/>
      <c r="F72" s="212"/>
      <c r="G72" s="212"/>
      <c r="H72" s="212"/>
      <c r="I72" s="212"/>
      <c r="J72" s="212"/>
      <c r="K72" s="212"/>
      <c r="L72" s="213">
        <f>L70*L71</f>
        <v>-2.5124602873881491E-2</v>
      </c>
      <c r="M72" s="213">
        <f t="shared" ref="M72:O72" si="17">M70*M71</f>
        <v>1.3826033596686353E-2</v>
      </c>
      <c r="N72" s="213">
        <f t="shared" si="17"/>
        <v>8.8828443128229059E-2</v>
      </c>
      <c r="O72" s="213">
        <f t="shared" si="17"/>
        <v>0.1524933809419709</v>
      </c>
      <c r="P72" s="212"/>
      <c r="Q72" s="214"/>
    </row>
    <row r="74" spans="2:17" x14ac:dyDescent="0.3">
      <c r="B74" s="215" t="s">
        <v>194</v>
      </c>
      <c r="C74" s="160"/>
      <c r="D74" s="160"/>
      <c r="E74" s="160"/>
      <c r="F74" s="160"/>
      <c r="G74" s="160"/>
      <c r="H74" s="160"/>
      <c r="I74" s="160"/>
      <c r="J74" s="160"/>
      <c r="K74" s="160"/>
      <c r="L74" s="160"/>
      <c r="M74" s="160"/>
      <c r="N74" s="160"/>
      <c r="O74" s="160"/>
      <c r="P74" s="160"/>
      <c r="Q74" s="160"/>
    </row>
    <row r="75" spans="2:17" x14ac:dyDescent="0.3">
      <c r="B75" s="160" t="s">
        <v>256</v>
      </c>
      <c r="C75" s="160"/>
      <c r="D75" s="160"/>
      <c r="E75" s="160"/>
      <c r="F75" s="160"/>
      <c r="G75" s="160"/>
      <c r="H75" s="160"/>
      <c r="I75" s="160"/>
      <c r="J75" s="160"/>
      <c r="K75" s="160"/>
      <c r="L75" s="160"/>
      <c r="M75" s="160"/>
      <c r="N75" s="160"/>
      <c r="O75" s="160"/>
      <c r="P75" s="160"/>
      <c r="Q75" s="160"/>
    </row>
    <row r="76" spans="2:17" x14ac:dyDescent="0.3">
      <c r="B76" s="160" t="s">
        <v>257</v>
      </c>
      <c r="C76" s="160"/>
      <c r="D76" s="160"/>
      <c r="E76" s="160"/>
      <c r="F76" s="160"/>
      <c r="G76" s="160"/>
      <c r="H76" s="160"/>
      <c r="I76" s="160"/>
      <c r="J76" s="160"/>
      <c r="K76" s="160"/>
      <c r="L76" s="160"/>
      <c r="M76" s="160"/>
      <c r="N76" s="160"/>
      <c r="O76" s="160"/>
      <c r="P76" s="160"/>
      <c r="Q76" s="160"/>
    </row>
    <row r="77" spans="2:17" x14ac:dyDescent="0.3">
      <c r="B77" s="160" t="s">
        <v>258</v>
      </c>
      <c r="C77" s="160"/>
      <c r="D77" s="160"/>
      <c r="E77" s="160"/>
      <c r="F77" s="160"/>
      <c r="G77" s="160"/>
      <c r="H77" s="160"/>
      <c r="I77" s="160"/>
      <c r="J77" s="160"/>
      <c r="K77" s="160"/>
      <c r="L77" s="160"/>
      <c r="M77" s="160"/>
      <c r="N77" s="160"/>
      <c r="O77" s="160"/>
      <c r="P77" s="160"/>
      <c r="Q77" s="160"/>
    </row>
    <row r="78" spans="2:17" x14ac:dyDescent="0.3">
      <c r="B78" s="160" t="s">
        <v>259</v>
      </c>
      <c r="C78" s="160"/>
      <c r="D78" s="160"/>
      <c r="E78" s="160"/>
      <c r="F78" s="160"/>
      <c r="G78" s="160"/>
      <c r="H78" s="160"/>
      <c r="I78" s="160"/>
      <c r="J78" s="160"/>
      <c r="K78" s="160"/>
      <c r="L78" s="160"/>
      <c r="M78" s="160"/>
      <c r="N78" s="160"/>
      <c r="O78" s="160"/>
      <c r="P78" s="160"/>
      <c r="Q78" s="160"/>
    </row>
    <row r="80" spans="2:17" x14ac:dyDescent="0.3">
      <c r="B80" s="443" t="s">
        <v>209</v>
      </c>
      <c r="C80" s="444"/>
      <c r="D80" s="444"/>
      <c r="E80" s="444"/>
      <c r="F80" s="444"/>
      <c r="G80" s="444"/>
      <c r="H80" s="444"/>
      <c r="I80" s="444"/>
      <c r="J80" s="444"/>
      <c r="K80" s="444"/>
      <c r="L80" s="444"/>
      <c r="M80" s="444"/>
      <c r="N80" s="444"/>
      <c r="O80" s="444"/>
      <c r="P80" s="444"/>
      <c r="Q80" s="445"/>
    </row>
    <row r="81" spans="2:17" x14ac:dyDescent="0.3">
      <c r="B81" s="195"/>
      <c r="C81" s="166"/>
      <c r="D81" s="166"/>
      <c r="E81" s="166"/>
      <c r="F81" s="166"/>
      <c r="G81" s="166"/>
      <c r="H81" s="166"/>
      <c r="I81" s="166"/>
      <c r="J81" s="166"/>
      <c r="K81" s="166"/>
      <c r="L81" s="166"/>
      <c r="M81" s="166"/>
      <c r="N81" s="166"/>
      <c r="O81" s="166"/>
      <c r="P81" s="166"/>
      <c r="Q81" s="196"/>
    </row>
    <row r="82" spans="2:17" x14ac:dyDescent="0.3">
      <c r="B82" s="440" t="s">
        <v>151</v>
      </c>
      <c r="C82" s="441"/>
      <c r="D82" s="441"/>
      <c r="E82" s="441"/>
      <c r="F82" s="441"/>
      <c r="G82" s="441"/>
      <c r="H82" s="441"/>
      <c r="I82" s="441"/>
      <c r="J82" s="441"/>
      <c r="K82" s="441"/>
      <c r="L82" s="441"/>
      <c r="M82" s="441"/>
      <c r="N82" s="441"/>
      <c r="O82" s="441"/>
      <c r="P82" s="441"/>
      <c r="Q82" s="442"/>
    </row>
    <row r="83" spans="2:17" x14ac:dyDescent="0.3">
      <c r="B83" s="195"/>
      <c r="C83" s="166"/>
      <c r="D83" s="166"/>
      <c r="E83" s="166"/>
      <c r="F83" s="166"/>
      <c r="G83" s="166"/>
      <c r="H83" s="166"/>
      <c r="I83" s="166"/>
      <c r="J83" s="166"/>
      <c r="K83" s="166"/>
      <c r="L83" s="49">
        <f>L66</f>
        <v>43800</v>
      </c>
      <c r="M83" s="49">
        <f t="shared" ref="M83:O83" si="18">M66</f>
        <v>44166</v>
      </c>
      <c r="N83" s="49">
        <f t="shared" si="18"/>
        <v>44532</v>
      </c>
      <c r="O83" s="49">
        <f t="shared" si="18"/>
        <v>44898</v>
      </c>
      <c r="P83" s="166"/>
      <c r="Q83" s="196"/>
    </row>
    <row r="84" spans="2:17" x14ac:dyDescent="0.3">
      <c r="B84" s="195" t="s">
        <v>152</v>
      </c>
      <c r="C84" s="166"/>
      <c r="D84" s="166"/>
      <c r="E84" s="166"/>
      <c r="F84" s="166"/>
      <c r="G84" s="166"/>
      <c r="H84" s="166"/>
      <c r="I84" s="166"/>
      <c r="J84" s="166"/>
      <c r="K84" s="166"/>
      <c r="L84" s="51">
        <f>'Tesla Financials'!C32-'Tesla Financials'!C45</f>
        <v>1436000</v>
      </c>
      <c r="M84" s="51">
        <f>'Tesla Financials'!D32-'Tesla Financials'!D45</f>
        <v>12469000</v>
      </c>
      <c r="N84" s="51">
        <f>'Tesla Financials'!E32-'Tesla Financials'!E45</f>
        <v>7395000</v>
      </c>
      <c r="O84" s="51">
        <f>'Tesla Financials'!F32-'Tesla Financials'!F45</f>
        <v>14208000</v>
      </c>
      <c r="P84" s="166"/>
      <c r="Q84" s="196"/>
    </row>
    <row r="85" spans="2:17" x14ac:dyDescent="0.3">
      <c r="B85" s="195" t="s">
        <v>39</v>
      </c>
      <c r="C85" s="166"/>
      <c r="D85" s="166"/>
      <c r="E85" s="166"/>
      <c r="F85" s="166"/>
      <c r="G85" s="166"/>
      <c r="H85" s="166"/>
      <c r="I85" s="166"/>
      <c r="J85" s="166"/>
      <c r="K85" s="166"/>
      <c r="L85" s="51">
        <f>L69</f>
        <v>34309000</v>
      </c>
      <c r="M85" s="51">
        <f t="shared" ref="M85:O85" si="19">M69</f>
        <v>52148000</v>
      </c>
      <c r="N85" s="51">
        <f t="shared" si="19"/>
        <v>62131000</v>
      </c>
      <c r="O85" s="51">
        <f t="shared" si="19"/>
        <v>82338000</v>
      </c>
      <c r="P85" s="166"/>
      <c r="Q85" s="196"/>
    </row>
    <row r="86" spans="2:17" x14ac:dyDescent="0.3">
      <c r="B86" s="199" t="s">
        <v>161</v>
      </c>
      <c r="C86" s="200"/>
      <c r="D86" s="200"/>
      <c r="E86" s="200"/>
      <c r="F86" s="200"/>
      <c r="G86" s="200"/>
      <c r="H86" s="200"/>
      <c r="I86" s="200"/>
      <c r="J86" s="200"/>
      <c r="K86" s="200"/>
      <c r="L86" s="216">
        <f>L84/L85</f>
        <v>4.1854906875746889E-2</v>
      </c>
      <c r="M86" s="216">
        <f t="shared" ref="M86:O86" si="20">M84/M85</f>
        <v>0.23910792360205568</v>
      </c>
      <c r="N86" s="216">
        <f t="shared" si="20"/>
        <v>0.11902271008031418</v>
      </c>
      <c r="O86" s="216">
        <f t="shared" si="20"/>
        <v>0.17255702105953508</v>
      </c>
      <c r="P86" s="200"/>
      <c r="Q86" s="201"/>
    </row>
    <row r="87" spans="2:17" x14ac:dyDescent="0.3">
      <c r="B87" s="195"/>
      <c r="C87" s="166"/>
      <c r="D87" s="166"/>
      <c r="E87" s="166"/>
      <c r="F87" s="166"/>
      <c r="G87" s="166"/>
      <c r="H87" s="166"/>
      <c r="I87" s="166"/>
      <c r="J87" s="166"/>
      <c r="K87" s="166"/>
      <c r="L87" s="166"/>
      <c r="M87" s="166"/>
      <c r="N87" s="166"/>
      <c r="O87" s="166"/>
      <c r="P87" s="166"/>
      <c r="Q87" s="196"/>
    </row>
    <row r="88" spans="2:17" x14ac:dyDescent="0.3">
      <c r="B88" s="440" t="s">
        <v>153</v>
      </c>
      <c r="C88" s="441"/>
      <c r="D88" s="441"/>
      <c r="E88" s="441"/>
      <c r="F88" s="441"/>
      <c r="G88" s="441"/>
      <c r="H88" s="441"/>
      <c r="I88" s="441"/>
      <c r="J88" s="441"/>
      <c r="K88" s="441"/>
      <c r="L88" s="441"/>
      <c r="M88" s="441"/>
      <c r="N88" s="441"/>
      <c r="O88" s="441"/>
      <c r="P88" s="441"/>
      <c r="Q88" s="442"/>
    </row>
    <row r="89" spans="2:17" x14ac:dyDescent="0.3">
      <c r="B89" s="195"/>
      <c r="C89" s="166"/>
      <c r="D89" s="166"/>
      <c r="E89" s="166"/>
      <c r="F89" s="166"/>
      <c r="G89" s="166"/>
      <c r="H89" s="166"/>
      <c r="I89" s="166"/>
      <c r="J89" s="166"/>
      <c r="K89" s="166"/>
      <c r="L89" s="49">
        <f>L83</f>
        <v>43800</v>
      </c>
      <c r="M89" s="49">
        <f t="shared" ref="M89:O89" si="21">M83</f>
        <v>44166</v>
      </c>
      <c r="N89" s="49">
        <f t="shared" si="21"/>
        <v>44532</v>
      </c>
      <c r="O89" s="49">
        <f t="shared" si="21"/>
        <v>44898</v>
      </c>
      <c r="P89" s="166"/>
      <c r="Q89" s="196"/>
    </row>
    <row r="90" spans="2:17" x14ac:dyDescent="0.3">
      <c r="B90" s="195" t="s">
        <v>186</v>
      </c>
      <c r="C90" s="166"/>
      <c r="D90" s="166"/>
      <c r="E90" s="166"/>
      <c r="F90" s="166"/>
      <c r="G90" s="166"/>
      <c r="H90" s="166"/>
      <c r="I90" s="166"/>
      <c r="J90" s="166"/>
      <c r="K90" s="166"/>
      <c r="L90" s="51">
        <f>'Tesla Financials'!C14</f>
        <v>20000</v>
      </c>
      <c r="M90" s="51">
        <f>'Tesla Financials'!D14</f>
        <v>1902000</v>
      </c>
      <c r="N90" s="51">
        <f>'Tesla Financials'!E14</f>
        <v>6714000</v>
      </c>
      <c r="O90" s="51">
        <f>'Tesla Financials'!F14</f>
        <v>13910000</v>
      </c>
      <c r="P90" s="166"/>
      <c r="Q90" s="196"/>
    </row>
    <row r="91" spans="2:17" x14ac:dyDescent="0.3">
      <c r="B91" s="195" t="s">
        <v>39</v>
      </c>
      <c r="C91" s="166"/>
      <c r="D91" s="166"/>
      <c r="E91" s="166"/>
      <c r="F91" s="166"/>
      <c r="G91" s="166"/>
      <c r="H91" s="166"/>
      <c r="I91" s="166"/>
      <c r="J91" s="166"/>
      <c r="K91" s="166"/>
      <c r="L91" s="51">
        <f>L85</f>
        <v>34309000</v>
      </c>
      <c r="M91" s="51">
        <f t="shared" ref="M91:O91" si="22">M85</f>
        <v>52148000</v>
      </c>
      <c r="N91" s="51">
        <f t="shared" si="22"/>
        <v>62131000</v>
      </c>
      <c r="O91" s="51">
        <f t="shared" si="22"/>
        <v>82338000</v>
      </c>
      <c r="P91" s="166"/>
      <c r="Q91" s="196"/>
    </row>
    <row r="92" spans="2:17" x14ac:dyDescent="0.3">
      <c r="B92" s="199" t="s">
        <v>237</v>
      </c>
      <c r="C92" s="200"/>
      <c r="D92" s="200"/>
      <c r="E92" s="200"/>
      <c r="F92" s="200"/>
      <c r="G92" s="200"/>
      <c r="H92" s="200"/>
      <c r="I92" s="200"/>
      <c r="J92" s="200"/>
      <c r="K92" s="200"/>
      <c r="L92" s="216">
        <f>L90/L91</f>
        <v>5.8293742166778397E-4</v>
      </c>
      <c r="M92" s="216">
        <f t="shared" ref="M92:O92" si="23">M90/M91</f>
        <v>3.6473114980440285E-2</v>
      </c>
      <c r="N92" s="216">
        <f t="shared" si="23"/>
        <v>0.10806199803640695</v>
      </c>
      <c r="O92" s="216">
        <f t="shared" si="23"/>
        <v>0.16893779299958706</v>
      </c>
      <c r="P92" s="200"/>
      <c r="Q92" s="201"/>
    </row>
    <row r="93" spans="2:17" x14ac:dyDescent="0.3">
      <c r="B93" s="195"/>
      <c r="C93" s="166"/>
      <c r="D93" s="166"/>
      <c r="E93" s="166"/>
      <c r="F93" s="166"/>
      <c r="G93" s="166"/>
      <c r="H93" s="166"/>
      <c r="I93" s="166"/>
      <c r="J93" s="166"/>
      <c r="K93" s="166"/>
      <c r="L93" s="166"/>
      <c r="M93" s="166"/>
      <c r="N93" s="166"/>
      <c r="O93" s="166"/>
      <c r="P93" s="166"/>
      <c r="Q93" s="196"/>
    </row>
    <row r="94" spans="2:17" x14ac:dyDescent="0.3">
      <c r="B94" s="440" t="s">
        <v>154</v>
      </c>
      <c r="C94" s="441"/>
      <c r="D94" s="441"/>
      <c r="E94" s="441"/>
      <c r="F94" s="441"/>
      <c r="G94" s="441"/>
      <c r="H94" s="441"/>
      <c r="I94" s="441"/>
      <c r="J94" s="441"/>
      <c r="K94" s="441"/>
      <c r="L94" s="441"/>
      <c r="M94" s="441"/>
      <c r="N94" s="441"/>
      <c r="O94" s="441"/>
      <c r="P94" s="441"/>
      <c r="Q94" s="442"/>
    </row>
    <row r="95" spans="2:17" x14ac:dyDescent="0.3">
      <c r="B95" s="195"/>
      <c r="C95" s="166"/>
      <c r="D95" s="166"/>
      <c r="E95" s="166"/>
      <c r="F95" s="166"/>
      <c r="G95" s="166"/>
      <c r="H95" s="166"/>
      <c r="I95" s="166"/>
      <c r="J95" s="166"/>
      <c r="K95" s="166"/>
      <c r="L95" s="49">
        <f>L89</f>
        <v>43800</v>
      </c>
      <c r="M95" s="49">
        <f t="shared" ref="M95:O95" si="24">M89</f>
        <v>44166</v>
      </c>
      <c r="N95" s="49">
        <f t="shared" si="24"/>
        <v>44532</v>
      </c>
      <c r="O95" s="49">
        <f t="shared" si="24"/>
        <v>44898</v>
      </c>
      <c r="P95" s="166"/>
      <c r="Q95" s="196"/>
    </row>
    <row r="96" spans="2:17" x14ac:dyDescent="0.3">
      <c r="B96" s="195" t="s">
        <v>255</v>
      </c>
      <c r="C96" s="166"/>
      <c r="D96" s="166"/>
      <c r="E96" s="166"/>
      <c r="F96" s="166"/>
      <c r="G96" s="166"/>
      <c r="H96" s="166"/>
      <c r="I96" s="166"/>
      <c r="J96" s="166"/>
      <c r="K96" s="166"/>
      <c r="L96" s="51">
        <f>'Tesla Financials'!C55</f>
        <v>0</v>
      </c>
      <c r="M96" s="51">
        <f>'Tesla Financials'!D55</f>
        <v>0</v>
      </c>
      <c r="N96" s="51">
        <f>'Tesla Financials'!E55</f>
        <v>0</v>
      </c>
      <c r="O96" s="51">
        <f>'Tesla Financials'!F55</f>
        <v>0</v>
      </c>
      <c r="P96" s="166"/>
      <c r="Q96" s="196"/>
    </row>
    <row r="97" spans="2:17" x14ac:dyDescent="0.3">
      <c r="B97" s="195" t="s">
        <v>39</v>
      </c>
      <c r="C97" s="166"/>
      <c r="D97" s="166"/>
      <c r="E97" s="166"/>
      <c r="F97" s="166"/>
      <c r="G97" s="166"/>
      <c r="H97" s="166"/>
      <c r="I97" s="166"/>
      <c r="J97" s="166"/>
      <c r="K97" s="166"/>
      <c r="L97" s="51">
        <f>L91</f>
        <v>34309000</v>
      </c>
      <c r="M97" s="51">
        <f t="shared" ref="M97:O97" si="25">M91</f>
        <v>52148000</v>
      </c>
      <c r="N97" s="51">
        <f t="shared" si="25"/>
        <v>62131000</v>
      </c>
      <c r="O97" s="51">
        <f t="shared" si="25"/>
        <v>82338000</v>
      </c>
      <c r="P97" s="166"/>
      <c r="Q97" s="196"/>
    </row>
    <row r="98" spans="2:17" x14ac:dyDescent="0.3">
      <c r="B98" s="199" t="s">
        <v>238</v>
      </c>
      <c r="C98" s="200"/>
      <c r="D98" s="200"/>
      <c r="E98" s="200"/>
      <c r="F98" s="200"/>
      <c r="G98" s="200"/>
      <c r="H98" s="200"/>
      <c r="I98" s="200"/>
      <c r="J98" s="200"/>
      <c r="K98" s="200"/>
      <c r="L98" s="216">
        <f>L96/L97</f>
        <v>0</v>
      </c>
      <c r="M98" s="216">
        <f t="shared" ref="M98:O98" si="26">M96/M97</f>
        <v>0</v>
      </c>
      <c r="N98" s="216">
        <f t="shared" si="26"/>
        <v>0</v>
      </c>
      <c r="O98" s="216">
        <f t="shared" si="26"/>
        <v>0</v>
      </c>
      <c r="P98" s="200"/>
      <c r="Q98" s="201"/>
    </row>
    <row r="99" spans="2:17" x14ac:dyDescent="0.3">
      <c r="B99" s="195"/>
      <c r="C99" s="166"/>
      <c r="D99" s="166"/>
      <c r="E99" s="166"/>
      <c r="F99" s="166"/>
      <c r="G99" s="166"/>
      <c r="H99" s="166"/>
      <c r="I99" s="166"/>
      <c r="J99" s="166"/>
      <c r="K99" s="166"/>
      <c r="L99" s="166"/>
      <c r="M99" s="166"/>
      <c r="N99" s="166"/>
      <c r="O99" s="166"/>
      <c r="P99" s="166"/>
      <c r="Q99" s="196"/>
    </row>
    <row r="100" spans="2:17" x14ac:dyDescent="0.3">
      <c r="B100" s="440" t="s">
        <v>156</v>
      </c>
      <c r="C100" s="441"/>
      <c r="D100" s="441"/>
      <c r="E100" s="441"/>
      <c r="F100" s="441"/>
      <c r="G100" s="441"/>
      <c r="H100" s="441"/>
      <c r="I100" s="441"/>
      <c r="J100" s="441"/>
      <c r="K100" s="441"/>
      <c r="L100" s="441"/>
      <c r="M100" s="441"/>
      <c r="N100" s="441"/>
      <c r="O100" s="441"/>
      <c r="P100" s="441"/>
      <c r="Q100" s="442"/>
    </row>
    <row r="101" spans="2:17" x14ac:dyDescent="0.3">
      <c r="B101" s="195"/>
      <c r="C101" s="166"/>
      <c r="D101" s="166"/>
      <c r="E101" s="166"/>
      <c r="F101" s="166"/>
      <c r="G101" s="166"/>
      <c r="H101" s="166"/>
      <c r="I101" s="166"/>
      <c r="J101" s="166"/>
      <c r="K101" s="166"/>
      <c r="L101" s="49">
        <f>L95</f>
        <v>43800</v>
      </c>
      <c r="M101" s="49">
        <f t="shared" ref="M101:O101" si="27">M95</f>
        <v>44166</v>
      </c>
      <c r="N101" s="49">
        <f t="shared" si="27"/>
        <v>44532</v>
      </c>
      <c r="O101" s="49">
        <f t="shared" si="27"/>
        <v>44898</v>
      </c>
      <c r="P101" s="166"/>
      <c r="Q101" s="196"/>
    </row>
    <row r="102" spans="2:17" x14ac:dyDescent="0.3">
      <c r="B102" s="195" t="s">
        <v>213</v>
      </c>
      <c r="C102" s="166"/>
      <c r="D102" s="166"/>
      <c r="E102" s="166"/>
      <c r="F102" s="166"/>
      <c r="G102" s="166"/>
      <c r="H102" s="166"/>
      <c r="I102" s="166"/>
      <c r="J102" s="166"/>
      <c r="K102" s="166"/>
      <c r="L102" s="51">
        <f>'Tesla Financials'!C4</f>
        <v>24578000</v>
      </c>
      <c r="M102" s="51">
        <f>'Tesla Financials'!D4</f>
        <v>31536000</v>
      </c>
      <c r="N102" s="51">
        <f>'Tesla Financials'!E4</f>
        <v>53823000</v>
      </c>
      <c r="O102" s="51">
        <f>'Tesla Financials'!F4</f>
        <v>81462000</v>
      </c>
      <c r="P102" s="166"/>
      <c r="Q102" s="196"/>
    </row>
    <row r="103" spans="2:17" x14ac:dyDescent="0.3">
      <c r="B103" s="195" t="s">
        <v>39</v>
      </c>
      <c r="C103" s="166"/>
      <c r="D103" s="166"/>
      <c r="E103" s="166"/>
      <c r="F103" s="166"/>
      <c r="G103" s="166"/>
      <c r="H103" s="166"/>
      <c r="I103" s="166"/>
      <c r="J103" s="166"/>
      <c r="K103" s="166"/>
      <c r="L103" s="51">
        <f>L97</f>
        <v>34309000</v>
      </c>
      <c r="M103" s="51">
        <f t="shared" ref="M103:O103" si="28">M97</f>
        <v>52148000</v>
      </c>
      <c r="N103" s="51">
        <f t="shared" si="28"/>
        <v>62131000</v>
      </c>
      <c r="O103" s="51">
        <f t="shared" si="28"/>
        <v>82338000</v>
      </c>
      <c r="P103" s="166"/>
      <c r="Q103" s="196"/>
    </row>
    <row r="104" spans="2:17" x14ac:dyDescent="0.3">
      <c r="B104" s="199" t="s">
        <v>239</v>
      </c>
      <c r="C104" s="200"/>
      <c r="D104" s="200"/>
      <c r="E104" s="200"/>
      <c r="F104" s="200"/>
      <c r="G104" s="200"/>
      <c r="H104" s="200"/>
      <c r="I104" s="200"/>
      <c r="J104" s="200"/>
      <c r="K104" s="200"/>
      <c r="L104" s="216">
        <f>L102/L103</f>
        <v>0.71637179748753976</v>
      </c>
      <c r="M104" s="216">
        <f t="shared" ref="M104:O104" si="29">M102/M103</f>
        <v>0.60474035437600671</v>
      </c>
      <c r="N104" s="216">
        <f t="shared" si="29"/>
        <v>0.86628253206933736</v>
      </c>
      <c r="O104" s="216">
        <f t="shared" si="29"/>
        <v>0.98936092691102528</v>
      </c>
      <c r="P104" s="200"/>
      <c r="Q104" s="201"/>
    </row>
    <row r="105" spans="2:17" x14ac:dyDescent="0.3">
      <c r="B105" s="195"/>
      <c r="C105" s="166"/>
      <c r="D105" s="166"/>
      <c r="E105" s="166"/>
      <c r="F105" s="166"/>
      <c r="G105" s="166"/>
      <c r="H105" s="166"/>
      <c r="I105" s="166"/>
      <c r="J105" s="166"/>
      <c r="K105" s="166"/>
      <c r="L105" s="166"/>
      <c r="M105" s="166"/>
      <c r="N105" s="166"/>
      <c r="O105" s="166"/>
      <c r="P105" s="166"/>
      <c r="Q105" s="196"/>
    </row>
    <row r="106" spans="2:17" x14ac:dyDescent="0.3">
      <c r="B106" s="440" t="s">
        <v>224</v>
      </c>
      <c r="C106" s="441"/>
      <c r="D106" s="441"/>
      <c r="E106" s="441"/>
      <c r="F106" s="441"/>
      <c r="G106" s="441"/>
      <c r="H106" s="441"/>
      <c r="I106" s="441"/>
      <c r="J106" s="441"/>
      <c r="K106" s="441"/>
      <c r="L106" s="441"/>
      <c r="M106" s="441"/>
      <c r="N106" s="441"/>
      <c r="O106" s="441"/>
      <c r="P106" s="441"/>
      <c r="Q106" s="442"/>
    </row>
    <row r="107" spans="2:17" x14ac:dyDescent="0.3">
      <c r="B107" s="195"/>
      <c r="C107" s="166"/>
      <c r="D107" s="166"/>
      <c r="E107" s="166"/>
      <c r="F107" s="166"/>
      <c r="G107" s="166"/>
      <c r="H107" s="166"/>
      <c r="I107" s="166"/>
      <c r="J107" s="166"/>
      <c r="K107" s="166"/>
      <c r="L107" s="49">
        <f>L101</f>
        <v>43800</v>
      </c>
      <c r="M107" s="49">
        <f t="shared" ref="M107:O107" si="30">M101</f>
        <v>44166</v>
      </c>
      <c r="N107" s="49">
        <f t="shared" si="30"/>
        <v>44532</v>
      </c>
      <c r="O107" s="49">
        <f t="shared" si="30"/>
        <v>44898</v>
      </c>
      <c r="P107" s="166"/>
      <c r="Q107" s="196"/>
    </row>
    <row r="108" spans="2:17" x14ac:dyDescent="0.3">
      <c r="B108" s="195" t="s">
        <v>160</v>
      </c>
      <c r="C108" s="166"/>
      <c r="D108" s="166"/>
      <c r="E108" s="166"/>
      <c r="F108" s="166"/>
      <c r="G108" s="166"/>
      <c r="H108" s="166"/>
      <c r="I108" s="166"/>
      <c r="J108" s="166"/>
      <c r="K108" s="166"/>
      <c r="L108" s="51">
        <f>'Tesla Financials'!C23</f>
        <v>75710000</v>
      </c>
      <c r="M108" s="51">
        <f>'Tesla Financials'!D23</f>
        <v>668900000</v>
      </c>
      <c r="N108" s="51">
        <f>'Tesla Financials'!E23</f>
        <v>1061000000</v>
      </c>
      <c r="O108" s="51">
        <f>'Tesla Financials'!F23</f>
        <v>388970000</v>
      </c>
      <c r="P108" s="166"/>
      <c r="Q108" s="196"/>
    </row>
    <row r="109" spans="2:17" x14ac:dyDescent="0.3">
      <c r="B109" s="195" t="s">
        <v>159</v>
      </c>
      <c r="C109" s="166"/>
      <c r="D109" s="166"/>
      <c r="E109" s="166"/>
      <c r="F109" s="166"/>
      <c r="G109" s="166"/>
      <c r="H109" s="166"/>
      <c r="I109" s="166"/>
      <c r="J109" s="166"/>
      <c r="K109" s="166"/>
      <c r="L109" s="51">
        <f>'Tesla Financials'!C46</f>
        <v>11634000</v>
      </c>
      <c r="M109" s="51">
        <f>'Tesla Financials'!D46</f>
        <v>9556000</v>
      </c>
      <c r="N109" s="51">
        <f>'Tesla Financials'!E46</f>
        <v>5245000</v>
      </c>
      <c r="O109" s="51">
        <f>'Tesla Financials'!F46</f>
        <v>1597000</v>
      </c>
      <c r="P109" s="166"/>
      <c r="Q109" s="196"/>
    </row>
    <row r="110" spans="2:17" ht="15" thickBot="1" x14ac:dyDescent="0.35">
      <c r="B110" s="202" t="s">
        <v>240</v>
      </c>
      <c r="C110" s="203"/>
      <c r="D110" s="203"/>
      <c r="E110" s="203"/>
      <c r="F110" s="203"/>
      <c r="G110" s="203"/>
      <c r="H110" s="203"/>
      <c r="I110" s="203"/>
      <c r="J110" s="203"/>
      <c r="K110" s="203"/>
      <c r="L110" s="216">
        <f>L108/L109</f>
        <v>6.5076499914045041</v>
      </c>
      <c r="M110" s="216">
        <f t="shared" ref="M110:O110" si="31">M108/M109</f>
        <v>69.997907074089582</v>
      </c>
      <c r="N110" s="216">
        <f t="shared" si="31"/>
        <v>202.28789323164918</v>
      </c>
      <c r="O110" s="216">
        <f t="shared" si="31"/>
        <v>243.56293049467752</v>
      </c>
      <c r="P110" s="203"/>
      <c r="Q110" s="204"/>
    </row>
    <row r="112" spans="2:17" x14ac:dyDescent="0.3">
      <c r="B112" s="443" t="s">
        <v>166</v>
      </c>
      <c r="C112" s="444"/>
      <c r="D112" s="444"/>
      <c r="E112" s="444"/>
      <c r="F112" s="444"/>
      <c r="G112" s="444"/>
      <c r="H112" s="444"/>
      <c r="I112" s="444"/>
      <c r="J112" s="444"/>
      <c r="K112" s="444"/>
      <c r="L112" s="444"/>
      <c r="M112" s="444"/>
      <c r="N112" s="444"/>
      <c r="O112" s="444"/>
      <c r="P112" s="444"/>
      <c r="Q112" s="445"/>
    </row>
    <row r="113" spans="2:17" x14ac:dyDescent="0.3">
      <c r="B113" s="195"/>
      <c r="C113" s="166"/>
      <c r="D113" s="167" t="s">
        <v>169</v>
      </c>
      <c r="E113" s="167" t="s">
        <v>170</v>
      </c>
      <c r="F113" s="167" t="s">
        <v>171</v>
      </c>
      <c r="G113" s="167" t="s">
        <v>172</v>
      </c>
      <c r="H113" s="167" t="s">
        <v>173</v>
      </c>
      <c r="I113" s="166"/>
      <c r="J113" s="166"/>
      <c r="K113" s="166"/>
      <c r="L113" s="166"/>
      <c r="M113" s="166"/>
      <c r="N113" s="166"/>
      <c r="O113" s="168" t="s">
        <v>166</v>
      </c>
      <c r="P113" s="166"/>
      <c r="Q113" s="196"/>
    </row>
    <row r="114" spans="2:17" x14ac:dyDescent="0.3">
      <c r="B114" s="195" t="s">
        <v>226</v>
      </c>
      <c r="C114" s="166" t="s">
        <v>168</v>
      </c>
      <c r="D114" s="170">
        <v>1.2</v>
      </c>
      <c r="E114" s="170">
        <v>3.3</v>
      </c>
      <c r="F114" s="170">
        <v>1.4</v>
      </c>
      <c r="G114" s="170">
        <v>1</v>
      </c>
      <c r="H114" s="170">
        <v>0.6</v>
      </c>
      <c r="I114" s="166"/>
      <c r="J114" s="166"/>
      <c r="K114" s="166"/>
      <c r="L114" s="166"/>
      <c r="M114" s="166"/>
      <c r="N114" s="166"/>
      <c r="O114" s="166"/>
      <c r="P114" s="166"/>
      <c r="Q114" s="196"/>
    </row>
    <row r="115" spans="2:17" x14ac:dyDescent="0.3">
      <c r="B115" s="217">
        <f t="array" ref="B115:B118">TRANSPOSE(L107:O107)</f>
        <v>43800</v>
      </c>
      <c r="C115" s="166"/>
      <c r="D115" s="166">
        <f t="array" ref="D115:D118">TRANSPOSE(L86:O86)</f>
        <v>4.1854906875746889E-2</v>
      </c>
      <c r="E115" s="166">
        <f t="array" ref="E115:E118">TRANSPOSE(L92:O92)</f>
        <v>5.8293742166778397E-4</v>
      </c>
      <c r="F115" s="166">
        <f t="array" ref="F115:F118">TRANSPOSE(L98:O98)</f>
        <v>0</v>
      </c>
      <c r="G115" s="166">
        <f t="array" ref="G115:G118">TRANSPOSE(L104:O104)</f>
        <v>0.71637179748753976</v>
      </c>
      <c r="H115" s="166">
        <f t="array" ref="H115:H118">TRANSPOSE(L110:O110)</f>
        <v>6.5076499914045041</v>
      </c>
      <c r="I115" s="166"/>
      <c r="J115" s="166"/>
      <c r="K115" s="166"/>
      <c r="L115" s="166"/>
      <c r="M115" s="166"/>
      <c r="N115" s="166"/>
      <c r="O115" s="166">
        <f>SUMPRODUCT(D115:H115,$D$114:$H$114)</f>
        <v>4.6731113740726418</v>
      </c>
      <c r="P115" s="166"/>
      <c r="Q115" s="196" t="str">
        <f>IF(O115&gt;3.1,"Safe Zone",IF(O115&lt;3.1,"distressed Zone"))</f>
        <v>Safe Zone</v>
      </c>
    </row>
    <row r="116" spans="2:17" x14ac:dyDescent="0.3">
      <c r="B116" s="217">
        <v>44166</v>
      </c>
      <c r="C116" s="166"/>
      <c r="D116" s="166">
        <v>0.23910792360205568</v>
      </c>
      <c r="E116" s="166">
        <v>3.6473114980440285E-2</v>
      </c>
      <c r="F116" s="166">
        <v>0</v>
      </c>
      <c r="G116" s="166">
        <v>0.60474035437600671</v>
      </c>
      <c r="H116" s="166">
        <v>69.997907074089582</v>
      </c>
      <c r="I116" s="166"/>
      <c r="J116" s="166"/>
      <c r="K116" s="166"/>
      <c r="L116" s="166"/>
      <c r="M116" s="166"/>
      <c r="N116" s="166"/>
      <c r="O116" s="166">
        <f>SUMPRODUCT(D116:H116,$D$114:$H$114)</f>
        <v>43.010775386587675</v>
      </c>
      <c r="P116" s="166"/>
      <c r="Q116" s="196" t="str">
        <f t="shared" ref="Q116:Q118" si="32">IF(O116&gt;3.1,"Safe Zone",IF(O116&lt;3.1,"distressed Zone"))</f>
        <v>Safe Zone</v>
      </c>
    </row>
    <row r="117" spans="2:17" x14ac:dyDescent="0.3">
      <c r="B117" s="217">
        <v>44532</v>
      </c>
      <c r="C117" s="166"/>
      <c r="D117" s="166">
        <v>0.11902271008031418</v>
      </c>
      <c r="E117" s="166">
        <v>0.10806199803640695</v>
      </c>
      <c r="F117" s="166">
        <v>0</v>
      </c>
      <c r="G117" s="166">
        <v>0.86628253206933736</v>
      </c>
      <c r="H117" s="166">
        <v>202.28789323164918</v>
      </c>
      <c r="I117" s="166"/>
      <c r="J117" s="166"/>
      <c r="K117" s="166"/>
      <c r="L117" s="166"/>
      <c r="M117" s="166"/>
      <c r="N117" s="166"/>
      <c r="O117" s="166">
        <f>SUMPRODUCT(D117:H117,$D$114:$H$114)</f>
        <v>122.73845031667537</v>
      </c>
      <c r="P117" s="166"/>
      <c r="Q117" s="196" t="str">
        <f t="shared" si="32"/>
        <v>Safe Zone</v>
      </c>
    </row>
    <row r="118" spans="2:17" ht="15" thickBot="1" x14ac:dyDescent="0.35">
      <c r="B118" s="218">
        <v>44898</v>
      </c>
      <c r="C118" s="197"/>
      <c r="D118" s="197">
        <v>0.17255702105953508</v>
      </c>
      <c r="E118" s="197">
        <v>0.16893779299958706</v>
      </c>
      <c r="F118" s="197">
        <v>0</v>
      </c>
      <c r="G118" s="197">
        <v>0.98936092691102528</v>
      </c>
      <c r="H118" s="197">
        <v>243.56293049467752</v>
      </c>
      <c r="I118" s="197"/>
      <c r="J118" s="197"/>
      <c r="K118" s="197"/>
      <c r="L118" s="197"/>
      <c r="M118" s="197"/>
      <c r="N118" s="197"/>
      <c r="O118" s="197">
        <f>SUMPRODUCT(D118:H118,$D$114:$H$114)</f>
        <v>147.89168236588762</v>
      </c>
      <c r="P118" s="197"/>
      <c r="Q118" s="198" t="str">
        <f t="shared" si="32"/>
        <v>Safe Zone</v>
      </c>
    </row>
  </sheetData>
  <sheetProtection sheet="1" objects="1" scenarios="1"/>
  <customSheetViews>
    <customSheetView guid="{157A7F57-E932-4D71-AAC5-1BA0DA6A9C96}" showGridLines="0">
      <selection activeCell="L20" sqref="L20"/>
      <pageMargins left="0.7" right="0.7" top="0.75" bottom="0.75" header="0.3" footer="0.3"/>
      <pageSetup paperSize="9" orientation="portrait" r:id="rId1"/>
    </customSheetView>
  </customSheetViews>
  <mergeCells count="16">
    <mergeCell ref="B38:Q38"/>
    <mergeCell ref="B8:O12"/>
    <mergeCell ref="B14:Q14"/>
    <mergeCell ref="B16:Q16"/>
    <mergeCell ref="B22:Q22"/>
    <mergeCell ref="B31:Q31"/>
    <mergeCell ref="B94:Q94"/>
    <mergeCell ref="B100:Q100"/>
    <mergeCell ref="B106:Q106"/>
    <mergeCell ref="B112:Q112"/>
    <mergeCell ref="B47:Q47"/>
    <mergeCell ref="B54:Q54"/>
    <mergeCell ref="B65:Q65"/>
    <mergeCell ref="B80:Q80"/>
    <mergeCell ref="B82:Q82"/>
    <mergeCell ref="B88:Q88"/>
  </mergeCells>
  <conditionalFormatting sqref="O115:O118">
    <cfRule type="cellIs" dxfId="12" priority="1" operator="greaterThan">
      <formula>3.1</formula>
    </cfRule>
  </conditionalFormatting>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4"/>
  <sheetViews>
    <sheetView showGridLines="0" topLeftCell="A49" workbookViewId="0">
      <selection activeCell="H23" sqref="H23"/>
    </sheetView>
  </sheetViews>
  <sheetFormatPr defaultRowHeight="14.4" x14ac:dyDescent="0.3"/>
  <cols>
    <col min="1" max="1" width="1.88671875" customWidth="1"/>
    <col min="2" max="2" width="41.21875" bestFit="1" customWidth="1"/>
    <col min="4" max="7" width="10.5546875" bestFit="1" customWidth="1"/>
  </cols>
  <sheetData>
    <row r="2" spans="2:7" ht="21" x14ac:dyDescent="0.4">
      <c r="B2" s="5" t="s">
        <v>113</v>
      </c>
    </row>
    <row r="3" spans="2:7" x14ac:dyDescent="0.3">
      <c r="B3" t="s">
        <v>0</v>
      </c>
      <c r="D3" t="s">
        <v>71</v>
      </c>
      <c r="E3" t="s">
        <v>70</v>
      </c>
      <c r="F3" t="s">
        <v>69</v>
      </c>
      <c r="G3" t="s">
        <v>68</v>
      </c>
    </row>
    <row r="4" spans="2:7" x14ac:dyDescent="0.3">
      <c r="B4" t="s">
        <v>5</v>
      </c>
      <c r="D4" s="19">
        <v>1515892</v>
      </c>
      <c r="E4" s="19">
        <v>1681297</v>
      </c>
      <c r="F4" s="19">
        <v>1906715</v>
      </c>
      <c r="G4" s="19">
        <v>2065553</v>
      </c>
    </row>
    <row r="5" spans="2:7" x14ac:dyDescent="0.3">
      <c r="B5" t="s">
        <v>6</v>
      </c>
      <c r="D5" s="19">
        <v>166273</v>
      </c>
      <c r="E5" s="19">
        <v>225264</v>
      </c>
      <c r="F5" s="19">
        <v>257984</v>
      </c>
      <c r="G5" s="19">
        <v>250641</v>
      </c>
    </row>
    <row r="6" spans="2:7" x14ac:dyDescent="0.3">
      <c r="B6" t="s">
        <v>7</v>
      </c>
      <c r="D6" s="19">
        <v>1349619</v>
      </c>
      <c r="E6" s="19">
        <v>1456033</v>
      </c>
      <c r="F6" s="19">
        <v>1648731</v>
      </c>
      <c r="G6" s="19">
        <v>1814912</v>
      </c>
    </row>
    <row r="7" spans="2:7" x14ac:dyDescent="0.3">
      <c r="B7" t="s">
        <v>8</v>
      </c>
      <c r="D7" s="19"/>
      <c r="E7" s="19"/>
      <c r="F7" s="19"/>
      <c r="G7" s="19"/>
    </row>
    <row r="8" spans="2:7" x14ac:dyDescent="0.3">
      <c r="B8" t="s">
        <v>9</v>
      </c>
      <c r="D8" s="19">
        <v>298210</v>
      </c>
      <c r="E8" s="19">
        <v>355371</v>
      </c>
      <c r="F8" s="19">
        <v>404870</v>
      </c>
      <c r="G8" s="19">
        <v>433661</v>
      </c>
    </row>
    <row r="9" spans="2:7" x14ac:dyDescent="0.3">
      <c r="B9" t="s">
        <v>10</v>
      </c>
      <c r="D9" s="19">
        <v>521200</v>
      </c>
      <c r="E9" s="19">
        <v>587707</v>
      </c>
      <c r="F9" s="19">
        <v>715377</v>
      </c>
      <c r="G9" s="19">
        <v>772871</v>
      </c>
    </row>
    <row r="10" spans="2:7" x14ac:dyDescent="0.3">
      <c r="B10" t="s">
        <v>11</v>
      </c>
      <c r="D10" s="19">
        <v>0</v>
      </c>
      <c r="E10" s="19">
        <v>0</v>
      </c>
      <c r="F10" s="19">
        <v>0</v>
      </c>
      <c r="G10" s="19">
        <v>0</v>
      </c>
    </row>
    <row r="11" spans="2:7" x14ac:dyDescent="0.3">
      <c r="B11" t="s">
        <v>13</v>
      </c>
      <c r="D11" s="19">
        <v>15169</v>
      </c>
      <c r="E11" s="19">
        <v>16599</v>
      </c>
      <c r="F11" s="19">
        <v>15213</v>
      </c>
      <c r="G11" s="19">
        <v>15722</v>
      </c>
    </row>
    <row r="12" spans="2:7" x14ac:dyDescent="0.3">
      <c r="B12" t="s">
        <v>14</v>
      </c>
      <c r="D12" s="19">
        <v>515040</v>
      </c>
      <c r="E12" s="19">
        <v>496356</v>
      </c>
      <c r="F12" s="19">
        <v>513271</v>
      </c>
      <c r="G12" s="19">
        <v>592658</v>
      </c>
    </row>
    <row r="13" spans="2:7" x14ac:dyDescent="0.3">
      <c r="B13" t="s">
        <v>15</v>
      </c>
      <c r="D13" s="19">
        <v>11004</v>
      </c>
      <c r="E13" s="19">
        <v>8557</v>
      </c>
      <c r="F13" s="19">
        <v>14488</v>
      </c>
      <c r="G13" s="19">
        <v>5383</v>
      </c>
    </row>
    <row r="14" spans="2:7" x14ac:dyDescent="0.3">
      <c r="B14" t="s">
        <v>16</v>
      </c>
      <c r="D14" s="19">
        <v>526044</v>
      </c>
      <c r="E14" s="19">
        <v>504913</v>
      </c>
      <c r="F14" s="19">
        <v>527759</v>
      </c>
      <c r="G14" s="19">
        <v>598041</v>
      </c>
    </row>
    <row r="15" spans="2:7" x14ac:dyDescent="0.3">
      <c r="B15" t="s">
        <v>17</v>
      </c>
      <c r="D15" s="19">
        <v>3461</v>
      </c>
      <c r="E15" s="19">
        <v>10988</v>
      </c>
      <c r="F15" s="19">
        <v>12405</v>
      </c>
      <c r="G15" s="19">
        <v>22726</v>
      </c>
    </row>
    <row r="16" spans="2:7" x14ac:dyDescent="0.3">
      <c r="B16" t="s">
        <v>18</v>
      </c>
      <c r="D16" s="19">
        <v>522583</v>
      </c>
      <c r="E16" s="19">
        <v>493925</v>
      </c>
      <c r="F16" s="19">
        <v>515354</v>
      </c>
      <c r="G16" s="19">
        <v>575315</v>
      </c>
    </row>
    <row r="17" spans="2:7" x14ac:dyDescent="0.3">
      <c r="B17" t="s">
        <v>19</v>
      </c>
      <c r="D17" s="19">
        <v>71288</v>
      </c>
      <c r="E17" s="19">
        <v>60038</v>
      </c>
      <c r="F17" s="19">
        <v>60727</v>
      </c>
      <c r="G17" s="19">
        <v>51605</v>
      </c>
    </row>
    <row r="18" spans="2:7" x14ac:dyDescent="0.3">
      <c r="B18" t="s">
        <v>20</v>
      </c>
      <c r="D18" s="19">
        <v>0</v>
      </c>
      <c r="E18" s="19">
        <v>0</v>
      </c>
      <c r="F18" s="19">
        <v>0</v>
      </c>
      <c r="G18" s="19">
        <v>0</v>
      </c>
    </row>
    <row r="19" spans="2:7" x14ac:dyDescent="0.3">
      <c r="B19" t="s">
        <v>21</v>
      </c>
      <c r="D19" s="19">
        <v>0</v>
      </c>
      <c r="E19" s="19">
        <v>0</v>
      </c>
      <c r="F19" s="19">
        <v>0</v>
      </c>
      <c r="G19" s="19">
        <v>0</v>
      </c>
    </row>
    <row r="20" spans="2:7" x14ac:dyDescent="0.3">
      <c r="B20" t="s">
        <v>22</v>
      </c>
      <c r="D20" s="19">
        <v>451295</v>
      </c>
      <c r="E20" s="19">
        <v>433887</v>
      </c>
      <c r="F20" s="19">
        <v>454627</v>
      </c>
      <c r="G20" s="19">
        <v>523710</v>
      </c>
    </row>
    <row r="21" spans="2:7" x14ac:dyDescent="0.3">
      <c r="B21" t="s">
        <v>23</v>
      </c>
      <c r="D21" s="19">
        <v>451295</v>
      </c>
      <c r="E21" s="19">
        <v>433887</v>
      </c>
      <c r="F21" s="19">
        <v>454627</v>
      </c>
      <c r="G21" s="19">
        <v>523710</v>
      </c>
    </row>
    <row r="22" spans="2:7" x14ac:dyDescent="0.3">
      <c r="B22" t="s">
        <v>24</v>
      </c>
      <c r="D22" s="19">
        <v>451295</v>
      </c>
      <c r="E22" s="19">
        <v>433887</v>
      </c>
      <c r="F22" s="19">
        <v>454627</v>
      </c>
      <c r="G22" s="19">
        <v>523710</v>
      </c>
    </row>
    <row r="23" spans="2:7" x14ac:dyDescent="0.3">
      <c r="B23" t="s">
        <v>160</v>
      </c>
      <c r="D23" s="19">
        <v>22060000</v>
      </c>
      <c r="E23" s="19">
        <v>31240000</v>
      </c>
      <c r="F23" s="19">
        <v>34990000</v>
      </c>
      <c r="G23" s="19">
        <v>21040000</v>
      </c>
    </row>
    <row r="24" spans="2:7" ht="18" x14ac:dyDescent="0.35">
      <c r="B24" s="2" t="s">
        <v>114</v>
      </c>
      <c r="D24" s="19"/>
      <c r="E24" s="19"/>
      <c r="F24" s="19"/>
      <c r="G24" s="19"/>
    </row>
    <row r="25" spans="2:7" x14ac:dyDescent="0.3">
      <c r="B25" t="s">
        <v>0</v>
      </c>
      <c r="D25" s="19" t="s">
        <v>71</v>
      </c>
      <c r="E25" s="19" t="s">
        <v>70</v>
      </c>
      <c r="F25" s="19" t="s">
        <v>69</v>
      </c>
      <c r="G25" s="19" t="s">
        <v>68</v>
      </c>
    </row>
    <row r="26" spans="2:7" x14ac:dyDescent="0.3">
      <c r="B26" t="s">
        <v>25</v>
      </c>
      <c r="D26" s="19"/>
      <c r="E26" s="19"/>
      <c r="F26" s="19"/>
      <c r="G26" s="19"/>
    </row>
    <row r="27" spans="2:7" x14ac:dyDescent="0.3">
      <c r="B27" t="s">
        <v>26</v>
      </c>
      <c r="D27" s="19">
        <v>872094</v>
      </c>
      <c r="E27" s="19">
        <v>912672</v>
      </c>
      <c r="F27" s="19">
        <v>667667</v>
      </c>
      <c r="G27" s="19">
        <v>614391</v>
      </c>
    </row>
    <row r="28" spans="2:7" x14ac:dyDescent="0.3">
      <c r="B28" t="s">
        <v>27</v>
      </c>
      <c r="D28" s="19">
        <v>288</v>
      </c>
      <c r="E28" s="19">
        <v>479</v>
      </c>
      <c r="F28" s="19">
        <v>361</v>
      </c>
      <c r="G28" s="19">
        <v>183</v>
      </c>
    </row>
    <row r="29" spans="2:7" x14ac:dyDescent="0.3">
      <c r="B29" t="s">
        <v>28</v>
      </c>
      <c r="D29" s="19">
        <v>683098</v>
      </c>
      <c r="E29" s="19">
        <v>806086</v>
      </c>
      <c r="F29" s="19">
        <v>970546</v>
      </c>
      <c r="G29" s="19">
        <v>1049548</v>
      </c>
    </row>
    <row r="30" spans="2:7" x14ac:dyDescent="0.3">
      <c r="B30" t="s">
        <v>29</v>
      </c>
      <c r="D30" s="19">
        <v>0</v>
      </c>
      <c r="E30" s="19">
        <v>0</v>
      </c>
      <c r="F30" s="19">
        <v>0</v>
      </c>
      <c r="G30" s="19">
        <v>0</v>
      </c>
    </row>
    <row r="31" spans="2:7" x14ac:dyDescent="0.3">
      <c r="B31" t="s">
        <v>30</v>
      </c>
      <c r="D31" s="19">
        <v>0</v>
      </c>
      <c r="E31" s="19">
        <v>0</v>
      </c>
      <c r="F31" s="19">
        <v>0</v>
      </c>
      <c r="G31" s="19">
        <v>0</v>
      </c>
    </row>
    <row r="32" spans="2:7" x14ac:dyDescent="0.3">
      <c r="B32" t="s">
        <v>31</v>
      </c>
      <c r="D32" s="19">
        <v>1555480</v>
      </c>
      <c r="E32" s="19">
        <v>1719237</v>
      </c>
      <c r="F32" s="19">
        <v>1638574</v>
      </c>
      <c r="G32" s="19">
        <v>1664122</v>
      </c>
    </row>
    <row r="33" spans="2:7" x14ac:dyDescent="0.3">
      <c r="B33" t="s">
        <v>32</v>
      </c>
      <c r="D33" s="19"/>
      <c r="E33" s="19"/>
      <c r="F33" s="19"/>
      <c r="G33" s="19"/>
    </row>
    <row r="34" spans="2:7" x14ac:dyDescent="0.3">
      <c r="B34" t="s">
        <v>33</v>
      </c>
      <c r="D34" s="19">
        <v>0</v>
      </c>
      <c r="E34" s="19">
        <v>0</v>
      </c>
      <c r="F34" s="19">
        <v>0</v>
      </c>
      <c r="G34" s="19">
        <v>0</v>
      </c>
    </row>
    <row r="35" spans="2:7" x14ac:dyDescent="0.3">
      <c r="B35" t="s">
        <v>34</v>
      </c>
      <c r="D35" s="19">
        <v>189307</v>
      </c>
      <c r="E35" s="19">
        <v>234233</v>
      </c>
      <c r="F35" s="19">
        <v>208795</v>
      </c>
      <c r="G35" s="19">
        <v>209978</v>
      </c>
    </row>
    <row r="36" spans="2:7" x14ac:dyDescent="0.3">
      <c r="B36" t="s">
        <v>35</v>
      </c>
      <c r="D36" s="19">
        <v>2413280</v>
      </c>
      <c r="E36" s="19">
        <v>3038306</v>
      </c>
      <c r="F36" s="19">
        <v>3409271</v>
      </c>
      <c r="G36" s="19">
        <v>3658267</v>
      </c>
    </row>
    <row r="37" spans="2:7" x14ac:dyDescent="0.3">
      <c r="B37" t="s">
        <v>36</v>
      </c>
      <c r="D37" s="19">
        <v>476711</v>
      </c>
      <c r="E37" s="19">
        <v>694865</v>
      </c>
      <c r="F37" s="19">
        <v>763119</v>
      </c>
      <c r="G37" s="19">
        <v>809183</v>
      </c>
    </row>
    <row r="38" spans="2:7" x14ac:dyDescent="0.3">
      <c r="B38" t="s">
        <v>37</v>
      </c>
      <c r="D38" s="19">
        <v>180032</v>
      </c>
      <c r="E38" s="19">
        <v>225119</v>
      </c>
      <c r="F38" s="19">
        <v>279676</v>
      </c>
      <c r="G38" s="19">
        <v>261880</v>
      </c>
    </row>
    <row r="39" spans="2:7" x14ac:dyDescent="0.3">
      <c r="B39" t="s">
        <v>38</v>
      </c>
      <c r="D39" s="19">
        <v>24077</v>
      </c>
      <c r="E39" s="19">
        <v>28830</v>
      </c>
      <c r="F39" s="19">
        <v>24879</v>
      </c>
      <c r="G39" s="19">
        <v>84515</v>
      </c>
    </row>
    <row r="40" spans="2:7" x14ac:dyDescent="0.3">
      <c r="B40" t="s">
        <v>39</v>
      </c>
      <c r="D40" s="19">
        <v>4838887</v>
      </c>
      <c r="E40" s="19">
        <v>5940590</v>
      </c>
      <c r="F40" s="19">
        <v>6324314</v>
      </c>
      <c r="G40" s="19">
        <v>6687945</v>
      </c>
    </row>
    <row r="41" spans="2:7" x14ac:dyDescent="0.3">
      <c r="B41" t="s">
        <v>40</v>
      </c>
      <c r="D41" s="19"/>
      <c r="E41" s="19"/>
      <c r="F41" s="19"/>
      <c r="G41" s="19"/>
    </row>
    <row r="42" spans="2:7" x14ac:dyDescent="0.3">
      <c r="B42" t="s">
        <v>41</v>
      </c>
      <c r="D42" s="19">
        <v>268787</v>
      </c>
      <c r="E42" s="19">
        <v>356764</v>
      </c>
      <c r="F42" s="19">
        <v>386964</v>
      </c>
      <c r="G42" s="19">
        <v>380847</v>
      </c>
    </row>
    <row r="43" spans="2:7" x14ac:dyDescent="0.3">
      <c r="B43" t="s">
        <v>42</v>
      </c>
      <c r="D43" s="19">
        <v>75000</v>
      </c>
      <c r="E43" s="19">
        <v>0</v>
      </c>
      <c r="F43" s="19">
        <v>0</v>
      </c>
      <c r="G43" s="19">
        <v>0</v>
      </c>
    </row>
    <row r="44" spans="2:7" x14ac:dyDescent="0.3">
      <c r="B44" t="s">
        <v>43</v>
      </c>
      <c r="D44" s="19">
        <v>351353</v>
      </c>
      <c r="E44" s="19">
        <v>372061</v>
      </c>
      <c r="F44" s="19">
        <v>391528</v>
      </c>
      <c r="G44" s="19">
        <v>413989</v>
      </c>
    </row>
    <row r="45" spans="2:7" x14ac:dyDescent="0.3">
      <c r="B45" t="s">
        <v>44</v>
      </c>
      <c r="D45" s="19">
        <v>695140</v>
      </c>
      <c r="E45" s="19">
        <v>728825</v>
      </c>
      <c r="F45" s="19">
        <v>778492</v>
      </c>
      <c r="G45" s="19">
        <v>794836</v>
      </c>
    </row>
    <row r="46" spans="2:7" x14ac:dyDescent="0.3">
      <c r="B46" t="s">
        <v>45</v>
      </c>
      <c r="D46" s="19">
        <v>423531</v>
      </c>
      <c r="E46" s="19">
        <v>798118</v>
      </c>
      <c r="F46" s="19">
        <v>753576</v>
      </c>
      <c r="G46" s="19">
        <v>753574</v>
      </c>
    </row>
    <row r="47" spans="2:7" x14ac:dyDescent="0.3">
      <c r="B47" t="s">
        <v>46</v>
      </c>
      <c r="D47" s="19">
        <v>188194</v>
      </c>
      <c r="E47" s="19">
        <v>205454</v>
      </c>
      <c r="F47" s="19">
        <v>202650</v>
      </c>
      <c r="G47" s="19">
        <v>215558</v>
      </c>
    </row>
    <row r="48" spans="2:7" x14ac:dyDescent="0.3">
      <c r="B48" t="s">
        <v>47</v>
      </c>
      <c r="D48" s="19">
        <v>78643</v>
      </c>
      <c r="E48" s="19">
        <v>110321</v>
      </c>
      <c r="F48" s="19">
        <v>105548</v>
      </c>
      <c r="G48" s="19">
        <v>58126</v>
      </c>
    </row>
    <row r="49" spans="2:7" x14ac:dyDescent="0.3">
      <c r="B49" t="s">
        <v>48</v>
      </c>
      <c r="D49" s="19">
        <v>0</v>
      </c>
      <c r="E49" s="19">
        <v>0</v>
      </c>
      <c r="F49" s="19">
        <v>0</v>
      </c>
      <c r="G49" s="19">
        <v>0</v>
      </c>
    </row>
    <row r="50" spans="2:7" x14ac:dyDescent="0.3">
      <c r="B50" t="s">
        <v>20</v>
      </c>
      <c r="D50" s="19">
        <v>0</v>
      </c>
      <c r="E50" s="19">
        <v>0</v>
      </c>
      <c r="F50" s="19">
        <v>0</v>
      </c>
      <c r="G50" s="19">
        <v>0</v>
      </c>
    </row>
    <row r="51" spans="2:7" x14ac:dyDescent="0.3">
      <c r="B51" t="s">
        <v>49</v>
      </c>
      <c r="D51" s="19">
        <v>1385508</v>
      </c>
      <c r="E51" s="19">
        <v>1842718</v>
      </c>
      <c r="F51" s="19">
        <v>1840266</v>
      </c>
      <c r="G51" s="19">
        <v>1822094</v>
      </c>
    </row>
    <row r="52" spans="2:7" x14ac:dyDescent="0.3">
      <c r="B52" t="s">
        <v>50</v>
      </c>
      <c r="D52" s="19"/>
      <c r="E52" s="19"/>
      <c r="F52" s="19"/>
      <c r="G52" s="19"/>
    </row>
    <row r="53" spans="2:7" x14ac:dyDescent="0.3">
      <c r="B53" t="s">
        <v>51</v>
      </c>
      <c r="D53" s="19">
        <v>946</v>
      </c>
      <c r="E53" s="19">
        <v>953</v>
      </c>
      <c r="F53" s="19">
        <v>953</v>
      </c>
      <c r="G53" s="19">
        <v>953</v>
      </c>
    </row>
    <row r="54" spans="2:7" x14ac:dyDescent="0.3">
      <c r="B54" t="s">
        <v>52</v>
      </c>
      <c r="D54" s="19">
        <v>3370706</v>
      </c>
      <c r="E54" s="19">
        <v>3804593</v>
      </c>
      <c r="F54" s="19">
        <v>4259220</v>
      </c>
      <c r="G54" s="19">
        <v>4782930</v>
      </c>
    </row>
    <row r="55" spans="2:7" x14ac:dyDescent="0.3">
      <c r="B55" t="s">
        <v>53</v>
      </c>
      <c r="D55" s="19">
        <v>-1041831</v>
      </c>
      <c r="E55" s="19">
        <v>-1124102</v>
      </c>
      <c r="F55" s="19">
        <v>-1185707</v>
      </c>
      <c r="G55" s="19">
        <v>-1335627</v>
      </c>
    </row>
    <row r="56" spans="2:7" x14ac:dyDescent="0.3">
      <c r="B56" t="s">
        <v>54</v>
      </c>
      <c r="D56" s="19">
        <v>1188939</v>
      </c>
      <c r="E56" s="19">
        <v>1434203</v>
      </c>
      <c r="F56" s="19">
        <v>1465694</v>
      </c>
      <c r="G56" s="19">
        <v>1540317</v>
      </c>
    </row>
    <row r="57" spans="2:7" x14ac:dyDescent="0.3">
      <c r="B57" t="s">
        <v>55</v>
      </c>
      <c r="D57" s="19">
        <v>-65381</v>
      </c>
      <c r="E57" s="19">
        <v>-17775</v>
      </c>
      <c r="F57" s="19">
        <v>-56112</v>
      </c>
      <c r="G57" s="19">
        <v>-122722</v>
      </c>
    </row>
    <row r="58" spans="2:7" x14ac:dyDescent="0.3">
      <c r="B58" t="s">
        <v>56</v>
      </c>
      <c r="D58" s="19">
        <v>3453379</v>
      </c>
      <c r="E58" s="19">
        <v>4097872</v>
      </c>
      <c r="F58" s="19">
        <v>4484048</v>
      </c>
      <c r="G58" s="19">
        <v>4865851</v>
      </c>
    </row>
    <row r="59" spans="2:7" x14ac:dyDescent="0.3">
      <c r="B59" t="s">
        <v>57</v>
      </c>
      <c r="D59" s="19">
        <v>4838887</v>
      </c>
      <c r="E59" s="19">
        <v>5940590</v>
      </c>
      <c r="F59" s="19">
        <v>6324314</v>
      </c>
      <c r="G59" s="19">
        <v>6687945</v>
      </c>
    </row>
    <row r="60" spans="2:7" x14ac:dyDescent="0.3">
      <c r="D60" s="19"/>
      <c r="E60" s="19"/>
      <c r="F60" s="19"/>
      <c r="G60" s="19"/>
    </row>
    <row r="61" spans="2:7" ht="18" x14ac:dyDescent="0.35">
      <c r="B61" s="2" t="s">
        <v>115</v>
      </c>
      <c r="D61" s="19"/>
      <c r="E61" s="19"/>
      <c r="F61" s="19"/>
      <c r="G61" s="19"/>
    </row>
    <row r="62" spans="2:7" x14ac:dyDescent="0.3">
      <c r="B62" t="s">
        <v>0</v>
      </c>
      <c r="D62" s="19" t="s">
        <v>71</v>
      </c>
      <c r="E62" s="19" t="s">
        <v>70</v>
      </c>
      <c r="F62" s="19" t="s">
        <v>69</v>
      </c>
      <c r="G62" s="19" t="s">
        <v>68</v>
      </c>
    </row>
    <row r="63" spans="2:7" x14ac:dyDescent="0.3">
      <c r="B63" t="s">
        <v>23</v>
      </c>
      <c r="D63" s="19">
        <v>451295</v>
      </c>
      <c r="E63" s="19">
        <v>433887</v>
      </c>
      <c r="F63" s="19">
        <v>454627</v>
      </c>
      <c r="G63" s="19">
        <v>523710</v>
      </c>
    </row>
    <row r="64" spans="2:7" x14ac:dyDescent="0.3">
      <c r="B64" t="s">
        <v>72</v>
      </c>
      <c r="D64" s="19"/>
      <c r="E64" s="19"/>
      <c r="F64" s="19"/>
      <c r="G64" s="19"/>
    </row>
    <row r="65" spans="2:7" x14ac:dyDescent="0.3">
      <c r="B65" t="s">
        <v>73</v>
      </c>
      <c r="D65" s="19">
        <v>60516</v>
      </c>
      <c r="E65" s="19">
        <v>85275</v>
      </c>
      <c r="F65" s="19">
        <v>106867</v>
      </c>
      <c r="G65" s="19">
        <v>114563</v>
      </c>
    </row>
    <row r="66" spans="2:7" x14ac:dyDescent="0.3">
      <c r="B66" t="s">
        <v>74</v>
      </c>
      <c r="D66" s="19">
        <v>125844</v>
      </c>
      <c r="E66" s="19">
        <v>144272</v>
      </c>
      <c r="F66" s="19">
        <v>142616</v>
      </c>
      <c r="G66" s="19">
        <v>71035</v>
      </c>
    </row>
    <row r="67" spans="2:7" x14ac:dyDescent="0.3">
      <c r="B67" t="s">
        <v>75</v>
      </c>
      <c r="D67" s="19"/>
      <c r="E67" s="19"/>
      <c r="F67" s="19"/>
      <c r="G67" s="19"/>
    </row>
    <row r="68" spans="2:7" x14ac:dyDescent="0.3">
      <c r="B68" t="s">
        <v>76</v>
      </c>
      <c r="D68" s="19">
        <v>-180585</v>
      </c>
      <c r="E68" s="19">
        <v>-162631</v>
      </c>
      <c r="F68" s="19">
        <v>-213333</v>
      </c>
      <c r="G68" s="19">
        <v>-84727</v>
      </c>
    </row>
    <row r="69" spans="2:7" x14ac:dyDescent="0.3">
      <c r="B69" t="s">
        <v>77</v>
      </c>
      <c r="D69" s="19">
        <v>0</v>
      </c>
      <c r="E69" s="19">
        <v>0</v>
      </c>
      <c r="F69" s="19">
        <v>0</v>
      </c>
      <c r="G69" s="19">
        <v>0</v>
      </c>
    </row>
    <row r="70" spans="2:7" x14ac:dyDescent="0.3">
      <c r="B70" t="s">
        <v>78</v>
      </c>
      <c r="D70" s="19">
        <v>-5622</v>
      </c>
      <c r="E70" s="19">
        <v>-14818</v>
      </c>
      <c r="F70" s="19">
        <v>-3217</v>
      </c>
      <c r="G70" s="19">
        <v>-3613</v>
      </c>
    </row>
    <row r="71" spans="2:7" x14ac:dyDescent="0.3">
      <c r="B71" t="s">
        <v>79</v>
      </c>
      <c r="D71" s="19">
        <v>48488</v>
      </c>
      <c r="E71" s="19">
        <v>61325</v>
      </c>
      <c r="F71" s="19">
        <v>61922</v>
      </c>
      <c r="G71" s="19">
        <v>10035</v>
      </c>
    </row>
    <row r="72" spans="2:7" x14ac:dyDescent="0.3">
      <c r="B72" t="s">
        <v>80</v>
      </c>
      <c r="D72" s="19">
        <v>499936</v>
      </c>
      <c r="E72" s="19">
        <v>547310</v>
      </c>
      <c r="F72" s="19">
        <v>549482</v>
      </c>
      <c r="G72" s="19">
        <v>631003</v>
      </c>
    </row>
    <row r="73" spans="2:7" x14ac:dyDescent="0.3">
      <c r="B73" t="s">
        <v>81</v>
      </c>
      <c r="D73" s="19"/>
      <c r="E73" s="19"/>
      <c r="F73" s="19"/>
      <c r="G73" s="19"/>
    </row>
    <row r="74" spans="2:7" x14ac:dyDescent="0.3">
      <c r="B74" t="s">
        <v>82</v>
      </c>
      <c r="D74" s="19">
        <v>-44940</v>
      </c>
      <c r="E74" s="19">
        <v>-35370</v>
      </c>
      <c r="F74" s="19">
        <v>-23018</v>
      </c>
      <c r="G74" s="19">
        <v>-24370</v>
      </c>
    </row>
    <row r="75" spans="2:7" x14ac:dyDescent="0.3">
      <c r="B75" t="s">
        <v>83</v>
      </c>
      <c r="D75" s="19">
        <v>0</v>
      </c>
      <c r="E75" s="19">
        <v>0</v>
      </c>
      <c r="F75" s="19">
        <v>0</v>
      </c>
      <c r="G75" s="19">
        <v>0</v>
      </c>
    </row>
    <row r="76" spans="2:7" x14ac:dyDescent="0.3">
      <c r="B76" t="s">
        <v>84</v>
      </c>
      <c r="D76" s="19">
        <v>-788608</v>
      </c>
      <c r="E76" s="19">
        <v>-578883</v>
      </c>
      <c r="F76" s="19">
        <v>-513795</v>
      </c>
      <c r="G76" s="19">
        <v>-386998</v>
      </c>
    </row>
    <row r="77" spans="2:7" x14ac:dyDescent="0.3">
      <c r="B77" t="s">
        <v>85</v>
      </c>
      <c r="D77" s="19">
        <v>-833548</v>
      </c>
      <c r="E77" s="19">
        <v>-614253</v>
      </c>
      <c r="F77" s="19">
        <v>-536813</v>
      </c>
      <c r="G77" s="19">
        <v>-411368</v>
      </c>
    </row>
    <row r="78" spans="2:7" x14ac:dyDescent="0.3">
      <c r="B78" t="s">
        <v>86</v>
      </c>
      <c r="D78" s="19"/>
      <c r="E78" s="19"/>
      <c r="F78" s="19"/>
      <c r="G78" s="19"/>
    </row>
    <row r="79" spans="2:7" x14ac:dyDescent="0.3">
      <c r="B79" t="s">
        <v>87</v>
      </c>
      <c r="D79" s="19">
        <v>-25023</v>
      </c>
      <c r="E79" s="19">
        <v>-131469</v>
      </c>
      <c r="F79" s="19">
        <v>-103302</v>
      </c>
      <c r="G79" s="19">
        <v>-179976</v>
      </c>
    </row>
    <row r="80" spans="2:7" x14ac:dyDescent="0.3">
      <c r="B80" t="s">
        <v>88</v>
      </c>
      <c r="D80" s="19">
        <v>500000</v>
      </c>
      <c r="E80" s="19">
        <v>300000</v>
      </c>
      <c r="F80" s="19">
        <v>-45000</v>
      </c>
      <c r="G80" s="19">
        <v>0</v>
      </c>
    </row>
    <row r="81" spans="2:7" x14ac:dyDescent="0.3">
      <c r="B81" t="s">
        <v>89</v>
      </c>
      <c r="D81" s="19">
        <v>-45568</v>
      </c>
      <c r="E81" s="19">
        <v>-71934</v>
      </c>
      <c r="F81" s="19">
        <v>-97550</v>
      </c>
      <c r="G81" s="19">
        <v>-65532</v>
      </c>
    </row>
    <row r="82" spans="2:7" x14ac:dyDescent="0.3">
      <c r="B82" t="s">
        <v>90</v>
      </c>
      <c r="D82" s="19">
        <v>429409</v>
      </c>
      <c r="E82" s="19">
        <v>96597</v>
      </c>
      <c r="F82" s="19">
        <v>-245852</v>
      </c>
      <c r="G82" s="19">
        <v>-245508</v>
      </c>
    </row>
    <row r="83" spans="2:7" x14ac:dyDescent="0.3">
      <c r="B83" t="s">
        <v>91</v>
      </c>
      <c r="D83" s="19">
        <v>-842</v>
      </c>
      <c r="E83" s="19">
        <v>10924</v>
      </c>
      <c r="F83" s="19">
        <v>-11822</v>
      </c>
      <c r="G83" s="19">
        <v>-27403</v>
      </c>
    </row>
    <row r="84" spans="2:7" x14ac:dyDescent="0.3">
      <c r="B84" t="s">
        <v>92</v>
      </c>
      <c r="D84" s="19">
        <v>94955</v>
      </c>
      <c r="E84" s="19">
        <v>40578</v>
      </c>
      <c r="F84" s="19">
        <v>-245005</v>
      </c>
      <c r="G84" s="19">
        <v>-53276</v>
      </c>
    </row>
  </sheetData>
  <sheetProtection sheet="1" objects="1" scenarios="1"/>
  <customSheetViews>
    <customSheetView guid="{157A7F57-E932-4D71-AAC5-1BA0DA6A9C96}" showGridLines="0" topLeftCell="A49">
      <selection activeCell="H23" sqref="H23"/>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16"/>
  <sheetViews>
    <sheetView showGridLines="0" workbookViewId="0">
      <selection activeCell="Q113" sqref="Q113"/>
    </sheetView>
  </sheetViews>
  <sheetFormatPr defaultRowHeight="14.4" x14ac:dyDescent="0.3"/>
  <cols>
    <col min="1" max="1" width="1.88671875" customWidth="1"/>
    <col min="3" max="3" width="10.88671875" customWidth="1"/>
    <col min="12" max="15" width="10.33203125" bestFit="1" customWidth="1"/>
  </cols>
  <sheetData>
    <row r="2" spans="2:17" x14ac:dyDescent="0.3">
      <c r="B2" s="463" t="s">
        <v>262</v>
      </c>
      <c r="C2" s="463"/>
      <c r="D2" s="219"/>
      <c r="E2" s="219"/>
      <c r="F2" s="219"/>
      <c r="G2" s="219"/>
      <c r="H2" s="219"/>
      <c r="I2" s="219"/>
      <c r="J2" s="219"/>
      <c r="K2" s="219"/>
      <c r="L2" s="219"/>
      <c r="M2" s="219"/>
      <c r="N2" s="219"/>
      <c r="O2" s="219"/>
      <c r="P2" s="219"/>
      <c r="Q2" s="219"/>
    </row>
    <row r="3" spans="2:17" x14ac:dyDescent="0.3">
      <c r="B3" s="463"/>
      <c r="C3" s="463"/>
      <c r="D3" s="219"/>
      <c r="E3" s="219"/>
      <c r="F3" s="219"/>
      <c r="G3" s="219"/>
      <c r="H3" s="219"/>
      <c r="I3" s="219"/>
      <c r="J3" s="219"/>
      <c r="K3" s="219"/>
      <c r="L3" s="219"/>
      <c r="M3" s="219"/>
      <c r="N3" s="219"/>
      <c r="O3" s="219"/>
      <c r="P3" s="219"/>
      <c r="Q3" s="219"/>
    </row>
    <row r="4" spans="2:17" x14ac:dyDescent="0.3">
      <c r="B4" s="220" t="s">
        <v>260</v>
      </c>
      <c r="C4" s="219"/>
      <c r="D4" s="219"/>
      <c r="E4" s="219"/>
      <c r="F4" s="219"/>
      <c r="G4" s="219"/>
      <c r="H4" s="219"/>
      <c r="I4" s="219"/>
      <c r="J4" s="219"/>
      <c r="K4" s="219"/>
      <c r="L4" s="219"/>
      <c r="M4" s="219"/>
      <c r="N4" s="219"/>
      <c r="O4" s="219"/>
      <c r="P4" s="219"/>
      <c r="Q4" s="219"/>
    </row>
    <row r="5" spans="2:17" x14ac:dyDescent="0.3">
      <c r="B5" s="220" t="s">
        <v>261</v>
      </c>
      <c r="C5" s="219"/>
      <c r="D5" s="219"/>
      <c r="E5" s="219"/>
      <c r="F5" s="219"/>
      <c r="G5" s="219"/>
      <c r="H5" s="219"/>
      <c r="I5" s="219"/>
      <c r="J5" s="219"/>
      <c r="K5" s="219"/>
      <c r="L5" s="219"/>
      <c r="M5" s="219"/>
      <c r="N5" s="219"/>
      <c r="O5" s="219"/>
      <c r="P5" s="219"/>
      <c r="Q5" s="219"/>
    </row>
    <row r="6" spans="2:17" x14ac:dyDescent="0.3">
      <c r="B6" s="219"/>
      <c r="C6" s="219"/>
      <c r="D6" s="219"/>
      <c r="E6" s="219"/>
      <c r="F6" s="219"/>
      <c r="G6" s="219"/>
      <c r="H6" s="219"/>
      <c r="I6" s="219"/>
      <c r="J6" s="219"/>
      <c r="K6" s="219"/>
      <c r="L6" s="219"/>
      <c r="M6" s="219"/>
      <c r="N6" s="219"/>
      <c r="O6" s="219"/>
      <c r="P6" s="219"/>
      <c r="Q6" s="219"/>
    </row>
    <row r="8" spans="2:17" x14ac:dyDescent="0.3">
      <c r="B8" s="464" t="s">
        <v>263</v>
      </c>
      <c r="C8" s="464"/>
      <c r="D8" s="464"/>
      <c r="E8" s="464"/>
      <c r="F8" s="464"/>
      <c r="G8" s="464"/>
      <c r="H8" s="464"/>
      <c r="I8" s="464"/>
      <c r="J8" s="464"/>
      <c r="K8" s="464"/>
      <c r="L8" s="464"/>
      <c r="M8" s="464"/>
      <c r="N8" s="464"/>
      <c r="O8" s="464"/>
      <c r="P8" s="464"/>
      <c r="Q8" s="464"/>
    </row>
    <row r="9" spans="2:17" x14ac:dyDescent="0.3">
      <c r="B9" s="464"/>
      <c r="C9" s="464"/>
      <c r="D9" s="464"/>
      <c r="E9" s="464"/>
      <c r="F9" s="464"/>
      <c r="G9" s="464"/>
      <c r="H9" s="464"/>
      <c r="I9" s="464"/>
      <c r="J9" s="464"/>
      <c r="K9" s="464"/>
      <c r="L9" s="464"/>
      <c r="M9" s="464"/>
      <c r="N9" s="464"/>
      <c r="O9" s="464"/>
      <c r="P9" s="464"/>
      <c r="Q9" s="464"/>
    </row>
    <row r="10" spans="2:17" x14ac:dyDescent="0.3">
      <c r="B10" s="464"/>
      <c r="C10" s="464"/>
      <c r="D10" s="464"/>
      <c r="E10" s="464"/>
      <c r="F10" s="464"/>
      <c r="G10" s="464"/>
      <c r="H10" s="464"/>
      <c r="I10" s="464"/>
      <c r="J10" s="464"/>
      <c r="K10" s="464"/>
      <c r="L10" s="464"/>
      <c r="M10" s="464"/>
      <c r="N10" s="464"/>
      <c r="O10" s="464"/>
      <c r="P10" s="464"/>
      <c r="Q10" s="464"/>
    </row>
    <row r="11" spans="2:17" x14ac:dyDescent="0.3">
      <c r="B11" s="464"/>
      <c r="C11" s="464"/>
      <c r="D11" s="464"/>
      <c r="E11" s="464"/>
      <c r="F11" s="464"/>
      <c r="G11" s="464"/>
      <c r="H11" s="464"/>
      <c r="I11" s="464"/>
      <c r="J11" s="464"/>
      <c r="K11" s="464"/>
      <c r="L11" s="464"/>
      <c r="M11" s="464"/>
      <c r="N11" s="464"/>
      <c r="O11" s="464"/>
      <c r="P11" s="464"/>
      <c r="Q11" s="464"/>
    </row>
    <row r="12" spans="2:17" x14ac:dyDescent="0.3">
      <c r="B12" s="3"/>
      <c r="C12" s="3"/>
      <c r="D12" s="3"/>
      <c r="E12" s="3"/>
      <c r="F12" s="3"/>
      <c r="G12" s="3"/>
      <c r="H12" s="3"/>
      <c r="I12" s="3"/>
      <c r="J12" s="3"/>
      <c r="K12" s="3"/>
      <c r="L12" s="3"/>
      <c r="M12" s="3"/>
      <c r="N12" s="3"/>
      <c r="O12" s="3"/>
      <c r="P12" s="3"/>
      <c r="Q12" s="3"/>
    </row>
    <row r="13" spans="2:17" x14ac:dyDescent="0.3">
      <c r="B13" s="453" t="s">
        <v>58</v>
      </c>
      <c r="C13" s="454"/>
      <c r="D13" s="454"/>
      <c r="E13" s="454"/>
      <c r="F13" s="454"/>
      <c r="G13" s="454"/>
      <c r="H13" s="454"/>
      <c r="I13" s="454"/>
      <c r="J13" s="454"/>
      <c r="K13" s="454"/>
      <c r="L13" s="454"/>
      <c r="M13" s="454"/>
      <c r="N13" s="454"/>
      <c r="O13" s="454"/>
      <c r="P13" s="454"/>
      <c r="Q13" s="455"/>
    </row>
    <row r="14" spans="2:17" x14ac:dyDescent="0.3">
      <c r="B14" s="221"/>
      <c r="C14" s="38"/>
      <c r="D14" s="38"/>
      <c r="E14" s="38"/>
      <c r="F14" s="38"/>
      <c r="G14" s="38"/>
      <c r="H14" s="38"/>
      <c r="I14" s="38"/>
      <c r="J14" s="38"/>
      <c r="K14" s="38"/>
      <c r="L14" s="38"/>
      <c r="M14" s="38"/>
      <c r="N14" s="38"/>
      <c r="O14" s="38"/>
      <c r="P14" s="38"/>
      <c r="Q14" s="222"/>
    </row>
    <row r="15" spans="2:17" x14ac:dyDescent="0.3">
      <c r="B15" s="456" t="s">
        <v>64</v>
      </c>
      <c r="C15" s="457"/>
      <c r="D15" s="457"/>
      <c r="E15" s="457"/>
      <c r="F15" s="457"/>
      <c r="G15" s="457"/>
      <c r="H15" s="457"/>
      <c r="I15" s="457"/>
      <c r="J15" s="457"/>
      <c r="K15" s="457"/>
      <c r="L15" s="457"/>
      <c r="M15" s="457"/>
      <c r="N15" s="457"/>
      <c r="O15" s="457"/>
      <c r="P15" s="457"/>
      <c r="Q15" s="458"/>
    </row>
    <row r="16" spans="2:17" x14ac:dyDescent="0.3">
      <c r="B16" s="221"/>
      <c r="C16" s="38"/>
      <c r="D16" s="38"/>
      <c r="E16" s="38"/>
      <c r="F16" s="38"/>
      <c r="G16" s="38"/>
      <c r="H16" s="38"/>
      <c r="I16" s="38"/>
      <c r="J16" s="38"/>
      <c r="K16" s="38"/>
      <c r="L16" s="49">
        <v>43800</v>
      </c>
      <c r="M16" s="49">
        <f>L16+366</f>
        <v>44166</v>
      </c>
      <c r="N16" s="49">
        <f t="shared" ref="N16:O16" si="0">M16+366</f>
        <v>44532</v>
      </c>
      <c r="O16" s="49">
        <f t="shared" si="0"/>
        <v>44898</v>
      </c>
      <c r="P16" s="229"/>
      <c r="Q16" s="222"/>
    </row>
    <row r="17" spans="2:17" x14ac:dyDescent="0.3">
      <c r="B17" s="221" t="s">
        <v>179</v>
      </c>
      <c r="C17" s="38"/>
      <c r="D17" s="38"/>
      <c r="E17" s="38"/>
      <c r="F17" s="38"/>
      <c r="G17" s="38"/>
      <c r="H17" s="38"/>
      <c r="I17" s="38"/>
      <c r="J17" s="38"/>
      <c r="K17" s="38"/>
      <c r="L17" s="39">
        <f>'ANSYS- Financials'!D32/'ANSYS- Financials'!D45</f>
        <v>2.2376499697902581</v>
      </c>
      <c r="M17" s="39">
        <f>'ANSYS- Financials'!E32/'ANSYS- Financials'!E45</f>
        <v>2.3589160635269097</v>
      </c>
      <c r="N17" s="39">
        <f>'ANSYS- Financials'!F32/'ANSYS- Financials'!F45</f>
        <v>2.1048051874649962</v>
      </c>
      <c r="O17" s="39">
        <f>'ANSYS- Financials'!G32/'ANSYS- Financials'!G45</f>
        <v>2.0936671212677838</v>
      </c>
      <c r="P17" s="38"/>
      <c r="Q17" s="222"/>
    </row>
    <row r="18" spans="2:17" x14ac:dyDescent="0.3">
      <c r="B18" s="221" t="s">
        <v>180</v>
      </c>
      <c r="C18" s="38"/>
      <c r="D18" s="38"/>
      <c r="E18" s="38"/>
      <c r="F18" s="38"/>
      <c r="G18" s="38"/>
      <c r="H18" s="38"/>
      <c r="I18" s="38"/>
      <c r="J18" s="38"/>
      <c r="K18" s="38"/>
      <c r="L18" s="39">
        <f>('ANSYS- Financials'!D32-'ANSYS- Financials'!D30)/'ANSYS- Financials'!D45</f>
        <v>2.2376499697902581</v>
      </c>
      <c r="M18" s="39">
        <f>('ANSYS- Financials'!E32-'ANSYS- Financials'!E30)/'ANSYS- Financials'!E45</f>
        <v>2.3589160635269097</v>
      </c>
      <c r="N18" s="39">
        <f>('ANSYS- Financials'!F32-'ANSYS- Financials'!F30)/'ANSYS- Financials'!F45</f>
        <v>2.1048051874649962</v>
      </c>
      <c r="O18" s="39">
        <f>('ANSYS- Financials'!G32-'ANSYS- Financials'!G30)/'ANSYS- Financials'!G45</f>
        <v>2.0936671212677838</v>
      </c>
      <c r="P18" s="38"/>
      <c r="Q18" s="222"/>
    </row>
    <row r="19" spans="2:17" x14ac:dyDescent="0.3">
      <c r="B19" s="221" t="s">
        <v>67</v>
      </c>
      <c r="C19" s="38"/>
      <c r="D19" s="38"/>
      <c r="E19" s="38"/>
      <c r="F19" s="38"/>
      <c r="G19" s="38"/>
      <c r="H19" s="38"/>
      <c r="I19" s="38"/>
      <c r="J19" s="38"/>
      <c r="K19" s="38"/>
      <c r="L19" s="39">
        <f>('ANSYS- Financials'!D27+'ANSYS- Financials'!D28)/'ANSYS- Financials'!D45</f>
        <v>1.2549730989440977</v>
      </c>
      <c r="M19" s="39">
        <f>('ANSYS- Financials'!E27+'ANSYS- Financials'!E28)/'ANSYS- Financials'!E45</f>
        <v>1.2529084485301685</v>
      </c>
      <c r="N19" s="39">
        <f>('ANSYS- Financials'!F27+'ANSYS- Financials'!F28)/'ANSYS- Financials'!F45</f>
        <v>0.85810515714997715</v>
      </c>
      <c r="O19" s="39">
        <f>('ANSYS- Financials'!G27+'ANSYS- Financials'!G28)/'ANSYS- Financials'!G45</f>
        <v>0.77320856126295234</v>
      </c>
      <c r="P19" s="38"/>
      <c r="Q19" s="222"/>
    </row>
    <row r="20" spans="2:17" x14ac:dyDescent="0.3">
      <c r="B20" s="221"/>
      <c r="C20" s="38"/>
      <c r="D20" s="38"/>
      <c r="E20" s="38"/>
      <c r="F20" s="38"/>
      <c r="G20" s="38"/>
      <c r="H20" s="38"/>
      <c r="I20" s="38"/>
      <c r="J20" s="38"/>
      <c r="K20" s="38"/>
      <c r="L20" s="38"/>
      <c r="M20" s="38"/>
      <c r="N20" s="38"/>
      <c r="O20" s="38"/>
      <c r="P20" s="38"/>
      <c r="Q20" s="222"/>
    </row>
    <row r="21" spans="2:17" x14ac:dyDescent="0.3">
      <c r="B21" s="456" t="s">
        <v>116</v>
      </c>
      <c r="C21" s="457"/>
      <c r="D21" s="457"/>
      <c r="E21" s="457"/>
      <c r="F21" s="457"/>
      <c r="G21" s="457"/>
      <c r="H21" s="457"/>
      <c r="I21" s="457"/>
      <c r="J21" s="457"/>
      <c r="K21" s="457"/>
      <c r="L21" s="457"/>
      <c r="M21" s="457"/>
      <c r="N21" s="457"/>
      <c r="O21" s="457"/>
      <c r="P21" s="457"/>
      <c r="Q21" s="458"/>
    </row>
    <row r="22" spans="2:17" x14ac:dyDescent="0.3">
      <c r="B22" s="221"/>
      <c r="C22" s="38"/>
      <c r="D22" s="38"/>
      <c r="E22" s="38"/>
      <c r="F22" s="38"/>
      <c r="G22" s="38"/>
      <c r="H22" s="38"/>
      <c r="I22" s="38"/>
      <c r="J22" s="38"/>
      <c r="K22" s="38"/>
      <c r="L22" s="49">
        <f>L16</f>
        <v>43800</v>
      </c>
      <c r="M22" s="49">
        <f t="shared" ref="M22:O22" si="1">M16</f>
        <v>44166</v>
      </c>
      <c r="N22" s="49">
        <f t="shared" si="1"/>
        <v>44532</v>
      </c>
      <c r="O22" s="49">
        <f t="shared" si="1"/>
        <v>44898</v>
      </c>
      <c r="P22" s="38"/>
      <c r="Q22" s="222"/>
    </row>
    <row r="23" spans="2:17" x14ac:dyDescent="0.3">
      <c r="B23" s="221" t="s">
        <v>117</v>
      </c>
      <c r="C23" s="38"/>
      <c r="D23" s="38"/>
      <c r="E23" s="38"/>
      <c r="F23" s="38"/>
      <c r="G23" s="38"/>
      <c r="H23" s="38"/>
      <c r="I23" s="38"/>
      <c r="J23" s="38"/>
      <c r="K23" s="38"/>
      <c r="L23" s="39">
        <f>('ANSYS- Financials'!D46+'ANSYS- Financials'!D43)/'ANSYS- Financials'!D40</f>
        <v>0.10302596444182309</v>
      </c>
      <c r="M23" s="39">
        <f>('ANSYS- Financials'!E46+'ANSYS- Financials'!E43)/'ANSYS- Financials'!E40</f>
        <v>0.134349955139136</v>
      </c>
      <c r="N23" s="39">
        <f>('ANSYS- Financials'!F46+'ANSYS- Financials'!F43)/'ANSYS- Financials'!F40</f>
        <v>0.11915537400578149</v>
      </c>
      <c r="O23" s="39">
        <f>('ANSYS- Financials'!G46+'ANSYS- Financials'!G43)/'ANSYS- Financials'!G40</f>
        <v>0.1126764648931772</v>
      </c>
      <c r="P23" s="38"/>
      <c r="Q23" s="222"/>
    </row>
    <row r="24" spans="2:17" x14ac:dyDescent="0.3">
      <c r="B24" s="221" t="s">
        <v>118</v>
      </c>
      <c r="C24" s="38"/>
      <c r="D24" s="38"/>
      <c r="E24" s="38"/>
      <c r="F24" s="38"/>
      <c r="G24" s="38"/>
      <c r="H24" s="38"/>
      <c r="I24" s="38"/>
      <c r="J24" s="38"/>
      <c r="K24" s="38"/>
      <c r="L24" s="39">
        <f>('ANSYS- Financials'!D43+'ANSYS- Financials'!D46)/'ANSYS- Financials'!D58</f>
        <v>0.1443603496749126</v>
      </c>
      <c r="M24" s="39">
        <f>('ANSYS- Financials'!E43+'ANSYS- Financials'!E46)/'ANSYS- Financials'!E58</f>
        <v>0.19476401410292951</v>
      </c>
      <c r="N24" s="39">
        <f>('ANSYS- Financials'!F43+'ANSYS- Financials'!F46)/'ANSYS- Financials'!F58</f>
        <v>0.16805707699828371</v>
      </c>
      <c r="O24" s="39">
        <f>('ANSYS- Financials'!G43+'ANSYS- Financials'!G46)/'ANSYS- Financials'!G58</f>
        <v>0.15486992922717938</v>
      </c>
      <c r="P24" s="38"/>
      <c r="Q24" s="222"/>
    </row>
    <row r="25" spans="2:17" x14ac:dyDescent="0.3">
      <c r="B25" s="221" t="s">
        <v>120</v>
      </c>
      <c r="C25" s="38"/>
      <c r="D25" s="38"/>
      <c r="E25" s="38"/>
      <c r="F25" s="38"/>
      <c r="G25" s="38"/>
      <c r="H25" s="38"/>
      <c r="I25" s="38"/>
      <c r="J25" s="38"/>
      <c r="K25" s="38"/>
      <c r="L25" s="39">
        <f>L24/(1+L24)</f>
        <v>0.12614938093225805</v>
      </c>
      <c r="M25" s="39">
        <f t="shared" ref="M25:O25" si="2">M24/(1+M24)</f>
        <v>0.16301463034033975</v>
      </c>
      <c r="N25" s="39">
        <f t="shared" si="2"/>
        <v>0.14387745282975642</v>
      </c>
      <c r="O25" s="39">
        <f t="shared" si="2"/>
        <v>0.13410162071742215</v>
      </c>
      <c r="P25" s="38"/>
      <c r="Q25" s="222"/>
    </row>
    <row r="26" spans="2:17" x14ac:dyDescent="0.3">
      <c r="B26" s="221" t="s">
        <v>121</v>
      </c>
      <c r="C26" s="38"/>
      <c r="D26" s="38"/>
      <c r="E26" s="38"/>
      <c r="F26" s="38"/>
      <c r="G26" s="38"/>
      <c r="H26" s="38"/>
      <c r="I26" s="38"/>
      <c r="J26" s="38"/>
      <c r="K26" s="38"/>
      <c r="L26" s="39">
        <f>('ANSYS- Financials'!D14+'ANSYS- Financials'!D65)/'ANSYS- Financials'!D15</f>
        <v>169.47702976018491</v>
      </c>
      <c r="M26" s="39">
        <f>('ANSYS- Financials'!E14+'ANSYS- Financials'!E65)/'ANSYS- Financials'!E15</f>
        <v>53.712049508554784</v>
      </c>
      <c r="N26" s="39">
        <f>('ANSYS- Financials'!F14+'ANSYS- Financials'!F65)/'ANSYS- Financials'!F15</f>
        <v>51.158887545344619</v>
      </c>
      <c r="O26" s="39">
        <f>('ANSYS- Financials'!G14+'ANSYS- Financials'!G65)/'ANSYS- Financials'!G15</f>
        <v>31.356331954589457</v>
      </c>
      <c r="P26" s="38"/>
      <c r="Q26" s="222"/>
    </row>
    <row r="27" spans="2:17" x14ac:dyDescent="0.3">
      <c r="B27" s="221" t="s">
        <v>119</v>
      </c>
      <c r="C27" s="38"/>
      <c r="D27" s="38"/>
      <c r="E27" s="38"/>
      <c r="F27" s="38"/>
      <c r="G27" s="38"/>
      <c r="H27" s="38"/>
      <c r="I27" s="38"/>
      <c r="J27" s="38"/>
      <c r="K27" s="38"/>
      <c r="L27" s="39">
        <f>'ANSYS- Financials'!D40/'ANSYS- Financials'!D58</f>
        <v>1.4012035748175917</v>
      </c>
      <c r="M27" s="39">
        <f>'ANSYS- Financials'!E40/'ANSYS- Financials'!E58</f>
        <v>1.4496768078651554</v>
      </c>
      <c r="N27" s="39">
        <f>'ANSYS- Financials'!F40/'ANSYS- Financials'!F58</f>
        <v>1.4104028324406874</v>
      </c>
      <c r="O27" s="39">
        <f>'ANSYS- Financials'!G40/'ANSYS- Financials'!G58</f>
        <v>1.3744656381792208</v>
      </c>
      <c r="P27" s="38"/>
      <c r="Q27" s="222"/>
    </row>
    <row r="28" spans="2:17" x14ac:dyDescent="0.3">
      <c r="B28" s="221" t="s">
        <v>193</v>
      </c>
      <c r="C28" s="38"/>
      <c r="D28" s="38"/>
      <c r="E28" s="38"/>
      <c r="F28" s="38"/>
      <c r="G28" s="38"/>
      <c r="H28" s="38"/>
      <c r="I28" s="38"/>
      <c r="J28" s="38"/>
      <c r="K28" s="38"/>
      <c r="L28" s="39">
        <f>'ANSYS- Financials'!D72/('ANSYS- Financials'!D46+'ANSYS- Financials'!D43)</f>
        <v>1.0028182801069543</v>
      </c>
      <c r="M28" s="39">
        <f>'ANSYS- Financials'!E72/('ANSYS- Financials'!E46+'ANSYS- Financials'!E43)</f>
        <v>0.68575072858900565</v>
      </c>
      <c r="N28" s="39">
        <f>'ANSYS- Financials'!F72/('ANSYS- Financials'!F46+'ANSYS- Financials'!F43)</f>
        <v>0.72916600316358271</v>
      </c>
      <c r="O28" s="39">
        <f>'ANSYS- Financials'!G72/('ANSYS- Financials'!G46+'ANSYS- Financials'!G43)</f>
        <v>0.83734709530848994</v>
      </c>
      <c r="P28" s="38"/>
      <c r="Q28" s="222"/>
    </row>
    <row r="29" spans="2:17" x14ac:dyDescent="0.3">
      <c r="B29" s="221"/>
      <c r="C29" s="38"/>
      <c r="D29" s="38"/>
      <c r="E29" s="38"/>
      <c r="F29" s="38"/>
      <c r="G29" s="38"/>
      <c r="H29" s="38"/>
      <c r="I29" s="38"/>
      <c r="J29" s="38"/>
      <c r="K29" s="38"/>
      <c r="L29" s="38"/>
      <c r="M29" s="38"/>
      <c r="N29" s="38"/>
      <c r="O29" s="38"/>
      <c r="P29" s="38"/>
      <c r="Q29" s="222"/>
    </row>
    <row r="30" spans="2:17" x14ac:dyDescent="0.3">
      <c r="B30" s="456" t="s">
        <v>122</v>
      </c>
      <c r="C30" s="457"/>
      <c r="D30" s="457"/>
      <c r="E30" s="457"/>
      <c r="F30" s="457"/>
      <c r="G30" s="457"/>
      <c r="H30" s="457"/>
      <c r="I30" s="457"/>
      <c r="J30" s="457"/>
      <c r="K30" s="457"/>
      <c r="L30" s="457"/>
      <c r="M30" s="457"/>
      <c r="N30" s="457"/>
      <c r="O30" s="457"/>
      <c r="P30" s="457"/>
      <c r="Q30" s="458"/>
    </row>
    <row r="31" spans="2:17" x14ac:dyDescent="0.3">
      <c r="B31" s="221"/>
      <c r="C31" s="38"/>
      <c r="D31" s="38"/>
      <c r="E31" s="38"/>
      <c r="F31" s="38"/>
      <c r="G31" s="38"/>
      <c r="H31" s="38"/>
      <c r="I31" s="38"/>
      <c r="J31" s="38"/>
      <c r="K31" s="38"/>
      <c r="L31" s="49">
        <f>L22</f>
        <v>43800</v>
      </c>
      <c r="M31" s="49">
        <f t="shared" ref="M31:O31" si="3">M22</f>
        <v>44166</v>
      </c>
      <c r="N31" s="49">
        <f t="shared" si="3"/>
        <v>44532</v>
      </c>
      <c r="O31" s="49">
        <f t="shared" si="3"/>
        <v>44898</v>
      </c>
      <c r="P31" s="38"/>
      <c r="Q31" s="222"/>
    </row>
    <row r="32" spans="2:17" x14ac:dyDescent="0.3">
      <c r="B32" s="221" t="s">
        <v>123</v>
      </c>
      <c r="C32" s="38"/>
      <c r="D32" s="38"/>
      <c r="E32" s="38"/>
      <c r="F32" s="38"/>
      <c r="G32" s="38"/>
      <c r="H32" s="38"/>
      <c r="I32" s="38"/>
      <c r="J32" s="38"/>
      <c r="K32" s="38"/>
      <c r="L32" s="39">
        <f>'ANSYS- Financials'!D4/'ANSYS- Financials'!D40</f>
        <v>0.3132728662603611</v>
      </c>
      <c r="M32" s="39">
        <f>'ANSYS- Financials'!E4/'ANSYS- Financials'!E40</f>
        <v>0.28301852172932318</v>
      </c>
      <c r="N32" s="39">
        <f>'ANSYS- Financials'!F4/'ANSYS- Financials'!F40</f>
        <v>0.30148961610698016</v>
      </c>
      <c r="O32" s="39">
        <f>'ANSYS- Financials'!G4/'ANSYS- Financials'!G40</f>
        <v>0.30884718699092173</v>
      </c>
      <c r="P32" s="38"/>
      <c r="Q32" s="222"/>
    </row>
    <row r="33" spans="2:17" x14ac:dyDescent="0.3">
      <c r="B33" s="221" t="s">
        <v>124</v>
      </c>
      <c r="C33" s="38"/>
      <c r="D33" s="38"/>
      <c r="E33" s="38"/>
      <c r="F33" s="38"/>
      <c r="G33" s="38"/>
      <c r="H33" s="38"/>
      <c r="I33" s="38"/>
      <c r="J33" s="38"/>
      <c r="K33" s="38"/>
      <c r="L33" s="39">
        <f>'ANSYS- Financials'!D4/'Analysis- ANSYS'!L82</f>
        <v>1.7619685240718785</v>
      </c>
      <c r="M33" s="39">
        <f>'ANSYS- Financials'!E4/'Analysis- ANSYS'!M82</f>
        <v>1.6975733331179348</v>
      </c>
      <c r="N33" s="39">
        <f>'ANSYS- Financials'!F4/'Analysis- ANSYS'!N82</f>
        <v>2.2168990863661837</v>
      </c>
      <c r="O33" s="39">
        <f>'ANSYS- Financials'!G4/'Analysis- ANSYS'!O82</f>
        <v>2.3761489314218798</v>
      </c>
      <c r="P33" s="38"/>
      <c r="Q33" s="222"/>
    </row>
    <row r="34" spans="2:17" x14ac:dyDescent="0.3">
      <c r="B34" s="221" t="s">
        <v>125</v>
      </c>
      <c r="C34" s="38"/>
      <c r="D34" s="38"/>
      <c r="E34" s="38"/>
      <c r="F34" s="38"/>
      <c r="G34" s="38"/>
      <c r="H34" s="38"/>
      <c r="I34" s="38"/>
      <c r="J34" s="38"/>
      <c r="K34" s="38"/>
      <c r="L34" s="39">
        <f>-IFERROR('ANSYS- Financials'!D5/'ANSYS- Financials'!D30,0)</f>
        <v>0</v>
      </c>
      <c r="M34" s="39">
        <f>-IFERROR('ANSYS- Financials'!E5/'ANSYS- Financials'!E30,0)</f>
        <v>0</v>
      </c>
      <c r="N34" s="39">
        <f>-IFERROR('ANSYS- Financials'!F5/'ANSYS- Financials'!F30,0)</f>
        <v>0</v>
      </c>
      <c r="O34" s="39">
        <f>-IFERROR('ANSYS- Financials'!G5/'ANSYS- Financials'!G30,0)</f>
        <v>0</v>
      </c>
      <c r="P34" s="38"/>
      <c r="Q34" s="222"/>
    </row>
    <row r="35" spans="2:17" x14ac:dyDescent="0.3">
      <c r="B35" s="221" t="s">
        <v>126</v>
      </c>
      <c r="C35" s="38"/>
      <c r="D35" s="38"/>
      <c r="E35" s="38"/>
      <c r="F35" s="38"/>
      <c r="G35" s="38"/>
      <c r="H35" s="38"/>
      <c r="I35" s="38"/>
      <c r="J35" s="38"/>
      <c r="K35" s="38"/>
      <c r="L35" s="39">
        <f>'ANSYS- Financials'!D4/'ANSYS- Financials'!D29</f>
        <v>2.2191427877112799</v>
      </c>
      <c r="M35" s="39">
        <f>'ANSYS- Financials'!E4/'ANSYS- Financials'!E29</f>
        <v>2.0857538773778481</v>
      </c>
      <c r="N35" s="39">
        <f>'ANSYS- Financials'!F4/'ANSYS- Financials'!F29</f>
        <v>1.9645797314089182</v>
      </c>
      <c r="O35" s="39">
        <f>'ANSYS- Financials'!G4/'ANSYS- Financials'!G29</f>
        <v>1.9680405279224962</v>
      </c>
      <c r="P35" s="38"/>
      <c r="Q35" s="222"/>
    </row>
    <row r="36" spans="2:17" x14ac:dyDescent="0.3">
      <c r="B36" s="221"/>
      <c r="C36" s="38"/>
      <c r="D36" s="38"/>
      <c r="E36" s="38"/>
      <c r="F36" s="38"/>
      <c r="G36" s="38"/>
      <c r="H36" s="38"/>
      <c r="I36" s="38"/>
      <c r="J36" s="38"/>
      <c r="K36" s="38"/>
      <c r="L36" s="38"/>
      <c r="M36" s="38"/>
      <c r="N36" s="38"/>
      <c r="O36" s="38"/>
      <c r="P36" s="38"/>
      <c r="Q36" s="222"/>
    </row>
    <row r="37" spans="2:17" x14ac:dyDescent="0.3">
      <c r="B37" s="456" t="s">
        <v>131</v>
      </c>
      <c r="C37" s="457"/>
      <c r="D37" s="457"/>
      <c r="E37" s="457"/>
      <c r="F37" s="457"/>
      <c r="G37" s="457"/>
      <c r="H37" s="457"/>
      <c r="I37" s="457"/>
      <c r="J37" s="457"/>
      <c r="K37" s="457"/>
      <c r="L37" s="457"/>
      <c r="M37" s="457"/>
      <c r="N37" s="457"/>
      <c r="O37" s="457"/>
      <c r="P37" s="457"/>
      <c r="Q37" s="458"/>
    </row>
    <row r="38" spans="2:17" x14ac:dyDescent="0.3">
      <c r="B38" s="221"/>
      <c r="C38" s="38"/>
      <c r="D38" s="38"/>
      <c r="E38" s="38"/>
      <c r="F38" s="38"/>
      <c r="G38" s="38"/>
      <c r="H38" s="38"/>
      <c r="I38" s="38"/>
      <c r="J38" s="38"/>
      <c r="K38" s="38"/>
      <c r="L38" s="49">
        <f>L31</f>
        <v>43800</v>
      </c>
      <c r="M38" s="49">
        <f t="shared" ref="M38:O38" si="4">M31</f>
        <v>44166</v>
      </c>
      <c r="N38" s="49">
        <f t="shared" si="4"/>
        <v>44532</v>
      </c>
      <c r="O38" s="49">
        <f t="shared" si="4"/>
        <v>44898</v>
      </c>
      <c r="P38" s="38"/>
      <c r="Q38" s="222"/>
    </row>
    <row r="39" spans="2:17" x14ac:dyDescent="0.3">
      <c r="B39" s="221" t="s">
        <v>132</v>
      </c>
      <c r="C39" s="38"/>
      <c r="D39" s="38"/>
      <c r="E39" s="38"/>
      <c r="F39" s="38"/>
      <c r="G39" s="38"/>
      <c r="H39" s="38"/>
      <c r="I39" s="38"/>
      <c r="J39" s="38"/>
      <c r="K39" s="38"/>
      <c r="L39" s="67">
        <f>'ANSYS- Financials'!D22/'ANSYS- Financials'!D58</f>
        <v>0.13068215217617296</v>
      </c>
      <c r="M39" s="67">
        <f>'ANSYS- Financials'!E22/'ANSYS- Financials'!E58</f>
        <v>0.10588105240964091</v>
      </c>
      <c r="N39" s="67">
        <f>'ANSYS- Financials'!F22/'ANSYS- Financials'!F58</f>
        <v>0.10138763010565453</v>
      </c>
      <c r="O39" s="67">
        <f>'ANSYS- Financials'!G22/'ANSYS- Financials'!G58</f>
        <v>0.10762968286534051</v>
      </c>
      <c r="P39" s="38"/>
      <c r="Q39" s="222"/>
    </row>
    <row r="40" spans="2:17" x14ac:dyDescent="0.3">
      <c r="B40" s="221" t="s">
        <v>133</v>
      </c>
      <c r="C40" s="38"/>
      <c r="D40" s="38"/>
      <c r="E40" s="38"/>
      <c r="F40" s="38"/>
      <c r="G40" s="38"/>
      <c r="H40" s="38"/>
      <c r="I40" s="38"/>
      <c r="J40" s="38"/>
      <c r="K40" s="38"/>
      <c r="L40" s="67">
        <f>'ANSYS- Financials'!D22/'ANSYS- Financials'!D40</f>
        <v>9.3264215510715578E-2</v>
      </c>
      <c r="M40" s="67">
        <f>'ANSYS- Financials'!E22/'ANSYS- Financials'!E40</f>
        <v>7.3037694909091525E-2</v>
      </c>
      <c r="N40" s="67">
        <f>'ANSYS- Financials'!F22/'ANSYS- Financials'!F40</f>
        <v>7.1885583163644309E-2</v>
      </c>
      <c r="O40" s="67">
        <f>'ANSYS- Financials'!G22/'ANSYS- Financials'!G40</f>
        <v>7.8306565021093927E-2</v>
      </c>
      <c r="P40" s="38"/>
      <c r="Q40" s="222"/>
    </row>
    <row r="41" spans="2:17" x14ac:dyDescent="0.3">
      <c r="B41" s="221" t="s">
        <v>134</v>
      </c>
      <c r="C41" s="38"/>
      <c r="D41" s="38"/>
      <c r="E41" s="38"/>
      <c r="F41" s="38"/>
      <c r="G41" s="38"/>
      <c r="H41" s="38"/>
      <c r="I41" s="38"/>
      <c r="J41" s="38"/>
      <c r="K41" s="38"/>
      <c r="L41" s="67">
        <f>'ANSYS- Financials'!D22/('ANSYS- Financials'!D43+'ANSYS- Financials'!D46+'ANSYS- Financials'!D58)</f>
        <v>0.1141966795802536</v>
      </c>
      <c r="M41" s="67">
        <f>'ANSYS- Financials'!E22/('ANSYS- Financials'!E43+'ANSYS- Financials'!E46+'ANSYS- Financials'!E58)</f>
        <v>8.862089179103716E-2</v>
      </c>
      <c r="N41" s="67">
        <f>'ANSYS- Financials'!F22/('ANSYS- Financials'!F43+'ANSYS- Financials'!F46+'ANSYS- Financials'!F58)</f>
        <v>8.6800236137607428E-2</v>
      </c>
      <c r="O41" s="67">
        <f>'ANSYS- Financials'!G22/('ANSYS- Financials'!G43+'ANSYS- Financials'!G46+'ANSYS- Financials'!G58)</f>
        <v>9.3196367955796194E-2</v>
      </c>
      <c r="P41" s="38"/>
      <c r="Q41" s="222"/>
    </row>
    <row r="42" spans="2:17" x14ac:dyDescent="0.3">
      <c r="B42" s="221" t="s">
        <v>135</v>
      </c>
      <c r="C42" s="38"/>
      <c r="D42" s="38"/>
      <c r="E42" s="38"/>
      <c r="F42" s="38"/>
      <c r="G42" s="38"/>
      <c r="H42" s="38"/>
      <c r="I42" s="38"/>
      <c r="J42" s="38"/>
      <c r="K42" s="38"/>
      <c r="L42" s="67">
        <f>'ANSYS- Financials'!D22/('ANSYS- Financials'!D35+'Analysis- ANSYS'!L82)</f>
        <v>0.42994930676694165</v>
      </c>
      <c r="M42" s="67">
        <f>'ANSYS- Financials'!E22/('ANSYS- Financials'!E35+'Analysis- ANSYS'!M82)</f>
        <v>0.35429614296387935</v>
      </c>
      <c r="N42" s="67">
        <f>'ANSYS- Financials'!F22/('ANSYS- Financials'!F35+'Analysis- ANSYS'!N82)</f>
        <v>0.42533144599425377</v>
      </c>
      <c r="O42" s="67">
        <f>'ANSYS- Financials'!G22/('ANSYS- Financials'!G35+'Analysis- ANSYS'!O82)</f>
        <v>0.48524735375218669</v>
      </c>
      <c r="P42" s="38"/>
      <c r="Q42" s="222"/>
    </row>
    <row r="43" spans="2:17" x14ac:dyDescent="0.3">
      <c r="B43" s="221" t="s">
        <v>136</v>
      </c>
      <c r="C43" s="38"/>
      <c r="D43" s="38"/>
      <c r="E43" s="38"/>
      <c r="F43" s="38"/>
      <c r="G43" s="38"/>
      <c r="H43" s="38"/>
      <c r="I43" s="38"/>
      <c r="J43" s="38"/>
      <c r="K43" s="38"/>
      <c r="L43" s="67">
        <f>('ANSYS- Financials'!D14+'ANSYS- Financials'!D65)/'ANSYS- Financials'!D4</f>
        <v>0.38694049444155654</v>
      </c>
      <c r="M43" s="67">
        <f>('ANSYS- Financials'!E14+'ANSYS- Financials'!E65)/'ANSYS- Financials'!E4</f>
        <v>0.35103137637193188</v>
      </c>
      <c r="N43" s="67">
        <f>('ANSYS- Financials'!F14+'ANSYS- Financials'!F65)/'ANSYS- Financials'!F4</f>
        <v>0.33283736688493037</v>
      </c>
      <c r="O43" s="67">
        <f>('ANSYS- Financials'!G14+'ANSYS- Financials'!G65)/'ANSYS- Financials'!G4</f>
        <v>0.34499429450612018</v>
      </c>
      <c r="P43" s="38"/>
      <c r="Q43" s="222"/>
    </row>
    <row r="44" spans="2:17" x14ac:dyDescent="0.3">
      <c r="B44" s="221" t="s">
        <v>137</v>
      </c>
      <c r="C44" s="38"/>
      <c r="D44" s="38"/>
      <c r="E44" s="38"/>
      <c r="F44" s="38"/>
      <c r="G44" s="38"/>
      <c r="H44" s="38"/>
      <c r="I44" s="38"/>
      <c r="J44" s="38"/>
      <c r="K44" s="38"/>
      <c r="L44" s="67">
        <f>'ANSYS- Financials'!D22/'ANSYS- Financials'!D4</f>
        <v>0.29770920355803709</v>
      </c>
      <c r="M44" s="67">
        <f>'ANSYS- Financials'!E22/'ANSYS- Financials'!E4</f>
        <v>0.25806683768542976</v>
      </c>
      <c r="N44" s="67">
        <f>'ANSYS- Financials'!F22/'ANSYS- Financials'!F4</f>
        <v>0.23843469002971079</v>
      </c>
      <c r="O44" s="67">
        <f>'ANSYS- Financials'!G22/'ANSYS- Financials'!G4</f>
        <v>0.25354469238988298</v>
      </c>
      <c r="P44" s="38"/>
      <c r="Q44" s="222"/>
    </row>
    <row r="45" spans="2:17" x14ac:dyDescent="0.3">
      <c r="B45" s="221"/>
      <c r="C45" s="38"/>
      <c r="D45" s="38"/>
      <c r="E45" s="38"/>
      <c r="F45" s="38"/>
      <c r="G45" s="38"/>
      <c r="H45" s="38"/>
      <c r="I45" s="38"/>
      <c r="J45" s="38"/>
      <c r="K45" s="38"/>
      <c r="L45" s="38"/>
      <c r="M45" s="38"/>
      <c r="N45" s="38"/>
      <c r="O45" s="38"/>
      <c r="P45" s="38"/>
      <c r="Q45" s="222"/>
    </row>
    <row r="46" spans="2:17" x14ac:dyDescent="0.3">
      <c r="B46" s="456" t="s">
        <v>127</v>
      </c>
      <c r="C46" s="457"/>
      <c r="D46" s="457"/>
      <c r="E46" s="457"/>
      <c r="F46" s="457"/>
      <c r="G46" s="457"/>
      <c r="H46" s="457"/>
      <c r="I46" s="457"/>
      <c r="J46" s="457"/>
      <c r="K46" s="457"/>
      <c r="L46" s="457"/>
      <c r="M46" s="457"/>
      <c r="N46" s="457"/>
      <c r="O46" s="457"/>
      <c r="P46" s="457"/>
      <c r="Q46" s="458"/>
    </row>
    <row r="47" spans="2:17" x14ac:dyDescent="0.3">
      <c r="B47" s="221"/>
      <c r="C47" s="38"/>
      <c r="D47" s="38"/>
      <c r="E47" s="38"/>
      <c r="F47" s="38"/>
      <c r="G47" s="38"/>
      <c r="H47" s="38"/>
      <c r="I47" s="38"/>
      <c r="J47" s="38"/>
      <c r="K47" s="38"/>
      <c r="L47" s="49">
        <f>L38</f>
        <v>43800</v>
      </c>
      <c r="M47" s="49">
        <f t="shared" ref="M47:O47" si="5">M38</f>
        <v>44166</v>
      </c>
      <c r="N47" s="49">
        <f t="shared" si="5"/>
        <v>44532</v>
      </c>
      <c r="O47" s="49">
        <f t="shared" si="5"/>
        <v>44898</v>
      </c>
      <c r="P47" s="38"/>
      <c r="Q47" s="222"/>
    </row>
    <row r="48" spans="2:17" x14ac:dyDescent="0.3">
      <c r="B48" s="221" t="s">
        <v>128</v>
      </c>
      <c r="C48" s="38"/>
      <c r="D48" s="38"/>
      <c r="E48" s="38"/>
      <c r="F48" s="38"/>
      <c r="G48" s="38"/>
      <c r="H48" s="38"/>
      <c r="I48" s="38"/>
      <c r="J48" s="38"/>
      <c r="K48" s="38"/>
      <c r="L48" s="39">
        <f>'ANSYS- Financials'!D23/'ANSYS- Financials'!D4</f>
        <v>14.55248790810955</v>
      </c>
      <c r="M48" s="39">
        <f>'ANSYS- Financials'!E23/'ANSYS- Financials'!E4</f>
        <v>18.58089320328294</v>
      </c>
      <c r="N48" s="39">
        <f>'ANSYS- Financials'!F23/'ANSYS- Financials'!F4</f>
        <v>18.350933411653028</v>
      </c>
      <c r="O48" s="39">
        <f>'ANSYS- Financials'!G23/'ANSYS- Financials'!G4</f>
        <v>10.186134173269823</v>
      </c>
      <c r="P48" s="38"/>
      <c r="Q48" s="222"/>
    </row>
    <row r="49" spans="2:17" x14ac:dyDescent="0.3">
      <c r="B49" s="221" t="s">
        <v>129</v>
      </c>
      <c r="C49" s="38"/>
      <c r="D49" s="38"/>
      <c r="E49" s="38"/>
      <c r="F49" s="38"/>
      <c r="G49" s="38"/>
      <c r="H49" s="38"/>
      <c r="I49" s="38"/>
      <c r="J49" s="38"/>
      <c r="K49" s="38"/>
      <c r="L49" s="39">
        <f>'ANSYS- Financials'!D23/'ANSYS- Financials'!D22</f>
        <v>48.881551978196079</v>
      </c>
      <c r="M49" s="39">
        <f>'ANSYS- Financials'!E23/'ANSYS- Financials'!E22</f>
        <v>72.000313445666734</v>
      </c>
      <c r="N49" s="39">
        <f>'ANSYS- Financials'!F23/'ANSYS- Financials'!F22</f>
        <v>76.964192623843289</v>
      </c>
      <c r="O49" s="39">
        <f>'ANSYS- Financials'!G23/'ANSYS- Financials'!G22</f>
        <v>40.174905959405017</v>
      </c>
      <c r="P49" s="38"/>
      <c r="Q49" s="222"/>
    </row>
    <row r="50" spans="2:17" x14ac:dyDescent="0.3">
      <c r="B50" s="221" t="s">
        <v>140</v>
      </c>
      <c r="C50" s="38"/>
      <c r="D50" s="38"/>
      <c r="E50" s="38"/>
      <c r="F50" s="38"/>
      <c r="G50" s="38"/>
      <c r="H50" s="38"/>
      <c r="I50" s="38"/>
      <c r="J50" s="38"/>
      <c r="K50" s="38"/>
      <c r="L50" s="39">
        <f>'ANSYS- Financials'!D23/'ANSYS- Financials'!D72</f>
        <v>44.125648082954619</v>
      </c>
      <c r="M50" s="39">
        <f>'ANSYS- Financials'!E23/'ANSYS- Financials'!E72</f>
        <v>57.079169026694196</v>
      </c>
      <c r="N50" s="39">
        <f>'ANSYS- Financials'!F23/'ANSYS- Financials'!F72</f>
        <v>63.67815506240423</v>
      </c>
      <c r="O50" s="39">
        <f>'ANSYS- Financials'!G23/'ANSYS- Financials'!G72</f>
        <v>33.343740045609927</v>
      </c>
      <c r="P50" s="38"/>
      <c r="Q50" s="222"/>
    </row>
    <row r="51" spans="2:17" x14ac:dyDescent="0.3">
      <c r="B51" s="221" t="s">
        <v>130</v>
      </c>
      <c r="C51" s="38"/>
      <c r="D51" s="38"/>
      <c r="E51" s="38"/>
      <c r="F51" s="38"/>
      <c r="G51" s="38"/>
      <c r="H51" s="38"/>
      <c r="I51" s="38"/>
      <c r="J51" s="38"/>
      <c r="K51" s="38"/>
      <c r="L51" s="39">
        <f>'ANSYS- Financials'!D23/'ANSYS- Financials'!D58</f>
        <v>6.3879464142221289</v>
      </c>
      <c r="M51" s="39">
        <f>'ANSYS- Financials'!E23/'ANSYS- Financials'!E58</f>
        <v>7.6234689614512119</v>
      </c>
      <c r="N51" s="39">
        <f>'ANSYS- Financials'!F23/'ANSYS- Financials'!F58</f>
        <v>7.8032170931265679</v>
      </c>
      <c r="O51" s="39">
        <f>'ANSYS- Financials'!G23/'ANSYS- Financials'!G58</f>
        <v>4.3240123875556407</v>
      </c>
      <c r="P51" s="38"/>
      <c r="Q51" s="222"/>
    </row>
    <row r="52" spans="2:17" x14ac:dyDescent="0.3">
      <c r="B52" s="221"/>
      <c r="C52" s="38"/>
      <c r="D52" s="38"/>
      <c r="E52" s="38"/>
      <c r="F52" s="38"/>
      <c r="G52" s="38"/>
      <c r="H52" s="38"/>
      <c r="I52" s="38"/>
      <c r="J52" s="38"/>
      <c r="K52" s="38"/>
      <c r="L52" s="38"/>
      <c r="M52" s="38"/>
      <c r="N52" s="38"/>
      <c r="O52" s="38"/>
      <c r="P52" s="38"/>
      <c r="Q52" s="222"/>
    </row>
    <row r="53" spans="2:17" x14ac:dyDescent="0.3">
      <c r="B53" s="456" t="s">
        <v>264</v>
      </c>
      <c r="C53" s="457"/>
      <c r="D53" s="457"/>
      <c r="E53" s="457"/>
      <c r="F53" s="457"/>
      <c r="G53" s="457"/>
      <c r="H53" s="457"/>
      <c r="I53" s="457"/>
      <c r="J53" s="457"/>
      <c r="K53" s="457"/>
      <c r="L53" s="457"/>
      <c r="M53" s="457"/>
      <c r="N53" s="457"/>
      <c r="O53" s="457"/>
      <c r="P53" s="457"/>
      <c r="Q53" s="458"/>
    </row>
    <row r="54" spans="2:17" x14ac:dyDescent="0.3">
      <c r="B54" s="221"/>
      <c r="C54" s="38"/>
      <c r="D54" s="38"/>
      <c r="E54" s="38"/>
      <c r="F54" s="38"/>
      <c r="G54" s="38"/>
      <c r="H54" s="38"/>
      <c r="I54" s="38"/>
      <c r="J54" s="38"/>
      <c r="K54" s="38"/>
      <c r="L54" s="49">
        <f>L47</f>
        <v>43800</v>
      </c>
      <c r="M54" s="49">
        <f t="shared" ref="M54:O54" si="6">M47</f>
        <v>44166</v>
      </c>
      <c r="N54" s="49">
        <f t="shared" si="6"/>
        <v>44532</v>
      </c>
      <c r="O54" s="49">
        <f t="shared" si="6"/>
        <v>44898</v>
      </c>
      <c r="P54" s="38"/>
      <c r="Q54" s="222"/>
    </row>
    <row r="55" spans="2:17" x14ac:dyDescent="0.3">
      <c r="B55" s="221" t="s">
        <v>23</v>
      </c>
      <c r="C55" s="38"/>
      <c r="D55" s="38"/>
      <c r="E55" s="38"/>
      <c r="F55" s="38"/>
      <c r="G55" s="38"/>
      <c r="H55" s="38"/>
      <c r="I55" s="38"/>
      <c r="J55" s="38"/>
      <c r="K55" s="38"/>
      <c r="L55" s="51">
        <f>'ANSYS- Financials'!D22</f>
        <v>451295</v>
      </c>
      <c r="M55" s="51">
        <f>'ANSYS- Financials'!E22</f>
        <v>433887</v>
      </c>
      <c r="N55" s="51">
        <f>'ANSYS- Financials'!F22</f>
        <v>454627</v>
      </c>
      <c r="O55" s="51">
        <f>'ANSYS- Financials'!G22</f>
        <v>523710</v>
      </c>
      <c r="P55" s="38"/>
      <c r="Q55" s="222"/>
    </row>
    <row r="56" spans="2:17" x14ac:dyDescent="0.3">
      <c r="B56" s="221" t="s">
        <v>139</v>
      </c>
      <c r="C56" s="38"/>
      <c r="D56" s="38"/>
      <c r="E56" s="38"/>
      <c r="F56" s="38"/>
      <c r="G56" s="38"/>
      <c r="H56" s="38"/>
      <c r="I56" s="38"/>
      <c r="J56" s="38"/>
      <c r="K56" s="38"/>
      <c r="L56" s="51">
        <f>'ANSYS- Financials'!D4</f>
        <v>1515892</v>
      </c>
      <c r="M56" s="51">
        <f>'ANSYS- Financials'!E4</f>
        <v>1681297</v>
      </c>
      <c r="N56" s="51">
        <f>'ANSYS- Financials'!F4</f>
        <v>1906715</v>
      </c>
      <c r="O56" s="51">
        <f>'ANSYS- Financials'!G4</f>
        <v>2065553</v>
      </c>
      <c r="P56" s="38"/>
      <c r="Q56" s="222"/>
    </row>
    <row r="57" spans="2:17" x14ac:dyDescent="0.3">
      <c r="B57" s="221" t="s">
        <v>39</v>
      </c>
      <c r="C57" s="38"/>
      <c r="D57" s="38"/>
      <c r="E57" s="38"/>
      <c r="F57" s="38"/>
      <c r="G57" s="38"/>
      <c r="H57" s="38"/>
      <c r="I57" s="38"/>
      <c r="J57" s="38"/>
      <c r="K57" s="38"/>
      <c r="L57" s="51">
        <f>'ANSYS- Financials'!D40</f>
        <v>4838887</v>
      </c>
      <c r="M57" s="51">
        <f>'ANSYS- Financials'!E40</f>
        <v>5940590</v>
      </c>
      <c r="N57" s="51">
        <f>'ANSYS- Financials'!F40</f>
        <v>6324314</v>
      </c>
      <c r="O57" s="51">
        <f>'ANSYS- Financials'!G40</f>
        <v>6687945</v>
      </c>
      <c r="P57" s="38"/>
      <c r="Q57" s="222"/>
    </row>
    <row r="58" spans="2:17" x14ac:dyDescent="0.3">
      <c r="B58" s="221" t="s">
        <v>141</v>
      </c>
      <c r="C58" s="38"/>
      <c r="D58" s="38"/>
      <c r="E58" s="38"/>
      <c r="F58" s="38"/>
      <c r="G58" s="38"/>
      <c r="H58" s="38"/>
      <c r="I58" s="38"/>
      <c r="J58" s="38"/>
      <c r="K58" s="38"/>
      <c r="L58" s="51">
        <f>'ANSYS- Financials'!D58</f>
        <v>3453379</v>
      </c>
      <c r="M58" s="51">
        <f>'ANSYS- Financials'!E58</f>
        <v>4097872</v>
      </c>
      <c r="N58" s="51">
        <f>'ANSYS- Financials'!F58</f>
        <v>4484048</v>
      </c>
      <c r="O58" s="51">
        <f>'ANSYS- Financials'!G58</f>
        <v>4865851</v>
      </c>
      <c r="P58" s="38"/>
      <c r="Q58" s="222"/>
    </row>
    <row r="59" spans="2:17" x14ac:dyDescent="0.3">
      <c r="B59" s="221" t="s">
        <v>142</v>
      </c>
      <c r="C59" s="38"/>
      <c r="D59" s="38"/>
      <c r="E59" s="38"/>
      <c r="F59" s="38"/>
      <c r="G59" s="38"/>
      <c r="H59" s="38"/>
      <c r="I59" s="38"/>
      <c r="J59" s="38"/>
      <c r="K59" s="38"/>
      <c r="L59" s="67">
        <f>L55/L56</f>
        <v>0.29770920355803709</v>
      </c>
      <c r="M59" s="67">
        <f t="shared" ref="M59:O59" si="7">M55/M56</f>
        <v>0.25806683768542976</v>
      </c>
      <c r="N59" s="67">
        <f t="shared" si="7"/>
        <v>0.23843469002971079</v>
      </c>
      <c r="O59" s="67">
        <f t="shared" si="7"/>
        <v>0.25354469238988298</v>
      </c>
      <c r="P59" s="38"/>
      <c r="Q59" s="222"/>
    </row>
    <row r="60" spans="2:17" x14ac:dyDescent="0.3">
      <c r="B60" s="221" t="s">
        <v>143</v>
      </c>
      <c r="C60" s="38"/>
      <c r="D60" s="38"/>
      <c r="E60" s="38"/>
      <c r="F60" s="38"/>
      <c r="G60" s="38"/>
      <c r="H60" s="38"/>
      <c r="I60" s="38"/>
      <c r="J60" s="38"/>
      <c r="K60" s="38"/>
      <c r="L60" s="39">
        <f>L56/L57</f>
        <v>0.3132728662603611</v>
      </c>
      <c r="M60" s="39">
        <f t="shared" ref="M60:O60" si="8">M56/M57</f>
        <v>0.28301852172932318</v>
      </c>
      <c r="N60" s="39">
        <f t="shared" si="8"/>
        <v>0.30148961610698016</v>
      </c>
      <c r="O60" s="39">
        <f t="shared" si="8"/>
        <v>0.30884718699092173</v>
      </c>
      <c r="P60" s="38"/>
      <c r="Q60" s="222"/>
    </row>
    <row r="61" spans="2:17" x14ac:dyDescent="0.3">
      <c r="B61" s="221" t="s">
        <v>144</v>
      </c>
      <c r="C61" s="38"/>
      <c r="D61" s="38"/>
      <c r="E61" s="38"/>
      <c r="F61" s="38"/>
      <c r="G61" s="38"/>
      <c r="H61" s="38"/>
      <c r="I61" s="38"/>
      <c r="J61" s="38"/>
      <c r="K61" s="38"/>
      <c r="L61" s="39">
        <f>L57/L58</f>
        <v>1.4012035748175917</v>
      </c>
      <c r="M61" s="39">
        <f t="shared" ref="M61:O61" si="9">M57/M58</f>
        <v>1.4496768078651554</v>
      </c>
      <c r="N61" s="39">
        <f t="shared" si="9"/>
        <v>1.4104028324406874</v>
      </c>
      <c r="O61" s="39">
        <f t="shared" si="9"/>
        <v>1.3744656381792208</v>
      </c>
      <c r="P61" s="38"/>
      <c r="Q61" s="222"/>
    </row>
    <row r="62" spans="2:17" x14ac:dyDescent="0.3">
      <c r="B62" s="230" t="s">
        <v>145</v>
      </c>
      <c r="C62" s="231"/>
      <c r="D62" s="231"/>
      <c r="E62" s="231"/>
      <c r="F62" s="231"/>
      <c r="G62" s="231"/>
      <c r="H62" s="231"/>
      <c r="I62" s="231"/>
      <c r="J62" s="231"/>
      <c r="K62" s="231"/>
      <c r="L62" s="232">
        <f>L59*L60*L61</f>
        <v>0.13068215217617296</v>
      </c>
      <c r="M62" s="232">
        <f t="shared" ref="M62:O62" si="10">M59*M60*M61</f>
        <v>0.10588105240964091</v>
      </c>
      <c r="N62" s="232">
        <f t="shared" si="10"/>
        <v>0.10138763010565455</v>
      </c>
      <c r="O62" s="232">
        <f t="shared" si="10"/>
        <v>0.1076296828653405</v>
      </c>
      <c r="P62" s="231"/>
      <c r="Q62" s="233"/>
    </row>
    <row r="63" spans="2:17" x14ac:dyDescent="0.3">
      <c r="B63" s="221"/>
      <c r="C63" s="38"/>
      <c r="D63" s="38"/>
      <c r="E63" s="38"/>
      <c r="F63" s="38"/>
      <c r="G63" s="38"/>
      <c r="H63" s="38"/>
      <c r="I63" s="38"/>
      <c r="J63" s="38"/>
      <c r="K63" s="38"/>
      <c r="L63" s="38"/>
      <c r="M63" s="38"/>
      <c r="N63" s="38"/>
      <c r="O63" s="38"/>
      <c r="P63" s="38"/>
      <c r="Q63" s="222"/>
    </row>
    <row r="64" spans="2:17" x14ac:dyDescent="0.3">
      <c r="B64" s="456" t="s">
        <v>208</v>
      </c>
      <c r="C64" s="457"/>
      <c r="D64" s="457"/>
      <c r="E64" s="457"/>
      <c r="F64" s="457"/>
      <c r="G64" s="457"/>
      <c r="H64" s="457"/>
      <c r="I64" s="457"/>
      <c r="J64" s="457"/>
      <c r="K64" s="457"/>
      <c r="L64" s="457"/>
      <c r="M64" s="457"/>
      <c r="N64" s="457"/>
      <c r="O64" s="457"/>
      <c r="P64" s="457"/>
      <c r="Q64" s="458"/>
    </row>
    <row r="65" spans="2:17" x14ac:dyDescent="0.3">
      <c r="B65" s="221"/>
      <c r="C65" s="38"/>
      <c r="D65" s="38"/>
      <c r="E65" s="38"/>
      <c r="F65" s="38"/>
      <c r="G65" s="38"/>
      <c r="H65" s="38"/>
      <c r="I65" s="38"/>
      <c r="J65" s="38"/>
      <c r="K65" s="38"/>
      <c r="L65" s="49">
        <f>L54</f>
        <v>43800</v>
      </c>
      <c r="M65" s="49">
        <f t="shared" ref="M65:O65" si="11">M54</f>
        <v>44166</v>
      </c>
      <c r="N65" s="49">
        <f t="shared" si="11"/>
        <v>44532</v>
      </c>
      <c r="O65" s="49">
        <f t="shared" si="11"/>
        <v>44898</v>
      </c>
      <c r="P65" s="38"/>
      <c r="Q65" s="222"/>
    </row>
    <row r="66" spans="2:17" x14ac:dyDescent="0.3">
      <c r="B66" s="221" t="s">
        <v>23</v>
      </c>
      <c r="C66" s="38"/>
      <c r="D66" s="38"/>
      <c r="E66" s="38"/>
      <c r="F66" s="38"/>
      <c r="G66" s="38"/>
      <c r="H66" s="38"/>
      <c r="I66" s="38"/>
      <c r="J66" s="38"/>
      <c r="K66" s="38"/>
      <c r="L66" s="51">
        <f>L55</f>
        <v>451295</v>
      </c>
      <c r="M66" s="51">
        <f t="shared" ref="M66:O66" si="12">M55</f>
        <v>433887</v>
      </c>
      <c r="N66" s="51">
        <f t="shared" si="12"/>
        <v>454627</v>
      </c>
      <c r="O66" s="51">
        <f t="shared" si="12"/>
        <v>523710</v>
      </c>
      <c r="P66" s="38"/>
      <c r="Q66" s="222"/>
    </row>
    <row r="67" spans="2:17" x14ac:dyDescent="0.3">
      <c r="B67" s="221" t="s">
        <v>139</v>
      </c>
      <c r="C67" s="38"/>
      <c r="D67" s="38"/>
      <c r="E67" s="38"/>
      <c r="F67" s="38"/>
      <c r="G67" s="38"/>
      <c r="H67" s="38"/>
      <c r="I67" s="38"/>
      <c r="J67" s="38"/>
      <c r="K67" s="38"/>
      <c r="L67" s="51">
        <f>L56</f>
        <v>1515892</v>
      </c>
      <c r="M67" s="51">
        <f t="shared" ref="M67:O67" si="13">M56</f>
        <v>1681297</v>
      </c>
      <c r="N67" s="51">
        <f t="shared" si="13"/>
        <v>1906715</v>
      </c>
      <c r="O67" s="51">
        <f t="shared" si="13"/>
        <v>2065553</v>
      </c>
      <c r="P67" s="38"/>
      <c r="Q67" s="222"/>
    </row>
    <row r="68" spans="2:17" x14ac:dyDescent="0.3">
      <c r="B68" s="221" t="s">
        <v>39</v>
      </c>
      <c r="C68" s="38"/>
      <c r="D68" s="38"/>
      <c r="E68" s="38"/>
      <c r="F68" s="38"/>
      <c r="G68" s="38"/>
      <c r="H68" s="38"/>
      <c r="I68" s="38"/>
      <c r="J68" s="38"/>
      <c r="K68" s="38"/>
      <c r="L68" s="51">
        <f>L57</f>
        <v>4838887</v>
      </c>
      <c r="M68" s="51">
        <f t="shared" ref="M68:O68" si="14">M57</f>
        <v>5940590</v>
      </c>
      <c r="N68" s="51">
        <f t="shared" si="14"/>
        <v>6324314</v>
      </c>
      <c r="O68" s="51">
        <f t="shared" si="14"/>
        <v>6687945</v>
      </c>
      <c r="P68" s="38"/>
      <c r="Q68" s="222"/>
    </row>
    <row r="69" spans="2:17" x14ac:dyDescent="0.3">
      <c r="B69" s="221" t="s">
        <v>142</v>
      </c>
      <c r="C69" s="38"/>
      <c r="D69" s="38"/>
      <c r="E69" s="38"/>
      <c r="F69" s="38"/>
      <c r="G69" s="38"/>
      <c r="H69" s="38"/>
      <c r="I69" s="38"/>
      <c r="J69" s="38"/>
      <c r="K69" s="38"/>
      <c r="L69" s="67">
        <f>L66/L67</f>
        <v>0.29770920355803709</v>
      </c>
      <c r="M69" s="67">
        <f t="shared" ref="M69:O69" si="15">M66/M67</f>
        <v>0.25806683768542976</v>
      </c>
      <c r="N69" s="67">
        <f t="shared" si="15"/>
        <v>0.23843469002971079</v>
      </c>
      <c r="O69" s="67">
        <f t="shared" si="15"/>
        <v>0.25354469238988298</v>
      </c>
      <c r="P69" s="38"/>
      <c r="Q69" s="222"/>
    </row>
    <row r="70" spans="2:17" x14ac:dyDescent="0.3">
      <c r="B70" s="221" t="s">
        <v>143</v>
      </c>
      <c r="C70" s="38"/>
      <c r="D70" s="38"/>
      <c r="E70" s="38"/>
      <c r="F70" s="38"/>
      <c r="G70" s="38"/>
      <c r="H70" s="38"/>
      <c r="I70" s="38"/>
      <c r="J70" s="38"/>
      <c r="K70" s="38"/>
      <c r="L70" s="39">
        <f>L67/L68</f>
        <v>0.3132728662603611</v>
      </c>
      <c r="M70" s="39">
        <f t="shared" ref="M70:O70" si="16">M67/M68</f>
        <v>0.28301852172932318</v>
      </c>
      <c r="N70" s="39">
        <f t="shared" si="16"/>
        <v>0.30148961610698016</v>
      </c>
      <c r="O70" s="39">
        <f t="shared" si="16"/>
        <v>0.30884718699092173</v>
      </c>
      <c r="P70" s="38"/>
      <c r="Q70" s="222"/>
    </row>
    <row r="71" spans="2:17" x14ac:dyDescent="0.3">
      <c r="B71" s="230" t="s">
        <v>147</v>
      </c>
      <c r="C71" s="231"/>
      <c r="D71" s="231"/>
      <c r="E71" s="231"/>
      <c r="F71" s="231"/>
      <c r="G71" s="231"/>
      <c r="H71" s="231"/>
      <c r="I71" s="231"/>
      <c r="J71" s="231"/>
      <c r="K71" s="231"/>
      <c r="L71" s="232">
        <f>L69*L70</f>
        <v>9.3264215510715578E-2</v>
      </c>
      <c r="M71" s="232">
        <f t="shared" ref="M71:O71" si="17">M69*M70</f>
        <v>7.3037694909091525E-2</v>
      </c>
      <c r="N71" s="232">
        <f t="shared" si="17"/>
        <v>7.1885583163644323E-2</v>
      </c>
      <c r="O71" s="232">
        <f t="shared" si="17"/>
        <v>7.8306565021093913E-2</v>
      </c>
      <c r="P71" s="231"/>
      <c r="Q71" s="233"/>
    </row>
    <row r="72" spans="2:17" x14ac:dyDescent="0.3">
      <c r="B72" s="221" t="s">
        <v>194</v>
      </c>
      <c r="C72" s="38"/>
      <c r="D72" s="38"/>
      <c r="E72" s="38"/>
      <c r="F72" s="38"/>
      <c r="G72" s="38"/>
      <c r="H72" s="38"/>
      <c r="I72" s="38"/>
      <c r="J72" s="38"/>
      <c r="K72" s="38"/>
      <c r="L72" s="38"/>
      <c r="M72" s="38"/>
      <c r="N72" s="38"/>
      <c r="O72" s="38"/>
      <c r="P72" s="38"/>
      <c r="Q72" s="222"/>
    </row>
    <row r="73" spans="2:17" x14ac:dyDescent="0.3">
      <c r="B73" s="221" t="s">
        <v>265</v>
      </c>
      <c r="C73" s="38"/>
      <c r="D73" s="38"/>
      <c r="E73" s="38"/>
      <c r="F73" s="38"/>
      <c r="G73" s="38"/>
      <c r="H73" s="38"/>
      <c r="I73" s="38"/>
      <c r="J73" s="38"/>
      <c r="K73" s="38"/>
      <c r="L73" s="38"/>
      <c r="M73" s="38"/>
      <c r="N73" s="38"/>
      <c r="O73" s="38"/>
      <c r="P73" s="38"/>
      <c r="Q73" s="222"/>
    </row>
    <row r="74" spans="2:17" x14ac:dyDescent="0.3">
      <c r="B74" s="221" t="s">
        <v>266</v>
      </c>
      <c r="C74" s="38"/>
      <c r="D74" s="38"/>
      <c r="E74" s="38"/>
      <c r="F74" s="38"/>
      <c r="G74" s="38"/>
      <c r="H74" s="38"/>
      <c r="I74" s="38"/>
      <c r="J74" s="38"/>
      <c r="K74" s="38"/>
      <c r="L74" s="38"/>
      <c r="M74" s="38"/>
      <c r="N74" s="38"/>
      <c r="O74" s="38"/>
      <c r="P74" s="38"/>
      <c r="Q74" s="222"/>
    </row>
    <row r="75" spans="2:17" x14ac:dyDescent="0.3">
      <c r="B75" s="221" t="s">
        <v>267</v>
      </c>
      <c r="C75" s="38"/>
      <c r="D75" s="38"/>
      <c r="E75" s="38"/>
      <c r="F75" s="38"/>
      <c r="G75" s="38"/>
      <c r="H75" s="38"/>
      <c r="I75" s="38"/>
      <c r="J75" s="38"/>
      <c r="K75" s="38"/>
      <c r="L75" s="38"/>
      <c r="M75" s="38"/>
      <c r="N75" s="38"/>
      <c r="O75" s="38"/>
      <c r="P75" s="38"/>
      <c r="Q75" s="222"/>
    </row>
    <row r="76" spans="2:17" ht="15" thickBot="1" x14ac:dyDescent="0.35">
      <c r="B76" s="234"/>
      <c r="C76" s="225"/>
      <c r="D76" s="225"/>
      <c r="E76" s="225"/>
      <c r="F76" s="225"/>
      <c r="G76" s="225"/>
      <c r="H76" s="225"/>
      <c r="I76" s="225"/>
      <c r="J76" s="225"/>
      <c r="K76" s="225"/>
      <c r="L76" s="225"/>
      <c r="M76" s="225"/>
      <c r="N76" s="225"/>
      <c r="O76" s="225"/>
      <c r="P76" s="225"/>
      <c r="Q76" s="228"/>
    </row>
    <row r="78" spans="2:17" x14ac:dyDescent="0.3">
      <c r="B78" s="459" t="s">
        <v>209</v>
      </c>
      <c r="C78" s="454"/>
      <c r="D78" s="454"/>
      <c r="E78" s="454"/>
      <c r="F78" s="454"/>
      <c r="G78" s="454"/>
      <c r="H78" s="454"/>
      <c r="I78" s="454"/>
      <c r="J78" s="454"/>
      <c r="K78" s="454"/>
      <c r="L78" s="454"/>
      <c r="M78" s="454"/>
      <c r="N78" s="454"/>
      <c r="O78" s="454"/>
      <c r="P78" s="454"/>
      <c r="Q78" s="460"/>
    </row>
    <row r="79" spans="2:17" x14ac:dyDescent="0.3">
      <c r="B79" s="235"/>
      <c r="C79" s="38"/>
      <c r="D79" s="38"/>
      <c r="E79" s="38"/>
      <c r="F79" s="38"/>
      <c r="G79" s="38"/>
      <c r="H79" s="38"/>
      <c r="I79" s="38"/>
      <c r="J79" s="38"/>
      <c r="K79" s="38"/>
      <c r="L79" s="38"/>
      <c r="M79" s="38"/>
      <c r="N79" s="38"/>
      <c r="O79" s="38"/>
      <c r="P79" s="38"/>
      <c r="Q79" s="236"/>
    </row>
    <row r="80" spans="2:17" x14ac:dyDescent="0.3">
      <c r="B80" s="461" t="s">
        <v>151</v>
      </c>
      <c r="C80" s="457"/>
      <c r="D80" s="457"/>
      <c r="E80" s="457"/>
      <c r="F80" s="457"/>
      <c r="G80" s="457"/>
      <c r="H80" s="457"/>
      <c r="I80" s="457"/>
      <c r="J80" s="457"/>
      <c r="K80" s="457"/>
      <c r="L80" s="457"/>
      <c r="M80" s="457"/>
      <c r="N80" s="457"/>
      <c r="O80" s="457"/>
      <c r="P80" s="457"/>
      <c r="Q80" s="462"/>
    </row>
    <row r="81" spans="2:17" x14ac:dyDescent="0.3">
      <c r="B81" s="235"/>
      <c r="C81" s="38"/>
      <c r="D81" s="38"/>
      <c r="E81" s="38"/>
      <c r="F81" s="38"/>
      <c r="G81" s="38"/>
      <c r="H81" s="38"/>
      <c r="I81" s="38"/>
      <c r="J81" s="38"/>
      <c r="K81" s="38"/>
      <c r="L81" s="49">
        <f>L65</f>
        <v>43800</v>
      </c>
      <c r="M81" s="49">
        <f t="shared" ref="M81:O81" si="18">M65</f>
        <v>44166</v>
      </c>
      <c r="N81" s="49">
        <f t="shared" si="18"/>
        <v>44532</v>
      </c>
      <c r="O81" s="49">
        <f t="shared" si="18"/>
        <v>44898</v>
      </c>
      <c r="P81" s="38"/>
      <c r="Q81" s="236"/>
    </row>
    <row r="82" spans="2:17" x14ac:dyDescent="0.3">
      <c r="B82" s="235" t="s">
        <v>152</v>
      </c>
      <c r="C82" s="38"/>
      <c r="D82" s="38"/>
      <c r="E82" s="38"/>
      <c r="F82" s="38"/>
      <c r="G82" s="38"/>
      <c r="H82" s="38"/>
      <c r="I82" s="38"/>
      <c r="J82" s="38"/>
      <c r="K82" s="38"/>
      <c r="L82" s="51">
        <f>'ANSYS- Financials'!D32-'ANSYS- Financials'!D45</f>
        <v>860340</v>
      </c>
      <c r="M82" s="51">
        <f>'ANSYS- Financials'!E32-'ANSYS- Financials'!E45</f>
        <v>990412</v>
      </c>
      <c r="N82" s="51">
        <f>'ANSYS- Financials'!F32-'ANSYS- Financials'!F45</f>
        <v>860082</v>
      </c>
      <c r="O82" s="51">
        <f>'ANSYS- Financials'!G32-'ANSYS- Financials'!G45</f>
        <v>869286</v>
      </c>
      <c r="P82" s="38"/>
      <c r="Q82" s="236"/>
    </row>
    <row r="83" spans="2:17" x14ac:dyDescent="0.3">
      <c r="B83" s="235" t="s">
        <v>39</v>
      </c>
      <c r="C83" s="38"/>
      <c r="D83" s="38"/>
      <c r="E83" s="38"/>
      <c r="F83" s="38"/>
      <c r="G83" s="38"/>
      <c r="H83" s="38"/>
      <c r="I83" s="38"/>
      <c r="J83" s="38"/>
      <c r="K83" s="38"/>
      <c r="L83" s="51">
        <f>L68</f>
        <v>4838887</v>
      </c>
      <c r="M83" s="51">
        <f t="shared" ref="M83:O83" si="19">M68</f>
        <v>5940590</v>
      </c>
      <c r="N83" s="51">
        <f t="shared" si="19"/>
        <v>6324314</v>
      </c>
      <c r="O83" s="51">
        <f t="shared" si="19"/>
        <v>6687945</v>
      </c>
      <c r="P83" s="38"/>
      <c r="Q83" s="236"/>
    </row>
    <row r="84" spans="2:17" x14ac:dyDescent="0.3">
      <c r="B84" s="235" t="s">
        <v>161</v>
      </c>
      <c r="C84" s="38"/>
      <c r="D84" s="38"/>
      <c r="E84" s="38"/>
      <c r="F84" s="38"/>
      <c r="G84" s="38"/>
      <c r="H84" s="38"/>
      <c r="I84" s="38"/>
      <c r="J84" s="38"/>
      <c r="K84" s="38"/>
      <c r="L84" s="39">
        <f>L82/L83</f>
        <v>0.17779708432951627</v>
      </c>
      <c r="M84" s="39">
        <f t="shared" ref="M84:O84" si="20">M82/M83</f>
        <v>0.16671946725830264</v>
      </c>
      <c r="N84" s="39">
        <f t="shared" si="20"/>
        <v>0.13599609380558902</v>
      </c>
      <c r="O84" s="39">
        <f t="shared" si="20"/>
        <v>0.12997804258258702</v>
      </c>
      <c r="P84" s="38"/>
      <c r="Q84" s="236"/>
    </row>
    <row r="85" spans="2:17" x14ac:dyDescent="0.3">
      <c r="B85" s="235"/>
      <c r="C85" s="38"/>
      <c r="D85" s="38"/>
      <c r="E85" s="38"/>
      <c r="F85" s="38"/>
      <c r="G85" s="38"/>
      <c r="H85" s="38"/>
      <c r="I85" s="38"/>
      <c r="J85" s="38"/>
      <c r="K85" s="38"/>
      <c r="L85" s="38"/>
      <c r="M85" s="38"/>
      <c r="N85" s="38"/>
      <c r="O85" s="38"/>
      <c r="P85" s="38"/>
      <c r="Q85" s="236"/>
    </row>
    <row r="86" spans="2:17" x14ac:dyDescent="0.3">
      <c r="B86" s="461" t="s">
        <v>153</v>
      </c>
      <c r="C86" s="457"/>
      <c r="D86" s="457"/>
      <c r="E86" s="457"/>
      <c r="F86" s="457"/>
      <c r="G86" s="457"/>
      <c r="H86" s="457"/>
      <c r="I86" s="457"/>
      <c r="J86" s="457"/>
      <c r="K86" s="457"/>
      <c r="L86" s="457"/>
      <c r="M86" s="457"/>
      <c r="N86" s="457"/>
      <c r="O86" s="457"/>
      <c r="P86" s="457"/>
      <c r="Q86" s="462"/>
    </row>
    <row r="87" spans="2:17" x14ac:dyDescent="0.3">
      <c r="B87" s="235"/>
      <c r="C87" s="38"/>
      <c r="D87" s="38"/>
      <c r="E87" s="38"/>
      <c r="F87" s="38"/>
      <c r="G87" s="38"/>
      <c r="H87" s="38"/>
      <c r="I87" s="38"/>
      <c r="J87" s="38"/>
      <c r="K87" s="38"/>
      <c r="L87" s="49">
        <f>L81</f>
        <v>43800</v>
      </c>
      <c r="M87" s="49">
        <f t="shared" ref="M87:O87" si="21">M81</f>
        <v>44166</v>
      </c>
      <c r="N87" s="49">
        <f t="shared" si="21"/>
        <v>44532</v>
      </c>
      <c r="O87" s="49">
        <f t="shared" si="21"/>
        <v>44898</v>
      </c>
      <c r="P87" s="38"/>
      <c r="Q87" s="236"/>
    </row>
    <row r="88" spans="2:17" x14ac:dyDescent="0.3">
      <c r="B88" s="235" t="s">
        <v>186</v>
      </c>
      <c r="C88" s="38"/>
      <c r="D88" s="38"/>
      <c r="E88" s="38"/>
      <c r="F88" s="38"/>
      <c r="G88" s="38"/>
      <c r="H88" s="38"/>
      <c r="I88" s="38"/>
      <c r="J88" s="38"/>
      <c r="K88" s="38"/>
      <c r="L88" s="51">
        <f>'ANSYS- Financials'!D14</f>
        <v>526044</v>
      </c>
      <c r="M88" s="51">
        <f>'ANSYS- Financials'!E14</f>
        <v>504913</v>
      </c>
      <c r="N88" s="51">
        <f>'ANSYS- Financials'!F14</f>
        <v>527759</v>
      </c>
      <c r="O88" s="51">
        <f>'ANSYS- Financials'!G14</f>
        <v>598041</v>
      </c>
      <c r="P88" s="38"/>
      <c r="Q88" s="236"/>
    </row>
    <row r="89" spans="2:17" x14ac:dyDescent="0.3">
      <c r="B89" s="235" t="s">
        <v>39</v>
      </c>
      <c r="C89" s="38"/>
      <c r="D89" s="38"/>
      <c r="E89" s="38"/>
      <c r="F89" s="38"/>
      <c r="G89" s="38"/>
      <c r="H89" s="38"/>
      <c r="I89" s="38"/>
      <c r="J89" s="38"/>
      <c r="K89" s="38"/>
      <c r="L89" s="51">
        <f>L68</f>
        <v>4838887</v>
      </c>
      <c r="M89" s="51">
        <f t="shared" ref="M89:O89" si="22">M68</f>
        <v>5940590</v>
      </c>
      <c r="N89" s="51">
        <f t="shared" si="22"/>
        <v>6324314</v>
      </c>
      <c r="O89" s="51">
        <f t="shared" si="22"/>
        <v>6687945</v>
      </c>
      <c r="P89" s="38"/>
      <c r="Q89" s="236"/>
    </row>
    <row r="90" spans="2:17" x14ac:dyDescent="0.3">
      <c r="B90" s="235" t="s">
        <v>237</v>
      </c>
      <c r="C90" s="38"/>
      <c r="D90" s="38"/>
      <c r="E90" s="38"/>
      <c r="F90" s="38"/>
      <c r="G90" s="38"/>
      <c r="H90" s="38"/>
      <c r="I90" s="38"/>
      <c r="J90" s="38"/>
      <c r="K90" s="38"/>
      <c r="L90" s="39">
        <f>L88/L89</f>
        <v>0.10871177607577941</v>
      </c>
      <c r="M90" s="39">
        <f t="shared" ref="M90:O90" si="23">M88/M89</f>
        <v>8.4993746412393378E-2</v>
      </c>
      <c r="N90" s="39">
        <f t="shared" si="23"/>
        <v>8.3449208878623046E-2</v>
      </c>
      <c r="O90" s="39">
        <f t="shared" si="23"/>
        <v>8.9420741348799973E-2</v>
      </c>
      <c r="P90" s="38"/>
      <c r="Q90" s="236"/>
    </row>
    <row r="91" spans="2:17" x14ac:dyDescent="0.3">
      <c r="B91" s="235"/>
      <c r="C91" s="38"/>
      <c r="D91" s="38"/>
      <c r="E91" s="38"/>
      <c r="F91" s="38"/>
      <c r="G91" s="38"/>
      <c r="H91" s="38"/>
      <c r="I91" s="38"/>
      <c r="J91" s="38"/>
      <c r="K91" s="38"/>
      <c r="L91" s="38"/>
      <c r="M91" s="38"/>
      <c r="N91" s="38"/>
      <c r="O91" s="38"/>
      <c r="P91" s="38"/>
      <c r="Q91" s="236"/>
    </row>
    <row r="92" spans="2:17" x14ac:dyDescent="0.3">
      <c r="B92" s="461" t="s">
        <v>154</v>
      </c>
      <c r="C92" s="457"/>
      <c r="D92" s="457"/>
      <c r="E92" s="457"/>
      <c r="F92" s="457"/>
      <c r="G92" s="457"/>
      <c r="H92" s="457"/>
      <c r="I92" s="457"/>
      <c r="J92" s="457"/>
      <c r="K92" s="457"/>
      <c r="L92" s="457"/>
      <c r="M92" s="457"/>
      <c r="N92" s="457"/>
      <c r="O92" s="457"/>
      <c r="P92" s="457"/>
      <c r="Q92" s="462"/>
    </row>
    <row r="93" spans="2:17" x14ac:dyDescent="0.3">
      <c r="B93" s="235"/>
      <c r="C93" s="38"/>
      <c r="D93" s="38"/>
      <c r="E93" s="38"/>
      <c r="F93" s="38"/>
      <c r="G93" s="38"/>
      <c r="H93" s="38"/>
      <c r="I93" s="38"/>
      <c r="J93" s="38"/>
      <c r="K93" s="38"/>
      <c r="L93" s="49">
        <f>L87</f>
        <v>43800</v>
      </c>
      <c r="M93" s="49">
        <f t="shared" ref="M93:O93" si="24">M87</f>
        <v>44166</v>
      </c>
      <c r="N93" s="49">
        <f t="shared" si="24"/>
        <v>44532</v>
      </c>
      <c r="O93" s="49">
        <f t="shared" si="24"/>
        <v>44898</v>
      </c>
      <c r="P93" s="38"/>
      <c r="Q93" s="236"/>
    </row>
    <row r="94" spans="2:17" x14ac:dyDescent="0.3">
      <c r="B94" s="235" t="s">
        <v>53</v>
      </c>
      <c r="C94" s="38"/>
      <c r="D94" s="38"/>
      <c r="E94" s="38"/>
      <c r="F94" s="38"/>
      <c r="G94" s="38"/>
      <c r="H94" s="38"/>
      <c r="I94" s="38"/>
      <c r="J94" s="38"/>
      <c r="K94" s="38"/>
      <c r="L94" s="51">
        <f>'ANSYS- Financials'!D55</f>
        <v>-1041831</v>
      </c>
      <c r="M94" s="51">
        <f>'ANSYS- Financials'!E55</f>
        <v>-1124102</v>
      </c>
      <c r="N94" s="51">
        <f>'ANSYS- Financials'!F55</f>
        <v>-1185707</v>
      </c>
      <c r="O94" s="51">
        <f>'ANSYS- Financials'!G55</f>
        <v>-1335627</v>
      </c>
      <c r="P94" s="38"/>
      <c r="Q94" s="236"/>
    </row>
    <row r="95" spans="2:17" x14ac:dyDescent="0.3">
      <c r="B95" s="235" t="s">
        <v>39</v>
      </c>
      <c r="C95" s="38"/>
      <c r="D95" s="38"/>
      <c r="E95" s="38"/>
      <c r="F95" s="38"/>
      <c r="G95" s="38"/>
      <c r="H95" s="38"/>
      <c r="I95" s="38"/>
      <c r="J95" s="38"/>
      <c r="K95" s="38"/>
      <c r="L95" s="51">
        <f>L89</f>
        <v>4838887</v>
      </c>
      <c r="M95" s="51">
        <f t="shared" ref="M95:O95" si="25">M89</f>
        <v>5940590</v>
      </c>
      <c r="N95" s="51">
        <f t="shared" si="25"/>
        <v>6324314</v>
      </c>
      <c r="O95" s="51">
        <f t="shared" si="25"/>
        <v>6687945</v>
      </c>
      <c r="P95" s="38"/>
      <c r="Q95" s="236"/>
    </row>
    <row r="96" spans="2:17" x14ac:dyDescent="0.3">
      <c r="B96" s="235" t="s">
        <v>238</v>
      </c>
      <c r="C96" s="38"/>
      <c r="D96" s="38"/>
      <c r="E96" s="38"/>
      <c r="F96" s="38"/>
      <c r="G96" s="38"/>
      <c r="H96" s="38"/>
      <c r="I96" s="38"/>
      <c r="J96" s="38"/>
      <c r="K96" s="38"/>
      <c r="L96" s="39">
        <f>L94/L95</f>
        <v>-0.21530384983158318</v>
      </c>
      <c r="M96" s="39">
        <f t="shared" ref="M96:O96" si="26">M94/M95</f>
        <v>-0.18922396596971008</v>
      </c>
      <c r="N96" s="39">
        <f t="shared" si="26"/>
        <v>-0.18748389153353234</v>
      </c>
      <c r="O96" s="39">
        <f t="shared" si="26"/>
        <v>-0.19970663634345079</v>
      </c>
      <c r="P96" s="38"/>
      <c r="Q96" s="236"/>
    </row>
    <row r="97" spans="2:17" x14ac:dyDescent="0.3">
      <c r="B97" s="235"/>
      <c r="C97" s="38"/>
      <c r="D97" s="38"/>
      <c r="E97" s="38"/>
      <c r="F97" s="38"/>
      <c r="G97" s="38"/>
      <c r="H97" s="38"/>
      <c r="I97" s="38"/>
      <c r="J97" s="38"/>
      <c r="K97" s="38"/>
      <c r="L97" s="38"/>
      <c r="M97" s="38"/>
      <c r="N97" s="38"/>
      <c r="O97" s="38"/>
      <c r="P97" s="38"/>
      <c r="Q97" s="236"/>
    </row>
    <row r="98" spans="2:17" x14ac:dyDescent="0.3">
      <c r="B98" s="461" t="s">
        <v>156</v>
      </c>
      <c r="C98" s="457"/>
      <c r="D98" s="457"/>
      <c r="E98" s="457"/>
      <c r="F98" s="457"/>
      <c r="G98" s="457"/>
      <c r="H98" s="457"/>
      <c r="I98" s="457"/>
      <c r="J98" s="457"/>
      <c r="K98" s="457"/>
      <c r="L98" s="457"/>
      <c r="M98" s="457"/>
      <c r="N98" s="457"/>
      <c r="O98" s="457"/>
      <c r="P98" s="457"/>
      <c r="Q98" s="462"/>
    </row>
    <row r="99" spans="2:17" x14ac:dyDescent="0.3">
      <c r="B99" s="235"/>
      <c r="C99" s="38"/>
      <c r="D99" s="38"/>
      <c r="E99" s="38"/>
      <c r="F99" s="38"/>
      <c r="G99" s="38"/>
      <c r="H99" s="38"/>
      <c r="I99" s="38"/>
      <c r="J99" s="38"/>
      <c r="K99" s="38"/>
      <c r="L99" s="49">
        <f>L93</f>
        <v>43800</v>
      </c>
      <c r="M99" s="49">
        <f t="shared" ref="M99:O99" si="27">M93</f>
        <v>44166</v>
      </c>
      <c r="N99" s="49">
        <f t="shared" si="27"/>
        <v>44532</v>
      </c>
      <c r="O99" s="49">
        <f t="shared" si="27"/>
        <v>44898</v>
      </c>
      <c r="P99" s="38"/>
      <c r="Q99" s="236"/>
    </row>
    <row r="100" spans="2:17" x14ac:dyDescent="0.3">
      <c r="B100" s="235" t="s">
        <v>213</v>
      </c>
      <c r="C100" s="38"/>
      <c r="D100" s="38"/>
      <c r="E100" s="38"/>
      <c r="F100" s="38"/>
      <c r="G100" s="38"/>
      <c r="H100" s="38"/>
      <c r="I100" s="38"/>
      <c r="J100" s="38"/>
      <c r="K100" s="38"/>
      <c r="L100" s="51">
        <f>'ANSYS- Financials'!D4</f>
        <v>1515892</v>
      </c>
      <c r="M100" s="51">
        <f>'ANSYS- Financials'!E4</f>
        <v>1681297</v>
      </c>
      <c r="N100" s="51">
        <f>'ANSYS- Financials'!F4</f>
        <v>1906715</v>
      </c>
      <c r="O100" s="51">
        <f>'ANSYS- Financials'!G4</f>
        <v>2065553</v>
      </c>
      <c r="P100" s="38"/>
      <c r="Q100" s="236"/>
    </row>
    <row r="101" spans="2:17" x14ac:dyDescent="0.3">
      <c r="B101" s="235" t="s">
        <v>39</v>
      </c>
      <c r="C101" s="38"/>
      <c r="D101" s="38"/>
      <c r="E101" s="38"/>
      <c r="F101" s="38"/>
      <c r="G101" s="38"/>
      <c r="H101" s="38"/>
      <c r="I101" s="38"/>
      <c r="J101" s="38"/>
      <c r="K101" s="38"/>
      <c r="L101" s="51">
        <f>'ANSYS- Financials'!D40</f>
        <v>4838887</v>
      </c>
      <c r="M101" s="51">
        <f>'ANSYS- Financials'!E40</f>
        <v>5940590</v>
      </c>
      <c r="N101" s="51">
        <f>'ANSYS- Financials'!F40</f>
        <v>6324314</v>
      </c>
      <c r="O101" s="51">
        <f>'ANSYS- Financials'!G40</f>
        <v>6687945</v>
      </c>
      <c r="P101" s="38"/>
      <c r="Q101" s="236"/>
    </row>
    <row r="102" spans="2:17" x14ac:dyDescent="0.3">
      <c r="B102" s="235" t="s">
        <v>239</v>
      </c>
      <c r="C102" s="38"/>
      <c r="D102" s="38"/>
      <c r="E102" s="38"/>
      <c r="F102" s="38"/>
      <c r="G102" s="38"/>
      <c r="H102" s="38"/>
      <c r="I102" s="38"/>
      <c r="J102" s="38"/>
      <c r="K102" s="38"/>
      <c r="L102" s="39">
        <f>L100/L101</f>
        <v>0.3132728662603611</v>
      </c>
      <c r="M102" s="39">
        <f t="shared" ref="M102:O102" si="28">M100/M101</f>
        <v>0.28301852172932318</v>
      </c>
      <c r="N102" s="39">
        <f t="shared" si="28"/>
        <v>0.30148961610698016</v>
      </c>
      <c r="O102" s="39">
        <f t="shared" si="28"/>
        <v>0.30884718699092173</v>
      </c>
      <c r="P102" s="38"/>
      <c r="Q102" s="236"/>
    </row>
    <row r="103" spans="2:17" x14ac:dyDescent="0.3">
      <c r="B103" s="235"/>
      <c r="C103" s="38"/>
      <c r="D103" s="38"/>
      <c r="E103" s="38"/>
      <c r="F103" s="38"/>
      <c r="G103" s="38"/>
      <c r="H103" s="38"/>
      <c r="I103" s="38"/>
      <c r="J103" s="38"/>
      <c r="K103" s="38"/>
      <c r="L103" s="38"/>
      <c r="M103" s="38"/>
      <c r="N103" s="38"/>
      <c r="O103" s="38"/>
      <c r="P103" s="38"/>
      <c r="Q103" s="236"/>
    </row>
    <row r="104" spans="2:17" x14ac:dyDescent="0.3">
      <c r="B104" s="461" t="s">
        <v>224</v>
      </c>
      <c r="C104" s="457"/>
      <c r="D104" s="457"/>
      <c r="E104" s="457"/>
      <c r="F104" s="457"/>
      <c r="G104" s="457"/>
      <c r="H104" s="457"/>
      <c r="I104" s="457"/>
      <c r="J104" s="457"/>
      <c r="K104" s="457"/>
      <c r="L104" s="457"/>
      <c r="M104" s="457"/>
      <c r="N104" s="457"/>
      <c r="O104" s="457"/>
      <c r="P104" s="457"/>
      <c r="Q104" s="462"/>
    </row>
    <row r="105" spans="2:17" x14ac:dyDescent="0.3">
      <c r="B105" s="235"/>
      <c r="C105" s="38"/>
      <c r="D105" s="38"/>
      <c r="E105" s="38"/>
      <c r="F105" s="38"/>
      <c r="G105" s="38"/>
      <c r="H105" s="38"/>
      <c r="I105" s="38"/>
      <c r="J105" s="38"/>
      <c r="K105" s="38"/>
      <c r="L105" s="49">
        <f>L99</f>
        <v>43800</v>
      </c>
      <c r="M105" s="49">
        <f t="shared" ref="M105:O105" si="29">M99</f>
        <v>44166</v>
      </c>
      <c r="N105" s="49">
        <f t="shared" si="29"/>
        <v>44532</v>
      </c>
      <c r="O105" s="49">
        <f t="shared" si="29"/>
        <v>44898</v>
      </c>
      <c r="P105" s="38"/>
      <c r="Q105" s="236"/>
    </row>
    <row r="106" spans="2:17" x14ac:dyDescent="0.3">
      <c r="B106" s="235" t="s">
        <v>160</v>
      </c>
      <c r="C106" s="38"/>
      <c r="D106" s="38"/>
      <c r="E106" s="38"/>
      <c r="F106" s="38"/>
      <c r="G106" s="38"/>
      <c r="H106" s="38"/>
      <c r="I106" s="38"/>
      <c r="J106" s="38"/>
      <c r="K106" s="38"/>
      <c r="L106" s="51">
        <f>'ANSYS- Financials'!D23</f>
        <v>22060000</v>
      </c>
      <c r="M106" s="51">
        <f>'ANSYS- Financials'!E23</f>
        <v>31240000</v>
      </c>
      <c r="N106" s="51">
        <f>'ANSYS- Financials'!F23</f>
        <v>34990000</v>
      </c>
      <c r="O106" s="51">
        <f>'ANSYS- Financials'!G23</f>
        <v>21040000</v>
      </c>
      <c r="P106" s="38"/>
      <c r="Q106" s="236"/>
    </row>
    <row r="107" spans="2:17" x14ac:dyDescent="0.3">
      <c r="B107" s="235" t="s">
        <v>159</v>
      </c>
      <c r="C107" s="38"/>
      <c r="D107" s="38"/>
      <c r="E107" s="38"/>
      <c r="F107" s="38"/>
      <c r="G107" s="38"/>
      <c r="H107" s="38"/>
      <c r="I107" s="38"/>
      <c r="J107" s="38"/>
      <c r="K107" s="38"/>
      <c r="L107" s="51">
        <f>'ANSYS- Financials'!D46</f>
        <v>423531</v>
      </c>
      <c r="M107" s="51">
        <f>'ANSYS- Financials'!E46</f>
        <v>798118</v>
      </c>
      <c r="N107" s="51">
        <f>'ANSYS- Financials'!F46</f>
        <v>753576</v>
      </c>
      <c r="O107" s="51">
        <f>'ANSYS- Financials'!G46</f>
        <v>753574</v>
      </c>
      <c r="P107" s="38"/>
      <c r="Q107" s="236"/>
    </row>
    <row r="108" spans="2:17" ht="15" thickBot="1" x14ac:dyDescent="0.35">
      <c r="B108" s="237" t="s">
        <v>240</v>
      </c>
      <c r="C108" s="238"/>
      <c r="D108" s="238"/>
      <c r="E108" s="238"/>
      <c r="F108" s="238"/>
      <c r="G108" s="238"/>
      <c r="H108" s="238"/>
      <c r="I108" s="238"/>
      <c r="J108" s="238"/>
      <c r="K108" s="238"/>
      <c r="L108" s="239">
        <f>L106/L107</f>
        <v>52.085915788926904</v>
      </c>
      <c r="M108" s="239">
        <f t="shared" ref="M108:O108" si="30">M106/M107</f>
        <v>39.142081747310549</v>
      </c>
      <c r="N108" s="239">
        <f t="shared" si="30"/>
        <v>46.431945815684152</v>
      </c>
      <c r="O108" s="239">
        <f t="shared" si="30"/>
        <v>27.920283873912847</v>
      </c>
      <c r="P108" s="238"/>
      <c r="Q108" s="240"/>
    </row>
    <row r="110" spans="2:17" x14ac:dyDescent="0.3">
      <c r="B110" s="453" t="s">
        <v>188</v>
      </c>
      <c r="C110" s="454"/>
      <c r="D110" s="454"/>
      <c r="E110" s="454"/>
      <c r="F110" s="454"/>
      <c r="G110" s="454"/>
      <c r="H110" s="454"/>
      <c r="I110" s="454"/>
      <c r="J110" s="454"/>
      <c r="K110" s="454"/>
      <c r="L110" s="454"/>
      <c r="M110" s="454"/>
      <c r="N110" s="454"/>
      <c r="O110" s="454"/>
      <c r="P110" s="454"/>
      <c r="Q110" s="455"/>
    </row>
    <row r="111" spans="2:17" x14ac:dyDescent="0.3">
      <c r="B111" s="221"/>
      <c r="C111" s="38"/>
      <c r="D111" s="162" t="s">
        <v>169</v>
      </c>
      <c r="E111" s="162" t="s">
        <v>170</v>
      </c>
      <c r="F111" s="162" t="s">
        <v>171</v>
      </c>
      <c r="G111" s="162" t="s">
        <v>172</v>
      </c>
      <c r="H111" s="162" t="s">
        <v>173</v>
      </c>
      <c r="I111" s="38"/>
      <c r="J111" s="38"/>
      <c r="K111" s="38"/>
      <c r="L111" s="38"/>
      <c r="M111" s="38"/>
      <c r="N111" s="38"/>
      <c r="O111" s="38" t="s">
        <v>166</v>
      </c>
      <c r="P111" s="38"/>
      <c r="Q111" s="222" t="s">
        <v>174</v>
      </c>
    </row>
    <row r="112" spans="2:17" x14ac:dyDescent="0.3">
      <c r="B112" s="221" t="s">
        <v>226</v>
      </c>
      <c r="C112" s="38" t="s">
        <v>168</v>
      </c>
      <c r="D112" s="88">
        <v>1.2</v>
      </c>
      <c r="E112" s="88">
        <v>3.3</v>
      </c>
      <c r="F112" s="88">
        <v>1.4</v>
      </c>
      <c r="G112" s="88">
        <v>1</v>
      </c>
      <c r="H112" s="88">
        <v>0.6</v>
      </c>
      <c r="I112" s="38"/>
      <c r="J112" s="38"/>
      <c r="K112" s="38"/>
      <c r="L112" s="38"/>
      <c r="M112" s="38"/>
      <c r="N112" s="38"/>
      <c r="O112" s="38"/>
      <c r="P112" s="38"/>
      <c r="Q112" s="222"/>
    </row>
    <row r="113" spans="2:17" x14ac:dyDescent="0.3">
      <c r="B113" s="223">
        <f t="array" ref="B113:B116">TRANSPOSE(L105:O105)</f>
        <v>43800</v>
      </c>
      <c r="C113" s="38"/>
      <c r="D113" s="39">
        <f t="array" ref="D113:D116">TRANSPOSE(L84:O84)</f>
        <v>0.17779708432951627</v>
      </c>
      <c r="E113" s="39">
        <f t="array" ref="E113:E116">TRANSPOSE(L90:O90)</f>
        <v>0.10871177607577941</v>
      </c>
      <c r="F113" s="39">
        <f t="array" ref="F113:F116">TRANSPOSE(L96:O96)</f>
        <v>-0.21530384983158318</v>
      </c>
      <c r="G113" s="39">
        <f t="array" ref="G113:G116">TRANSPOSE(L102:O102)</f>
        <v>0.3132728662603611</v>
      </c>
      <c r="H113" s="39">
        <f t="array" ref="H113:H116">TRANSPOSE(L108:O108)</f>
        <v>52.085915788926904</v>
      </c>
      <c r="I113" s="38"/>
      <c r="J113" s="38"/>
      <c r="K113" s="38"/>
      <c r="L113" s="38"/>
      <c r="M113" s="38"/>
      <c r="N113" s="38"/>
      <c r="O113" s="65">
        <f>SUMPRODUCT(D113:H113,$D$112:$H$112)</f>
        <v>31.83550231209778</v>
      </c>
      <c r="P113" s="38"/>
      <c r="Q113" s="222" t="str">
        <f>IF(O113&gt;3.1,"Safe Zone",IF(O113&lt;3.1,"distressed Zone"))</f>
        <v>Safe Zone</v>
      </c>
    </row>
    <row r="114" spans="2:17" x14ac:dyDescent="0.3">
      <c r="B114" s="223">
        <v>44166</v>
      </c>
      <c r="C114" s="38"/>
      <c r="D114" s="39">
        <v>0.16671946725830264</v>
      </c>
      <c r="E114" s="39">
        <v>8.4993746412393378E-2</v>
      </c>
      <c r="F114" s="39">
        <v>-0.18922396596971008</v>
      </c>
      <c r="G114" s="39">
        <v>0.28301852172932318</v>
      </c>
      <c r="H114" s="39">
        <v>39.142081747310549</v>
      </c>
      <c r="I114" s="38"/>
      <c r="J114" s="38"/>
      <c r="K114" s="38"/>
      <c r="L114" s="38"/>
      <c r="M114" s="38"/>
      <c r="N114" s="38"/>
      <c r="O114" s="65">
        <f t="shared" ref="O114:O116" si="31">SUMPRODUCT(D114:H114,$D$112:$H$112)</f>
        <v>23.983896741628918</v>
      </c>
      <c r="P114" s="38"/>
      <c r="Q114" s="222" t="str">
        <f t="shared" ref="Q114:Q116" si="32">IF(O114&gt;3.1,"Safe Zone",IF(O114&lt;3.1,"distressed Zone"))</f>
        <v>Safe Zone</v>
      </c>
    </row>
    <row r="115" spans="2:17" x14ac:dyDescent="0.3">
      <c r="B115" s="223">
        <v>44532</v>
      </c>
      <c r="C115" s="38"/>
      <c r="D115" s="39">
        <v>0.13599609380558902</v>
      </c>
      <c r="E115" s="39">
        <v>8.3449208878623046E-2</v>
      </c>
      <c r="F115" s="39">
        <v>-0.18748389153353234</v>
      </c>
      <c r="G115" s="39">
        <v>0.30148961610698016</v>
      </c>
      <c r="H115" s="39">
        <v>46.431945815684152</v>
      </c>
      <c r="I115" s="38"/>
      <c r="J115" s="38"/>
      <c r="K115" s="38"/>
      <c r="L115" s="38"/>
      <c r="M115" s="38"/>
      <c r="N115" s="38"/>
      <c r="O115" s="65">
        <f t="shared" si="31"/>
        <v>28.336757359236689</v>
      </c>
      <c r="P115" s="38"/>
      <c r="Q115" s="222" t="str">
        <f t="shared" si="32"/>
        <v>Safe Zone</v>
      </c>
    </row>
    <row r="116" spans="2:17" ht="15" thickBot="1" x14ac:dyDescent="0.35">
      <c r="B116" s="224">
        <v>44898</v>
      </c>
      <c r="C116" s="225"/>
      <c r="D116" s="226">
        <v>0.12997804258258702</v>
      </c>
      <c r="E116" s="226">
        <v>8.9420741348799973E-2</v>
      </c>
      <c r="F116" s="226">
        <v>-0.19970663634345079</v>
      </c>
      <c r="G116" s="226">
        <v>0.30884718699092173</v>
      </c>
      <c r="H116" s="226">
        <v>27.920283873912847</v>
      </c>
      <c r="I116" s="225"/>
      <c r="J116" s="225"/>
      <c r="K116" s="225"/>
      <c r="L116" s="225"/>
      <c r="M116" s="225"/>
      <c r="N116" s="225"/>
      <c r="O116" s="227">
        <f t="shared" si="31"/>
        <v>17.232490318007944</v>
      </c>
      <c r="P116" s="225"/>
      <c r="Q116" s="228" t="str">
        <f t="shared" si="32"/>
        <v>Safe Zone</v>
      </c>
    </row>
  </sheetData>
  <sheetProtection sheet="1" objects="1" scenarios="1"/>
  <customSheetViews>
    <customSheetView guid="{157A7F57-E932-4D71-AAC5-1BA0DA6A9C96}" showGridLines="0">
      <selection activeCell="Q113" sqref="Q113"/>
      <pageMargins left="0.7" right="0.7" top="0.75" bottom="0.75" header="0.3" footer="0.3"/>
      <pageSetup paperSize="9" orientation="portrait" r:id="rId1"/>
    </customSheetView>
  </customSheetViews>
  <mergeCells count="17">
    <mergeCell ref="B2:C3"/>
    <mergeCell ref="B8:Q11"/>
    <mergeCell ref="B13:Q13"/>
    <mergeCell ref="B15:Q15"/>
    <mergeCell ref="B21:Q21"/>
    <mergeCell ref="B110:Q110"/>
    <mergeCell ref="B30:Q30"/>
    <mergeCell ref="B37:Q37"/>
    <mergeCell ref="B46:Q46"/>
    <mergeCell ref="B53:Q53"/>
    <mergeCell ref="B64:Q64"/>
    <mergeCell ref="B78:Q78"/>
    <mergeCell ref="B80:Q80"/>
    <mergeCell ref="B86:Q86"/>
    <mergeCell ref="B92:Q92"/>
    <mergeCell ref="B98:Q98"/>
    <mergeCell ref="B104:Q104"/>
  </mergeCells>
  <conditionalFormatting sqref="O113:O116">
    <cfRule type="cellIs" dxfId="11" priority="1" operator="greaterThan">
      <formula>3.1</formula>
    </cfRule>
  </conditionalFormatting>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4"/>
  <sheetViews>
    <sheetView showGridLines="0" topLeftCell="A37" workbookViewId="0">
      <selection activeCell="H23" sqref="H23"/>
    </sheetView>
  </sheetViews>
  <sheetFormatPr defaultRowHeight="14.4" x14ac:dyDescent="0.3"/>
  <cols>
    <col min="1" max="1" width="1.88671875" customWidth="1"/>
    <col min="2" max="2" width="41.21875" bestFit="1" customWidth="1"/>
    <col min="4" max="6" width="11.44140625" bestFit="1" customWidth="1"/>
    <col min="7" max="7" width="11.33203125" bestFit="1" customWidth="1"/>
  </cols>
  <sheetData>
    <row r="2" spans="2:7" ht="21" x14ac:dyDescent="0.4">
      <c r="B2" s="5" t="s">
        <v>113</v>
      </c>
    </row>
    <row r="3" spans="2:7" x14ac:dyDescent="0.3">
      <c r="B3" t="s">
        <v>0</v>
      </c>
      <c r="D3" t="s">
        <v>71</v>
      </c>
      <c r="E3" t="s">
        <v>70</v>
      </c>
      <c r="F3" t="s">
        <v>69</v>
      </c>
      <c r="G3" t="s">
        <v>68</v>
      </c>
    </row>
    <row r="4" spans="2:7" x14ac:dyDescent="0.3">
      <c r="B4" t="s">
        <v>5</v>
      </c>
      <c r="D4" s="19">
        <v>59812000</v>
      </c>
      <c r="E4" s="19">
        <v>65398000</v>
      </c>
      <c r="F4" s="19">
        <v>67044000</v>
      </c>
      <c r="G4" s="19">
        <v>65984000</v>
      </c>
    </row>
    <row r="5" spans="2:7" x14ac:dyDescent="0.3">
      <c r="B5" t="s">
        <v>6</v>
      </c>
      <c r="D5" s="19">
        <v>51445000</v>
      </c>
      <c r="E5" s="19">
        <v>56744000</v>
      </c>
      <c r="F5" s="19">
        <v>57983000</v>
      </c>
      <c r="G5" s="19">
        <v>57697000</v>
      </c>
    </row>
    <row r="6" spans="2:7" x14ac:dyDescent="0.3">
      <c r="B6" t="s">
        <v>7</v>
      </c>
      <c r="D6" s="19">
        <v>8367000</v>
      </c>
      <c r="E6" s="19">
        <v>8654000</v>
      </c>
      <c r="F6" s="19">
        <v>9061000</v>
      </c>
      <c r="G6" s="19">
        <v>8287000</v>
      </c>
    </row>
    <row r="7" spans="2:7" x14ac:dyDescent="0.3">
      <c r="B7" t="s">
        <v>8</v>
      </c>
      <c r="D7" s="19"/>
      <c r="E7" s="19"/>
      <c r="F7" s="19"/>
      <c r="G7" s="19"/>
    </row>
    <row r="8" spans="2:7" x14ac:dyDescent="0.3">
      <c r="B8" t="s">
        <v>9</v>
      </c>
      <c r="D8" s="19">
        <v>0</v>
      </c>
      <c r="E8" s="19">
        <v>0</v>
      </c>
      <c r="F8" s="19">
        <v>0</v>
      </c>
      <c r="G8" s="19">
        <v>0</v>
      </c>
    </row>
    <row r="9" spans="2:7" x14ac:dyDescent="0.3">
      <c r="B9" t="s">
        <v>10</v>
      </c>
      <c r="D9" s="19">
        <v>-178000</v>
      </c>
      <c r="E9" s="19">
        <v>10000</v>
      </c>
      <c r="F9" s="19">
        <v>-62000</v>
      </c>
      <c r="G9" s="19">
        <v>-61000</v>
      </c>
    </row>
    <row r="10" spans="2:7" x14ac:dyDescent="0.3">
      <c r="B10" t="s">
        <v>11</v>
      </c>
      <c r="D10" s="19">
        <v>0</v>
      </c>
      <c r="E10" s="19">
        <v>0</v>
      </c>
      <c r="F10" s="19">
        <v>0</v>
      </c>
      <c r="G10" s="19">
        <v>0</v>
      </c>
    </row>
    <row r="11" spans="2:7" x14ac:dyDescent="0.3">
      <c r="B11" t="s">
        <v>13</v>
      </c>
      <c r="D11" s="19">
        <v>0</v>
      </c>
      <c r="E11" s="19">
        <v>0</v>
      </c>
      <c r="F11" s="19">
        <v>0</v>
      </c>
      <c r="G11" s="19">
        <v>0</v>
      </c>
    </row>
    <row r="12" spans="2:7" x14ac:dyDescent="0.3">
      <c r="B12" t="s">
        <v>14</v>
      </c>
      <c r="D12" s="19">
        <v>8545000</v>
      </c>
      <c r="E12" s="19">
        <v>8644000</v>
      </c>
      <c r="F12" s="19">
        <v>9123000</v>
      </c>
      <c r="G12" s="19">
        <v>8348000</v>
      </c>
    </row>
    <row r="13" spans="2:7" x14ac:dyDescent="0.3">
      <c r="B13" t="s">
        <v>15</v>
      </c>
      <c r="D13" s="19">
        <v>-651000</v>
      </c>
      <c r="E13" s="19">
        <v>182000</v>
      </c>
      <c r="F13" s="19">
        <v>-1004000</v>
      </c>
      <c r="G13" s="19">
        <v>-1045000</v>
      </c>
    </row>
    <row r="14" spans="2:7" x14ac:dyDescent="0.3">
      <c r="B14" t="s">
        <v>16</v>
      </c>
      <c r="D14" s="19">
        <v>7894000</v>
      </c>
      <c r="E14" s="19">
        <v>8826000</v>
      </c>
      <c r="F14" s="19">
        <v>8119000</v>
      </c>
      <c r="G14" s="19">
        <v>7303000</v>
      </c>
    </row>
    <row r="15" spans="2:7" x14ac:dyDescent="0.3">
      <c r="B15" t="s">
        <v>17</v>
      </c>
      <c r="D15" s="19">
        <v>653000</v>
      </c>
      <c r="E15" s="19">
        <v>591000</v>
      </c>
      <c r="F15" s="19">
        <v>569000</v>
      </c>
      <c r="G15" s="19">
        <v>623000</v>
      </c>
    </row>
    <row r="16" spans="2:7" x14ac:dyDescent="0.3">
      <c r="B16" t="s">
        <v>18</v>
      </c>
      <c r="D16" s="19">
        <v>7241000</v>
      </c>
      <c r="E16" s="19">
        <v>8235000</v>
      </c>
      <c r="F16" s="19">
        <v>7550000</v>
      </c>
      <c r="G16" s="19">
        <v>6680000</v>
      </c>
    </row>
    <row r="17" spans="2:7" x14ac:dyDescent="0.3">
      <c r="B17" t="s">
        <v>19</v>
      </c>
      <c r="D17" s="19">
        <v>1011000</v>
      </c>
      <c r="E17" s="19">
        <v>1347000</v>
      </c>
      <c r="F17" s="19">
        <v>1235000</v>
      </c>
      <c r="G17" s="19">
        <v>948000</v>
      </c>
    </row>
    <row r="18" spans="2:7" x14ac:dyDescent="0.3">
      <c r="B18" t="s">
        <v>20</v>
      </c>
      <c r="D18" s="19">
        <v>0</v>
      </c>
      <c r="E18" s="19">
        <v>0</v>
      </c>
      <c r="F18" s="19">
        <v>0</v>
      </c>
      <c r="G18" s="19">
        <v>0</v>
      </c>
    </row>
    <row r="19" spans="2:7" x14ac:dyDescent="0.3">
      <c r="B19" t="s">
        <v>21</v>
      </c>
      <c r="D19" s="19">
        <v>0</v>
      </c>
      <c r="E19" s="19">
        <v>0</v>
      </c>
      <c r="F19" s="19">
        <v>0</v>
      </c>
      <c r="G19" s="19">
        <v>0</v>
      </c>
    </row>
    <row r="20" spans="2:7" x14ac:dyDescent="0.3">
      <c r="B20" t="s">
        <v>22</v>
      </c>
      <c r="D20" s="19">
        <v>6230000</v>
      </c>
      <c r="E20" s="19">
        <v>6888000</v>
      </c>
      <c r="F20" s="19">
        <v>6315000</v>
      </c>
      <c r="G20" s="19">
        <v>5732000</v>
      </c>
    </row>
    <row r="21" spans="2:7" x14ac:dyDescent="0.3">
      <c r="B21" t="s">
        <v>23</v>
      </c>
      <c r="D21" s="19">
        <v>6230000</v>
      </c>
      <c r="E21" s="19">
        <v>6833000</v>
      </c>
      <c r="F21" s="19">
        <v>6315000</v>
      </c>
      <c r="G21" s="19">
        <v>5732000</v>
      </c>
    </row>
    <row r="22" spans="2:7" x14ac:dyDescent="0.3">
      <c r="B22" t="s">
        <v>24</v>
      </c>
      <c r="D22" s="19">
        <v>6230000</v>
      </c>
      <c r="E22" s="19">
        <v>6833000</v>
      </c>
      <c r="F22" s="19">
        <v>6315000</v>
      </c>
      <c r="G22" s="19">
        <v>5732000</v>
      </c>
    </row>
    <row r="23" spans="2:7" x14ac:dyDescent="0.3">
      <c r="B23" t="s">
        <v>160</v>
      </c>
      <c r="D23" s="19">
        <v>109410000</v>
      </c>
      <c r="E23" s="19">
        <v>99310000</v>
      </c>
      <c r="F23" s="19">
        <v>96310000</v>
      </c>
      <c r="G23" s="19">
        <v>127490000</v>
      </c>
    </row>
    <row r="24" spans="2:7" ht="18" x14ac:dyDescent="0.35">
      <c r="B24" s="2" t="s">
        <v>114</v>
      </c>
      <c r="D24" s="19"/>
      <c r="E24" s="19"/>
      <c r="F24" s="19"/>
      <c r="G24" s="19"/>
    </row>
    <row r="25" spans="2:7" x14ac:dyDescent="0.3">
      <c r="B25" t="s">
        <v>0</v>
      </c>
      <c r="D25" s="19" t="s">
        <v>71</v>
      </c>
      <c r="E25" s="19" t="s">
        <v>70</v>
      </c>
      <c r="F25" s="19" t="s">
        <v>69</v>
      </c>
      <c r="G25" s="19" t="s">
        <v>68</v>
      </c>
    </row>
    <row r="26" spans="2:7" x14ac:dyDescent="0.3">
      <c r="B26" t="s">
        <v>25</v>
      </c>
      <c r="D26" s="19"/>
      <c r="E26" s="19"/>
      <c r="F26" s="19"/>
      <c r="G26" s="19"/>
    </row>
    <row r="27" spans="2:7" x14ac:dyDescent="0.3">
      <c r="B27" t="s">
        <v>26</v>
      </c>
      <c r="D27" s="19">
        <v>1514000</v>
      </c>
      <c r="E27" s="19">
        <v>3160000</v>
      </c>
      <c r="F27" s="19">
        <v>3604000</v>
      </c>
      <c r="G27" s="19">
        <v>2547000</v>
      </c>
    </row>
    <row r="28" spans="2:7" x14ac:dyDescent="0.3">
      <c r="B28" t="s">
        <v>27</v>
      </c>
      <c r="D28" s="19">
        <v>0</v>
      </c>
      <c r="E28" s="19">
        <v>0</v>
      </c>
      <c r="F28" s="19">
        <v>0</v>
      </c>
      <c r="G28" s="19">
        <v>0</v>
      </c>
    </row>
    <row r="29" spans="2:7" x14ac:dyDescent="0.3">
      <c r="B29" t="s">
        <v>28</v>
      </c>
      <c r="D29" s="19">
        <v>2337000</v>
      </c>
      <c r="E29" s="19">
        <v>1978000</v>
      </c>
      <c r="F29" s="19">
        <v>1963000</v>
      </c>
      <c r="G29" s="19">
        <v>2505000</v>
      </c>
    </row>
    <row r="30" spans="2:7" x14ac:dyDescent="0.3">
      <c r="B30" t="s">
        <v>29</v>
      </c>
      <c r="D30" s="19">
        <v>3619000</v>
      </c>
      <c r="E30" s="19">
        <v>3545000</v>
      </c>
      <c r="F30" s="19">
        <v>2981000</v>
      </c>
      <c r="G30" s="19">
        <v>3088000</v>
      </c>
    </row>
    <row r="31" spans="2:7" x14ac:dyDescent="0.3">
      <c r="B31" t="s">
        <v>30</v>
      </c>
      <c r="D31" s="19">
        <v>9625000</v>
      </c>
      <c r="E31" s="19">
        <v>10695000</v>
      </c>
      <c r="F31" s="19">
        <v>11267000</v>
      </c>
      <c r="G31" s="19">
        <v>12851000</v>
      </c>
    </row>
    <row r="32" spans="2:7" x14ac:dyDescent="0.3">
      <c r="B32" t="s">
        <v>31</v>
      </c>
      <c r="D32" s="19">
        <v>17095000</v>
      </c>
      <c r="E32" s="19">
        <v>19378000</v>
      </c>
      <c r="F32" s="19">
        <v>19815000</v>
      </c>
      <c r="G32" s="19">
        <v>20991000</v>
      </c>
    </row>
    <row r="33" spans="2:7" x14ac:dyDescent="0.3">
      <c r="B33" t="s">
        <v>32</v>
      </c>
      <c r="D33" s="19"/>
      <c r="E33" s="19"/>
      <c r="F33" s="19"/>
      <c r="G33" s="19"/>
    </row>
    <row r="34" spans="2:7" x14ac:dyDescent="0.3">
      <c r="B34" t="s">
        <v>33</v>
      </c>
      <c r="D34" s="19">
        <v>0</v>
      </c>
      <c r="E34" s="19">
        <v>0</v>
      </c>
      <c r="F34" s="19">
        <v>0</v>
      </c>
      <c r="G34" s="19">
        <v>0</v>
      </c>
    </row>
    <row r="35" spans="2:7" x14ac:dyDescent="0.3">
      <c r="B35" t="s">
        <v>34</v>
      </c>
      <c r="D35" s="19">
        <v>6591000</v>
      </c>
      <c r="E35" s="19">
        <v>7213000</v>
      </c>
      <c r="F35" s="19">
        <v>7597000</v>
      </c>
      <c r="G35" s="19">
        <v>7975000</v>
      </c>
    </row>
    <row r="36" spans="2:7" x14ac:dyDescent="0.3">
      <c r="B36" t="s">
        <v>35</v>
      </c>
      <c r="D36" s="19">
        <v>10604000</v>
      </c>
      <c r="E36" s="19">
        <v>10806000</v>
      </c>
      <c r="F36" s="19">
        <v>10813000</v>
      </c>
      <c r="G36" s="19">
        <v>10780000</v>
      </c>
    </row>
    <row r="37" spans="2:7" x14ac:dyDescent="0.3">
      <c r="B37" t="s">
        <v>36</v>
      </c>
      <c r="D37" s="19">
        <v>3213000</v>
      </c>
      <c r="E37" s="19">
        <v>3012000</v>
      </c>
      <c r="F37" s="19">
        <v>2706000</v>
      </c>
      <c r="G37" s="19">
        <v>2459000</v>
      </c>
    </row>
    <row r="38" spans="2:7" x14ac:dyDescent="0.3">
      <c r="B38" t="s">
        <v>37</v>
      </c>
      <c r="D38" s="19">
        <v>6706000</v>
      </c>
      <c r="E38" s="19">
        <v>6826000</v>
      </c>
      <c r="F38" s="19">
        <v>7652000</v>
      </c>
      <c r="G38" s="19">
        <v>6931000</v>
      </c>
    </row>
    <row r="39" spans="2:7" x14ac:dyDescent="0.3">
      <c r="B39" t="s">
        <v>38</v>
      </c>
      <c r="D39" s="19">
        <v>3319000</v>
      </c>
      <c r="E39" s="19">
        <v>3475000</v>
      </c>
      <c r="F39" s="19">
        <v>2290000</v>
      </c>
      <c r="G39" s="19">
        <v>3744000</v>
      </c>
    </row>
    <row r="40" spans="2:7" x14ac:dyDescent="0.3">
      <c r="B40" t="s">
        <v>39</v>
      </c>
      <c r="D40" s="19">
        <v>47528000</v>
      </c>
      <c r="E40" s="19">
        <v>50710000</v>
      </c>
      <c r="F40" s="19">
        <v>50873000</v>
      </c>
      <c r="G40" s="19">
        <v>52880000</v>
      </c>
    </row>
    <row r="41" spans="2:7" x14ac:dyDescent="0.3">
      <c r="B41" t="s">
        <v>40</v>
      </c>
      <c r="D41" s="19"/>
      <c r="E41" s="19"/>
      <c r="F41" s="19"/>
      <c r="G41" s="19"/>
    </row>
    <row r="42" spans="2:7" x14ac:dyDescent="0.3">
      <c r="B42" t="s">
        <v>41</v>
      </c>
      <c r="D42" s="19">
        <v>3747000</v>
      </c>
      <c r="E42" s="19">
        <v>4043000</v>
      </c>
      <c r="F42" s="19">
        <v>3888000</v>
      </c>
      <c r="G42" s="19">
        <v>5192000</v>
      </c>
    </row>
    <row r="43" spans="2:7" x14ac:dyDescent="0.3">
      <c r="B43" t="s">
        <v>42</v>
      </c>
      <c r="D43" s="19">
        <v>1250000</v>
      </c>
      <c r="E43" s="19">
        <v>500000</v>
      </c>
      <c r="F43" s="19">
        <v>0</v>
      </c>
      <c r="G43" s="19">
        <v>0</v>
      </c>
    </row>
    <row r="44" spans="2:7" x14ac:dyDescent="0.3">
      <c r="B44" t="s">
        <v>43</v>
      </c>
      <c r="D44" s="19">
        <v>8975000</v>
      </c>
      <c r="E44" s="19">
        <v>9390000</v>
      </c>
      <c r="F44" s="19">
        <v>10109000</v>
      </c>
      <c r="G44" s="19">
        <v>10695000</v>
      </c>
    </row>
    <row r="45" spans="2:7" x14ac:dyDescent="0.3">
      <c r="B45" t="s">
        <v>44</v>
      </c>
      <c r="D45" s="19">
        <v>13972000</v>
      </c>
      <c r="E45" s="19">
        <v>13933000</v>
      </c>
      <c r="F45" s="19">
        <v>13997000</v>
      </c>
      <c r="G45" s="19">
        <v>15887000</v>
      </c>
    </row>
    <row r="46" spans="2:7" x14ac:dyDescent="0.3">
      <c r="B46" t="s">
        <v>45</v>
      </c>
      <c r="D46" s="19">
        <v>11404000</v>
      </c>
      <c r="E46" s="19">
        <v>11669000</v>
      </c>
      <c r="F46" s="19">
        <v>11670000</v>
      </c>
      <c r="G46" s="19">
        <v>15429000</v>
      </c>
    </row>
    <row r="47" spans="2:7" x14ac:dyDescent="0.3">
      <c r="B47" t="s">
        <v>46</v>
      </c>
      <c r="D47" s="19">
        <v>18981000</v>
      </c>
      <c r="E47" s="19">
        <v>19070000</v>
      </c>
      <c r="F47" s="19">
        <v>14247000</v>
      </c>
      <c r="G47" s="19">
        <v>12298000</v>
      </c>
    </row>
    <row r="48" spans="2:7" x14ac:dyDescent="0.3">
      <c r="B48" t="s">
        <v>47</v>
      </c>
      <c r="D48" s="19">
        <v>0</v>
      </c>
      <c r="E48" s="19">
        <v>0</v>
      </c>
      <c r="F48" s="19">
        <v>0</v>
      </c>
      <c r="G48" s="19">
        <v>0</v>
      </c>
    </row>
    <row r="49" spans="2:7" x14ac:dyDescent="0.3">
      <c r="B49" t="s">
        <v>48</v>
      </c>
      <c r="D49" s="19">
        <v>44000</v>
      </c>
      <c r="E49" s="19">
        <v>23000</v>
      </c>
      <c r="F49" s="19">
        <v>0</v>
      </c>
      <c r="G49" s="19">
        <v>0</v>
      </c>
    </row>
    <row r="50" spans="2:7" x14ac:dyDescent="0.3">
      <c r="B50" t="s">
        <v>20</v>
      </c>
      <c r="D50" s="19">
        <v>0</v>
      </c>
      <c r="E50" s="19">
        <v>0</v>
      </c>
      <c r="F50" s="19">
        <v>0</v>
      </c>
      <c r="G50" s="19">
        <v>0</v>
      </c>
    </row>
    <row r="51" spans="2:7" x14ac:dyDescent="0.3">
      <c r="B51" t="s">
        <v>49</v>
      </c>
      <c r="D51" s="19">
        <v>44401000</v>
      </c>
      <c r="E51" s="19">
        <v>44695000</v>
      </c>
      <c r="F51" s="19">
        <v>39914000</v>
      </c>
      <c r="G51" s="19">
        <v>43614000</v>
      </c>
    </row>
    <row r="52" spans="2:7" x14ac:dyDescent="0.3">
      <c r="B52" t="s">
        <v>50</v>
      </c>
      <c r="D52" s="19"/>
      <c r="E52" s="19"/>
      <c r="F52" s="19"/>
      <c r="G52" s="19"/>
    </row>
    <row r="53" spans="2:7" x14ac:dyDescent="0.3">
      <c r="B53" t="s">
        <v>51</v>
      </c>
      <c r="D53" s="19">
        <v>280000</v>
      </c>
      <c r="E53" s="19">
        <v>279000</v>
      </c>
      <c r="F53" s="19">
        <v>271000</v>
      </c>
      <c r="G53" s="19">
        <v>254000</v>
      </c>
    </row>
    <row r="54" spans="2:7" x14ac:dyDescent="0.3">
      <c r="B54" t="s">
        <v>52</v>
      </c>
      <c r="D54" s="19">
        <v>18401000</v>
      </c>
      <c r="E54" s="19">
        <v>21636000</v>
      </c>
      <c r="F54" s="19">
        <v>21600000</v>
      </c>
      <c r="G54" s="19">
        <v>16943000</v>
      </c>
    </row>
    <row r="55" spans="2:7" x14ac:dyDescent="0.3">
      <c r="B55" t="s">
        <v>53</v>
      </c>
      <c r="D55" s="19">
        <v>0</v>
      </c>
      <c r="E55" s="19">
        <v>0</v>
      </c>
      <c r="F55" s="19">
        <v>0</v>
      </c>
      <c r="G55" s="19">
        <v>0</v>
      </c>
    </row>
    <row r="56" spans="2:7" x14ac:dyDescent="0.3">
      <c r="B56" t="s">
        <v>54</v>
      </c>
      <c r="D56" s="19">
        <v>0</v>
      </c>
      <c r="E56" s="19">
        <v>221000</v>
      </c>
      <c r="F56" s="19">
        <v>94000</v>
      </c>
      <c r="G56" s="19">
        <v>92000</v>
      </c>
    </row>
    <row r="57" spans="2:7" x14ac:dyDescent="0.3">
      <c r="B57" t="s">
        <v>55</v>
      </c>
      <c r="D57" s="19">
        <v>-15554000</v>
      </c>
      <c r="E57" s="19">
        <v>-16121000</v>
      </c>
      <c r="F57" s="19">
        <v>-11006000</v>
      </c>
      <c r="G57" s="19">
        <v>-8023000</v>
      </c>
    </row>
    <row r="58" spans="2:7" x14ac:dyDescent="0.3">
      <c r="B58" t="s">
        <v>56</v>
      </c>
      <c r="D58" s="19">
        <v>3127000</v>
      </c>
      <c r="E58" s="19">
        <v>6015000</v>
      </c>
      <c r="F58" s="19">
        <v>10959000</v>
      </c>
      <c r="G58" s="19">
        <v>9266000</v>
      </c>
    </row>
    <row r="59" spans="2:7" x14ac:dyDescent="0.3">
      <c r="B59" t="s">
        <v>57</v>
      </c>
      <c r="D59" s="19">
        <v>47528000</v>
      </c>
      <c r="E59" s="19">
        <v>50710000</v>
      </c>
      <c r="F59" s="19">
        <v>50873000</v>
      </c>
      <c r="G59" s="19">
        <v>52880000</v>
      </c>
    </row>
    <row r="60" spans="2:7" x14ac:dyDescent="0.3">
      <c r="D60" s="19"/>
      <c r="E60" s="19"/>
      <c r="F60" s="19"/>
      <c r="G60" s="19"/>
    </row>
    <row r="61" spans="2:7" ht="18" x14ac:dyDescent="0.35">
      <c r="B61" s="2" t="s">
        <v>115</v>
      </c>
      <c r="D61" s="19"/>
      <c r="E61" s="19"/>
      <c r="F61" s="19"/>
      <c r="G61" s="19"/>
    </row>
    <row r="62" spans="2:7" x14ac:dyDescent="0.3">
      <c r="B62" t="s">
        <v>0</v>
      </c>
      <c r="D62" s="19" t="s">
        <v>71</v>
      </c>
      <c r="E62" s="19" t="s">
        <v>70</v>
      </c>
      <c r="F62" s="19" t="s">
        <v>69</v>
      </c>
      <c r="G62" s="19" t="s">
        <v>68</v>
      </c>
    </row>
    <row r="63" spans="2:7" x14ac:dyDescent="0.3">
      <c r="B63" t="s">
        <v>23</v>
      </c>
      <c r="D63" s="19">
        <v>6230000</v>
      </c>
      <c r="E63" s="19">
        <v>6833000</v>
      </c>
      <c r="F63" s="19">
        <v>6315000</v>
      </c>
      <c r="G63" s="19">
        <v>5732000</v>
      </c>
    </row>
    <row r="64" spans="2:7" x14ac:dyDescent="0.3">
      <c r="B64" t="s">
        <v>72</v>
      </c>
      <c r="D64" s="19"/>
      <c r="E64" s="19"/>
      <c r="F64" s="19"/>
      <c r="G64" s="19"/>
    </row>
    <row r="65" spans="2:7" x14ac:dyDescent="0.3">
      <c r="B65" t="s">
        <v>73</v>
      </c>
      <c r="D65" s="19">
        <v>1189000</v>
      </c>
      <c r="E65" s="19">
        <v>1290000</v>
      </c>
      <c r="F65" s="19">
        <v>1364000</v>
      </c>
      <c r="G65" s="19">
        <v>1404000</v>
      </c>
    </row>
    <row r="66" spans="2:7" x14ac:dyDescent="0.3">
      <c r="B66" t="s">
        <v>74</v>
      </c>
      <c r="D66" s="19">
        <v>360000</v>
      </c>
      <c r="E66" s="19">
        <v>436000</v>
      </c>
      <c r="F66" s="19">
        <v>1745000</v>
      </c>
      <c r="G66" s="19">
        <v>1051000</v>
      </c>
    </row>
    <row r="67" spans="2:7" x14ac:dyDescent="0.3">
      <c r="B67" t="s">
        <v>75</v>
      </c>
      <c r="D67" s="19"/>
      <c r="E67" s="19"/>
      <c r="F67" s="19"/>
      <c r="G67" s="19"/>
    </row>
    <row r="68" spans="2:7" x14ac:dyDescent="0.3">
      <c r="B68" t="s">
        <v>76</v>
      </c>
      <c r="D68" s="19">
        <v>107000</v>
      </c>
      <c r="E68" s="19">
        <v>359000</v>
      </c>
      <c r="F68" s="19">
        <v>15000</v>
      </c>
      <c r="G68" s="19">
        <v>-542000</v>
      </c>
    </row>
    <row r="69" spans="2:7" x14ac:dyDescent="0.3">
      <c r="B69" t="s">
        <v>77</v>
      </c>
      <c r="D69" s="19">
        <v>-622000</v>
      </c>
      <c r="E69" s="19">
        <v>74000</v>
      </c>
      <c r="F69" s="19">
        <v>564000</v>
      </c>
      <c r="G69" s="19">
        <v>-107000</v>
      </c>
    </row>
    <row r="70" spans="2:7" x14ac:dyDescent="0.3">
      <c r="B70" t="s">
        <v>78</v>
      </c>
      <c r="D70" s="19">
        <v>652000</v>
      </c>
      <c r="E70" s="19">
        <v>288000</v>
      </c>
      <c r="F70" s="19">
        <v>-1024000</v>
      </c>
      <c r="G70" s="19">
        <v>-1127000</v>
      </c>
    </row>
    <row r="71" spans="2:7" x14ac:dyDescent="0.3">
      <c r="B71" t="s">
        <v>79</v>
      </c>
      <c r="D71" s="19">
        <v>-605000</v>
      </c>
      <c r="E71" s="19">
        <v>-1097000</v>
      </c>
      <c r="F71" s="19">
        <v>242000</v>
      </c>
      <c r="G71" s="19">
        <v>1391000</v>
      </c>
    </row>
    <row r="72" spans="2:7" x14ac:dyDescent="0.3">
      <c r="B72" t="s">
        <v>80</v>
      </c>
      <c r="D72" s="19">
        <v>7311000</v>
      </c>
      <c r="E72" s="19">
        <v>8183000</v>
      </c>
      <c r="F72" s="19">
        <v>9221000</v>
      </c>
      <c r="G72" s="19">
        <v>7802000</v>
      </c>
    </row>
    <row r="73" spans="2:7" x14ac:dyDescent="0.3">
      <c r="B73" t="s">
        <v>81</v>
      </c>
      <c r="D73" s="19"/>
      <c r="E73" s="19"/>
      <c r="F73" s="19"/>
      <c r="G73" s="19"/>
    </row>
    <row r="74" spans="2:7" x14ac:dyDescent="0.3">
      <c r="B74" t="s">
        <v>82</v>
      </c>
      <c r="D74" s="19">
        <v>-1484000</v>
      </c>
      <c r="E74" s="19">
        <v>-1766000</v>
      </c>
      <c r="F74" s="19">
        <v>-1522000</v>
      </c>
      <c r="G74" s="19">
        <v>-1670000</v>
      </c>
    </row>
    <row r="75" spans="2:7" x14ac:dyDescent="0.3">
      <c r="B75" t="s">
        <v>83</v>
      </c>
      <c r="D75" s="19">
        <v>0</v>
      </c>
      <c r="E75" s="19">
        <v>0</v>
      </c>
      <c r="F75" s="19">
        <v>0</v>
      </c>
      <c r="G75" s="19">
        <v>0</v>
      </c>
    </row>
    <row r="76" spans="2:7" x14ac:dyDescent="0.3">
      <c r="B76" t="s">
        <v>84</v>
      </c>
      <c r="D76" s="19">
        <v>243000</v>
      </c>
      <c r="E76" s="19">
        <v>-244000</v>
      </c>
      <c r="F76" s="19">
        <v>361000</v>
      </c>
      <c r="G76" s="19">
        <v>-119000</v>
      </c>
    </row>
    <row r="77" spans="2:7" x14ac:dyDescent="0.3">
      <c r="B77" t="s">
        <v>85</v>
      </c>
      <c r="D77" s="19">
        <v>-1241000</v>
      </c>
      <c r="E77" s="19">
        <v>-2010000</v>
      </c>
      <c r="F77" s="19">
        <v>-1161000</v>
      </c>
      <c r="G77" s="19">
        <v>-1789000</v>
      </c>
    </row>
    <row r="78" spans="2:7" x14ac:dyDescent="0.3">
      <c r="B78" t="s">
        <v>86</v>
      </c>
      <c r="D78" s="19"/>
      <c r="E78" s="19"/>
      <c r="F78" s="19"/>
      <c r="G78" s="19"/>
    </row>
    <row r="79" spans="2:7" x14ac:dyDescent="0.3">
      <c r="B79" t="s">
        <v>87</v>
      </c>
      <c r="D79" s="19">
        <v>-1200000</v>
      </c>
      <c r="E79" s="19">
        <v>-1100000</v>
      </c>
      <c r="F79" s="19">
        <v>-4087000</v>
      </c>
      <c r="G79" s="19">
        <v>-7900000</v>
      </c>
    </row>
    <row r="80" spans="2:7" x14ac:dyDescent="0.3">
      <c r="B80" t="s">
        <v>88</v>
      </c>
      <c r="D80" s="19">
        <v>-1500000</v>
      </c>
      <c r="E80" s="19">
        <v>-519000</v>
      </c>
      <c r="F80" s="19">
        <v>-500000</v>
      </c>
      <c r="G80" s="19">
        <v>3961000</v>
      </c>
    </row>
    <row r="81" spans="2:7" x14ac:dyDescent="0.3">
      <c r="B81" t="s">
        <v>89</v>
      </c>
      <c r="D81" s="19">
        <v>-72000</v>
      </c>
      <c r="E81" s="19">
        <v>-144000</v>
      </c>
      <c r="F81" s="19">
        <v>-89000</v>
      </c>
      <c r="G81" s="19">
        <v>-115000</v>
      </c>
    </row>
    <row r="82" spans="2:7" x14ac:dyDescent="0.3">
      <c r="B82" t="s">
        <v>90</v>
      </c>
      <c r="D82" s="19">
        <v>-5328000</v>
      </c>
      <c r="E82" s="19">
        <v>-4527000</v>
      </c>
      <c r="F82" s="19">
        <v>-7616000</v>
      </c>
      <c r="G82" s="19">
        <v>-7070000</v>
      </c>
    </row>
    <row r="83" spans="2:7" x14ac:dyDescent="0.3">
      <c r="B83" t="s">
        <v>91</v>
      </c>
      <c r="D83" s="19"/>
      <c r="E83" s="19">
        <v>0</v>
      </c>
      <c r="F83" s="19">
        <v>0</v>
      </c>
      <c r="G83" s="19">
        <v>0</v>
      </c>
    </row>
    <row r="84" spans="2:7" x14ac:dyDescent="0.3">
      <c r="B84" t="s">
        <v>92</v>
      </c>
      <c r="D84" s="19">
        <v>742000</v>
      </c>
      <c r="E84" s="19">
        <v>1646000</v>
      </c>
      <c r="F84" s="19">
        <v>444000</v>
      </c>
      <c r="G84" s="19">
        <v>-1057000</v>
      </c>
    </row>
  </sheetData>
  <sheetProtection sheet="1" objects="1" scenarios="1"/>
  <customSheetViews>
    <customSheetView guid="{157A7F57-E932-4D71-AAC5-1BA0DA6A9C96}" showGridLines="0" topLeftCell="A37">
      <selection activeCell="H23" sqref="H23"/>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17"/>
  <sheetViews>
    <sheetView showGridLines="0" zoomScaleNormal="100" workbookViewId="0">
      <selection activeCell="B112" sqref="B112:H113"/>
    </sheetView>
  </sheetViews>
  <sheetFormatPr defaultRowHeight="14.4" x14ac:dyDescent="0.3"/>
  <cols>
    <col min="1" max="1" width="1.88671875" customWidth="1"/>
    <col min="12" max="15" width="12.77734375" customWidth="1"/>
  </cols>
  <sheetData>
    <row r="2" spans="2:17" ht="14.4" customHeight="1" x14ac:dyDescent="0.3">
      <c r="B2" s="472" t="s">
        <v>268</v>
      </c>
      <c r="C2" s="472"/>
      <c r="D2" s="472"/>
      <c r="E2" s="472"/>
      <c r="F2" s="472"/>
      <c r="G2" s="241"/>
      <c r="H2" s="241"/>
      <c r="I2" s="241"/>
      <c r="J2" s="241"/>
      <c r="K2" s="241"/>
      <c r="L2" s="241"/>
      <c r="M2" s="241"/>
      <c r="N2" s="241"/>
      <c r="O2" s="241"/>
      <c r="P2" s="241"/>
      <c r="Q2" s="241"/>
    </row>
    <row r="3" spans="2:17" ht="14.4" customHeight="1" x14ac:dyDescent="0.3">
      <c r="B3" s="472"/>
      <c r="C3" s="472"/>
      <c r="D3" s="472"/>
      <c r="E3" s="472"/>
      <c r="F3" s="472"/>
      <c r="G3" s="241"/>
      <c r="H3" s="241"/>
      <c r="I3" s="241"/>
      <c r="J3" s="241"/>
      <c r="K3" s="241"/>
      <c r="L3" s="241"/>
      <c r="M3" s="241"/>
      <c r="N3" s="241"/>
      <c r="O3" s="241"/>
      <c r="P3" s="241"/>
      <c r="Q3" s="241"/>
    </row>
    <row r="4" spans="2:17" x14ac:dyDescent="0.3">
      <c r="B4" s="242" t="s">
        <v>269</v>
      </c>
      <c r="C4" s="241"/>
      <c r="D4" s="241"/>
      <c r="E4" s="241"/>
      <c r="F4" s="241"/>
      <c r="G4" s="241"/>
      <c r="H4" s="241"/>
      <c r="I4" s="241"/>
      <c r="J4" s="241"/>
      <c r="K4" s="241"/>
      <c r="L4" s="241"/>
      <c r="M4" s="241"/>
      <c r="N4" s="241"/>
      <c r="O4" s="241"/>
      <c r="P4" s="241"/>
      <c r="Q4" s="241"/>
    </row>
    <row r="5" spans="2:17" x14ac:dyDescent="0.3">
      <c r="B5" s="241"/>
      <c r="C5" s="241"/>
      <c r="D5" s="241"/>
      <c r="E5" s="241"/>
      <c r="F5" s="241"/>
      <c r="G5" s="241"/>
      <c r="H5" s="241"/>
      <c r="I5" s="241"/>
      <c r="J5" s="241"/>
      <c r="K5" s="241"/>
      <c r="L5" s="241"/>
      <c r="M5" s="241"/>
      <c r="N5" s="241"/>
      <c r="O5" s="241"/>
      <c r="P5" s="241"/>
      <c r="Q5" s="241"/>
    </row>
    <row r="6" spans="2:17" x14ac:dyDescent="0.3">
      <c r="B6" s="242" t="s">
        <v>270</v>
      </c>
      <c r="C6" s="241"/>
      <c r="D6" s="241"/>
      <c r="E6" s="241"/>
      <c r="F6" s="241"/>
      <c r="G6" s="241"/>
      <c r="H6" s="241"/>
      <c r="I6" s="241"/>
      <c r="J6" s="241"/>
      <c r="K6" s="241"/>
      <c r="L6" s="241"/>
      <c r="M6" s="241"/>
      <c r="N6" s="241"/>
      <c r="O6" s="241"/>
      <c r="P6" s="241"/>
      <c r="Q6" s="241"/>
    </row>
    <row r="8" spans="2:17" ht="14.4" customHeight="1" x14ac:dyDescent="0.3">
      <c r="B8" s="468" t="s">
        <v>271</v>
      </c>
      <c r="C8" s="468"/>
      <c r="D8" s="468"/>
      <c r="E8" s="468"/>
      <c r="F8" s="468"/>
      <c r="G8" s="468"/>
      <c r="H8" s="468"/>
      <c r="I8" s="468"/>
      <c r="J8" s="468"/>
      <c r="K8" s="468"/>
      <c r="L8" s="468"/>
      <c r="M8" s="468"/>
      <c r="N8" s="468"/>
      <c r="O8" s="468"/>
      <c r="P8" s="468"/>
      <c r="Q8" s="468"/>
    </row>
    <row r="9" spans="2:17" x14ac:dyDescent="0.3">
      <c r="B9" s="468"/>
      <c r="C9" s="468"/>
      <c r="D9" s="468"/>
      <c r="E9" s="468"/>
      <c r="F9" s="468"/>
      <c r="G9" s="468"/>
      <c r="H9" s="468"/>
      <c r="I9" s="468"/>
      <c r="J9" s="468"/>
      <c r="K9" s="468"/>
      <c r="L9" s="468"/>
      <c r="M9" s="468"/>
      <c r="N9" s="468"/>
      <c r="O9" s="468"/>
      <c r="P9" s="468"/>
      <c r="Q9" s="468"/>
    </row>
    <row r="10" spans="2:17" x14ac:dyDescent="0.3">
      <c r="B10" s="468"/>
      <c r="C10" s="468"/>
      <c r="D10" s="468"/>
      <c r="E10" s="468"/>
      <c r="F10" s="468"/>
      <c r="G10" s="468"/>
      <c r="H10" s="468"/>
      <c r="I10" s="468"/>
      <c r="J10" s="468"/>
      <c r="K10" s="468"/>
      <c r="L10" s="468"/>
      <c r="M10" s="468"/>
      <c r="N10" s="468"/>
      <c r="O10" s="468"/>
      <c r="P10" s="468"/>
      <c r="Q10" s="468"/>
    </row>
    <row r="11" spans="2:17" x14ac:dyDescent="0.3">
      <c r="B11" s="468"/>
      <c r="C11" s="468"/>
      <c r="D11" s="468"/>
      <c r="E11" s="468"/>
      <c r="F11" s="468"/>
      <c r="G11" s="468"/>
      <c r="H11" s="468"/>
      <c r="I11" s="468"/>
      <c r="J11" s="468"/>
      <c r="K11" s="468"/>
      <c r="L11" s="468"/>
      <c r="M11" s="468"/>
      <c r="N11" s="468"/>
      <c r="O11" s="468"/>
      <c r="P11" s="468"/>
      <c r="Q11" s="468"/>
    </row>
    <row r="13" spans="2:17" x14ac:dyDescent="0.3">
      <c r="B13" s="465" t="s">
        <v>58</v>
      </c>
      <c r="C13" s="466"/>
      <c r="D13" s="466"/>
      <c r="E13" s="466"/>
      <c r="F13" s="466"/>
      <c r="G13" s="466"/>
      <c r="H13" s="466"/>
      <c r="I13" s="466"/>
      <c r="J13" s="466"/>
      <c r="K13" s="466"/>
      <c r="L13" s="466"/>
      <c r="M13" s="466"/>
      <c r="N13" s="466"/>
      <c r="O13" s="466"/>
      <c r="P13" s="466"/>
      <c r="Q13" s="467"/>
    </row>
    <row r="14" spans="2:17" x14ac:dyDescent="0.3">
      <c r="B14" s="177"/>
      <c r="C14" s="38"/>
      <c r="D14" s="38"/>
      <c r="E14" s="38"/>
      <c r="F14" s="38"/>
      <c r="G14" s="38"/>
      <c r="H14" s="38"/>
      <c r="I14" s="38"/>
      <c r="J14" s="38"/>
      <c r="K14" s="38"/>
      <c r="L14" s="38"/>
      <c r="M14" s="38"/>
      <c r="N14" s="38"/>
      <c r="O14" s="38"/>
      <c r="P14" s="38"/>
      <c r="Q14" s="178"/>
    </row>
    <row r="15" spans="2:17" x14ac:dyDescent="0.3">
      <c r="B15" s="469" t="s">
        <v>64</v>
      </c>
      <c r="C15" s="470"/>
      <c r="D15" s="470"/>
      <c r="E15" s="470"/>
      <c r="F15" s="470"/>
      <c r="G15" s="470"/>
      <c r="H15" s="470"/>
      <c r="I15" s="470"/>
      <c r="J15" s="470"/>
      <c r="K15" s="470"/>
      <c r="L15" s="470"/>
      <c r="M15" s="470"/>
      <c r="N15" s="470"/>
      <c r="O15" s="470"/>
      <c r="P15" s="470"/>
      <c r="Q15" s="471"/>
    </row>
    <row r="16" spans="2:17" x14ac:dyDescent="0.3">
      <c r="B16" s="177"/>
      <c r="C16" s="38"/>
      <c r="D16" s="38"/>
      <c r="E16" s="38"/>
      <c r="F16" s="38"/>
      <c r="G16" s="38"/>
      <c r="H16" s="38"/>
      <c r="I16" s="38"/>
      <c r="J16" s="38"/>
      <c r="K16" s="38"/>
      <c r="L16" s="49">
        <v>43800</v>
      </c>
      <c r="M16" s="49">
        <f>L16+366</f>
        <v>44166</v>
      </c>
      <c r="N16" s="49">
        <f t="shared" ref="N16:O16" si="0">M16+366</f>
        <v>44532</v>
      </c>
      <c r="O16" s="49">
        <f t="shared" si="0"/>
        <v>44898</v>
      </c>
      <c r="P16" s="38"/>
      <c r="Q16" s="178"/>
    </row>
    <row r="17" spans="2:17" x14ac:dyDescent="0.3">
      <c r="B17" s="177" t="s">
        <v>179</v>
      </c>
      <c r="C17" s="38"/>
      <c r="D17" s="38"/>
      <c r="E17" s="38"/>
      <c r="F17" s="38"/>
      <c r="G17" s="38"/>
      <c r="H17" s="38"/>
      <c r="I17" s="38"/>
      <c r="J17" s="38"/>
      <c r="K17" s="38"/>
      <c r="L17" s="39">
        <f>'Lockheed Matin- Financials'!D32/'Lockheed Matin- Financials'!D45</f>
        <v>1.2235184655024334</v>
      </c>
      <c r="M17" s="39">
        <f>'Lockheed Matin- Financials'!E32/'Lockheed Matin- Financials'!E45</f>
        <v>1.3907988229383479</v>
      </c>
      <c r="N17" s="39">
        <f>'Lockheed Matin- Financials'!F32/'Lockheed Matin- Financials'!F45</f>
        <v>1.4156604986782881</v>
      </c>
      <c r="O17" s="39">
        <f>'Lockheed Matin- Financials'!G32/'Lockheed Matin- Financials'!G45</f>
        <v>1.3212689620444389</v>
      </c>
      <c r="P17" s="38"/>
      <c r="Q17" s="178"/>
    </row>
    <row r="18" spans="2:17" x14ac:dyDescent="0.3">
      <c r="B18" s="177" t="s">
        <v>180</v>
      </c>
      <c r="C18" s="38"/>
      <c r="D18" s="38"/>
      <c r="E18" s="38"/>
      <c r="F18" s="38"/>
      <c r="G18" s="38"/>
      <c r="H18" s="38"/>
      <c r="I18" s="38"/>
      <c r="J18" s="38"/>
      <c r="K18" s="38"/>
      <c r="L18" s="39">
        <f>('Lockheed Matin- Financials'!D32-'Lockheed Matin- Financials'!D30)/'Lockheed Matin- Financials'!D45</f>
        <v>0.96450042943028913</v>
      </c>
      <c r="M18" s="39">
        <f>('Lockheed Matin- Financials'!E32-'Lockheed Matin- Financials'!E30)/'Lockheed Matin- Financials'!E45</f>
        <v>1.1363668987296347</v>
      </c>
      <c r="N18" s="39">
        <f>('Lockheed Matin- Financials'!F32-'Lockheed Matin- Financials'!F30)/'Lockheed Matin- Financials'!F45</f>
        <v>1.2026862899192685</v>
      </c>
      <c r="O18" s="39">
        <f>('Lockheed Matin- Financials'!G32-'Lockheed Matin- Financials'!G30)/'Lockheed Matin- Financials'!G45</f>
        <v>1.1268962044438848</v>
      </c>
      <c r="P18" s="38"/>
      <c r="Q18" s="178"/>
    </row>
    <row r="19" spans="2:17" x14ac:dyDescent="0.3">
      <c r="B19" s="177" t="s">
        <v>67</v>
      </c>
      <c r="C19" s="38"/>
      <c r="D19" s="38"/>
      <c r="E19" s="38"/>
      <c r="F19" s="38"/>
      <c r="G19" s="38"/>
      <c r="H19" s="38"/>
      <c r="I19" s="38"/>
      <c r="J19" s="38"/>
      <c r="K19" s="38"/>
      <c r="L19" s="39">
        <f>('Lockheed Matin- Financials'!D27+'Lockheed Matin- Financials'!D28)/'Lockheed Matin- Financials'!D45</f>
        <v>0.10835957629544804</v>
      </c>
      <c r="M19" s="39">
        <f>('Lockheed Matin- Financials'!E27+'Lockheed Matin- Financials'!E28)/'Lockheed Matin- Financials'!E45</f>
        <v>0.22679968420297136</v>
      </c>
      <c r="N19" s="39">
        <f>('Lockheed Matin- Financials'!F27+'Lockheed Matin- Financials'!F28)/'Lockheed Matin- Financials'!F45</f>
        <v>0.25748374651711081</v>
      </c>
      <c r="O19" s="39">
        <f>('Lockheed Matin- Financials'!G27+'Lockheed Matin- Financials'!G28)/'Lockheed Matin- Financials'!G45</f>
        <v>0.16031975829294393</v>
      </c>
      <c r="P19" s="38"/>
      <c r="Q19" s="178"/>
    </row>
    <row r="20" spans="2:17" x14ac:dyDescent="0.3">
      <c r="B20" s="177"/>
      <c r="C20" s="38"/>
      <c r="D20" s="38"/>
      <c r="E20" s="38"/>
      <c r="F20" s="38"/>
      <c r="G20" s="38"/>
      <c r="H20" s="38"/>
      <c r="I20" s="38"/>
      <c r="J20" s="38"/>
      <c r="K20" s="38"/>
      <c r="L20" s="38"/>
      <c r="M20" s="38"/>
      <c r="N20" s="38"/>
      <c r="O20" s="38"/>
      <c r="P20" s="38"/>
      <c r="Q20" s="178"/>
    </row>
    <row r="21" spans="2:17" x14ac:dyDescent="0.3">
      <c r="B21" s="469" t="s">
        <v>116</v>
      </c>
      <c r="C21" s="470"/>
      <c r="D21" s="470"/>
      <c r="E21" s="470"/>
      <c r="F21" s="470"/>
      <c r="G21" s="470"/>
      <c r="H21" s="470"/>
      <c r="I21" s="470"/>
      <c r="J21" s="470"/>
      <c r="K21" s="470"/>
      <c r="L21" s="470"/>
      <c r="M21" s="470"/>
      <c r="N21" s="470"/>
      <c r="O21" s="470"/>
      <c r="P21" s="470"/>
      <c r="Q21" s="471"/>
    </row>
    <row r="22" spans="2:17" x14ac:dyDescent="0.3">
      <c r="B22" s="177"/>
      <c r="C22" s="38"/>
      <c r="D22" s="38"/>
      <c r="E22" s="38"/>
      <c r="F22" s="38"/>
      <c r="G22" s="38"/>
      <c r="H22" s="38"/>
      <c r="I22" s="38"/>
      <c r="J22" s="38"/>
      <c r="K22" s="38"/>
      <c r="L22" s="49">
        <f>L16</f>
        <v>43800</v>
      </c>
      <c r="M22" s="49">
        <f t="shared" ref="M22:O22" si="1">M16</f>
        <v>44166</v>
      </c>
      <c r="N22" s="49">
        <f t="shared" si="1"/>
        <v>44532</v>
      </c>
      <c r="O22" s="49">
        <f t="shared" si="1"/>
        <v>44898</v>
      </c>
      <c r="P22" s="38"/>
      <c r="Q22" s="178"/>
    </row>
    <row r="23" spans="2:17" x14ac:dyDescent="0.3">
      <c r="B23" s="177" t="s">
        <v>117</v>
      </c>
      <c r="C23" s="38"/>
      <c r="D23" s="38"/>
      <c r="E23" s="38"/>
      <c r="F23" s="38"/>
      <c r="G23" s="38"/>
      <c r="H23" s="38"/>
      <c r="I23" s="38"/>
      <c r="J23" s="38"/>
      <c r="K23" s="38"/>
      <c r="L23" s="39">
        <f>('Lockheed Matin- Financials'!D43+'Lockheed Matin- Financials'!D46)/'Lockheed Matin- Financials'!D40</f>
        <v>0.26624305672445714</v>
      </c>
      <c r="M23" s="39">
        <f>('Lockheed Matin- Financials'!E43+'Lockheed Matin- Financials'!E46)/'Lockheed Matin- Financials'!E40</f>
        <v>0.23997239203312956</v>
      </c>
      <c r="N23" s="39">
        <f>('Lockheed Matin- Financials'!F43+'Lockheed Matin- Financials'!F46)/'Lockheed Matin- Financials'!F40</f>
        <v>0.2293947673618619</v>
      </c>
      <c r="O23" s="39">
        <f>('Lockheed Matin- Financials'!G43+'Lockheed Matin- Financials'!G46)/'Lockheed Matin- Financials'!G40</f>
        <v>0.29177382753403935</v>
      </c>
      <c r="P23" s="38"/>
      <c r="Q23" s="178"/>
    </row>
    <row r="24" spans="2:17" x14ac:dyDescent="0.3">
      <c r="B24" s="177" t="s">
        <v>118</v>
      </c>
      <c r="C24" s="38"/>
      <c r="D24" s="38"/>
      <c r="E24" s="38"/>
      <c r="F24" s="38"/>
      <c r="G24" s="38"/>
      <c r="H24" s="38"/>
      <c r="I24" s="38"/>
      <c r="J24" s="38"/>
      <c r="K24" s="38"/>
      <c r="L24" s="39">
        <f>('Lockheed Matin- Financials'!D46+'Lockheed Matin- Financials'!D43)/'Lockheed Matin- Financials'!D58</f>
        <v>4.0466901183242721</v>
      </c>
      <c r="M24" s="39">
        <f>('Lockheed Matin- Financials'!E46+'Lockheed Matin- Financials'!E43)/'Lockheed Matin- Financials'!E58</f>
        <v>2.0231088944305902</v>
      </c>
      <c r="N24" s="39">
        <f>('Lockheed Matin- Financials'!F46+'Lockheed Matin- Financials'!F43)/'Lockheed Matin- Financials'!F58</f>
        <v>1.0648781823159048</v>
      </c>
      <c r="O24" s="39">
        <f>('Lockheed Matin- Financials'!G46+'Lockheed Matin- Financials'!G43)/'Lockheed Matin- Financials'!G58</f>
        <v>1.6651197927908483</v>
      </c>
      <c r="P24" s="38"/>
      <c r="Q24" s="178"/>
    </row>
    <row r="25" spans="2:17" x14ac:dyDescent="0.3">
      <c r="B25" s="177" t="s">
        <v>120</v>
      </c>
      <c r="C25" s="38"/>
      <c r="D25" s="38"/>
      <c r="E25" s="38"/>
      <c r="F25" s="38"/>
      <c r="G25" s="38"/>
      <c r="H25" s="38"/>
      <c r="I25" s="38"/>
      <c r="J25" s="38"/>
      <c r="K25" s="38"/>
      <c r="L25" s="39">
        <f>L24/(1+L24)</f>
        <v>0.80185032634180342</v>
      </c>
      <c r="M25" s="39">
        <f t="shared" ref="M25:O25" si="2">M24/(1+M24)</f>
        <v>0.66921469423669155</v>
      </c>
      <c r="N25" s="39">
        <f t="shared" si="2"/>
        <v>0.51570992973617924</v>
      </c>
      <c r="O25" s="39">
        <f t="shared" si="2"/>
        <v>0.62478234460417092</v>
      </c>
      <c r="P25" s="38"/>
      <c r="Q25" s="178"/>
    </row>
    <row r="26" spans="2:17" x14ac:dyDescent="0.3">
      <c r="B26" s="177" t="s">
        <v>121</v>
      </c>
      <c r="C26" s="38"/>
      <c r="D26" s="38"/>
      <c r="E26" s="38"/>
      <c r="F26" s="38"/>
      <c r="G26" s="38"/>
      <c r="H26" s="38"/>
      <c r="I26" s="38"/>
      <c r="J26" s="38"/>
      <c r="K26" s="38"/>
      <c r="L26" s="39">
        <f>('Lockheed Matin- Financials'!D14+'Lockheed Matin- Financials'!D65)/'Lockheed Matin- Financials'!D15</f>
        <v>13.909647779479327</v>
      </c>
      <c r="M26" s="39">
        <f>('Lockheed Matin- Financials'!E14+'Lockheed Matin- Financials'!E65)/'Lockheed Matin- Financials'!E15</f>
        <v>17.116751269035532</v>
      </c>
      <c r="N26" s="39">
        <f>('Lockheed Matin- Financials'!F14+'Lockheed Matin- Financials'!F65)/'Lockheed Matin- Financials'!F15</f>
        <v>16.666080843585238</v>
      </c>
      <c r="O26" s="39">
        <f>('Lockheed Matin- Financials'!G14+'Lockheed Matin- Financials'!G65)/'Lockheed Matin- Financials'!G15</f>
        <v>13.975922953451043</v>
      </c>
      <c r="P26" s="38"/>
      <c r="Q26" s="178"/>
    </row>
    <row r="27" spans="2:17" x14ac:dyDescent="0.3">
      <c r="B27" s="177" t="s">
        <v>119</v>
      </c>
      <c r="C27" s="38"/>
      <c r="D27" s="38"/>
      <c r="E27" s="38"/>
      <c r="F27" s="38"/>
      <c r="G27" s="38"/>
      <c r="H27" s="38"/>
      <c r="I27" s="38"/>
      <c r="J27" s="38"/>
      <c r="K27" s="38"/>
      <c r="L27" s="39">
        <f>'Lockheed Matin- Financials'!D40/'Lockheed Matin- Financials'!D58</f>
        <v>15.199232491205628</v>
      </c>
      <c r="M27" s="39">
        <f>'Lockheed Matin- Financials'!E40/'Lockheed Matin- Financials'!E58</f>
        <v>8.4305901911886956</v>
      </c>
      <c r="N27" s="39">
        <f>'Lockheed Matin- Financials'!F40/'Lockheed Matin- Financials'!F58</f>
        <v>4.6421206314444747</v>
      </c>
      <c r="O27" s="39">
        <f>'Lockheed Matin- Financials'!G40/'Lockheed Matin- Financials'!G58</f>
        <v>5.7068853874379455</v>
      </c>
      <c r="P27" s="38"/>
      <c r="Q27" s="178"/>
    </row>
    <row r="28" spans="2:17" x14ac:dyDescent="0.3">
      <c r="B28" s="177" t="s">
        <v>193</v>
      </c>
      <c r="C28" s="38"/>
      <c r="D28" s="38"/>
      <c r="E28" s="38"/>
      <c r="F28" s="38"/>
      <c r="G28" s="38"/>
      <c r="H28" s="38"/>
      <c r="I28" s="38"/>
      <c r="J28" s="38"/>
      <c r="K28" s="38"/>
      <c r="L28" s="39">
        <f>'Lockheed Matin- Financials'!D72/('Lockheed Matin- Financials'!D43+'Lockheed Matin- Financials'!D46)</f>
        <v>0.57776197249881456</v>
      </c>
      <c r="M28" s="39">
        <f>'Lockheed Matin- Financials'!E72/('Lockheed Matin- Financials'!E43+'Lockheed Matin- Financials'!E46)</f>
        <v>0.67244638014627334</v>
      </c>
      <c r="N28" s="39">
        <f>'Lockheed Matin- Financials'!F72/('Lockheed Matin- Financials'!F43+'Lockheed Matin- Financials'!F46)</f>
        <v>0.79014567266495284</v>
      </c>
      <c r="O28" s="39">
        <f>'Lockheed Matin- Financials'!G72/('Lockheed Matin- Financials'!G43+'Lockheed Matin- Financials'!G46)</f>
        <v>0.50567113876466396</v>
      </c>
      <c r="P28" s="38"/>
      <c r="Q28" s="178"/>
    </row>
    <row r="29" spans="2:17" x14ac:dyDescent="0.3">
      <c r="B29" s="177"/>
      <c r="C29" s="38"/>
      <c r="D29" s="38"/>
      <c r="E29" s="38"/>
      <c r="F29" s="38"/>
      <c r="G29" s="38"/>
      <c r="H29" s="38"/>
      <c r="I29" s="38"/>
      <c r="J29" s="38"/>
      <c r="K29" s="38"/>
      <c r="L29" s="38"/>
      <c r="M29" s="38"/>
      <c r="N29" s="38"/>
      <c r="O29" s="38"/>
      <c r="P29" s="38"/>
      <c r="Q29" s="178"/>
    </row>
    <row r="30" spans="2:17" x14ac:dyDescent="0.3">
      <c r="B30" s="469" t="s">
        <v>122</v>
      </c>
      <c r="C30" s="470"/>
      <c r="D30" s="470"/>
      <c r="E30" s="470"/>
      <c r="F30" s="470"/>
      <c r="G30" s="470"/>
      <c r="H30" s="470"/>
      <c r="I30" s="470"/>
      <c r="J30" s="470"/>
      <c r="K30" s="470"/>
      <c r="L30" s="470"/>
      <c r="M30" s="470"/>
      <c r="N30" s="470"/>
      <c r="O30" s="470"/>
      <c r="P30" s="470"/>
      <c r="Q30" s="471"/>
    </row>
    <row r="31" spans="2:17" x14ac:dyDescent="0.3">
      <c r="B31" s="177"/>
      <c r="C31" s="38"/>
      <c r="D31" s="38"/>
      <c r="E31" s="38"/>
      <c r="F31" s="38"/>
      <c r="G31" s="38"/>
      <c r="H31" s="38"/>
      <c r="I31" s="38"/>
      <c r="J31" s="38"/>
      <c r="K31" s="38"/>
      <c r="L31" s="49">
        <f>L22</f>
        <v>43800</v>
      </c>
      <c r="M31" s="49">
        <f t="shared" ref="M31:O31" si="3">M22</f>
        <v>44166</v>
      </c>
      <c r="N31" s="49">
        <f t="shared" si="3"/>
        <v>44532</v>
      </c>
      <c r="O31" s="49">
        <f t="shared" si="3"/>
        <v>44898</v>
      </c>
      <c r="P31" s="38"/>
      <c r="Q31" s="178"/>
    </row>
    <row r="32" spans="2:17" x14ac:dyDescent="0.3">
      <c r="B32" s="177" t="s">
        <v>123</v>
      </c>
      <c r="C32" s="38"/>
      <c r="D32" s="38"/>
      <c r="E32" s="38"/>
      <c r="F32" s="38"/>
      <c r="G32" s="38"/>
      <c r="H32" s="38"/>
      <c r="I32" s="38"/>
      <c r="J32" s="38"/>
      <c r="K32" s="38"/>
      <c r="L32" s="39">
        <f>'Lockheed Matin- Financials'!D4/'Lockheed Matin- Financials'!D40</f>
        <v>1.2584581720249117</v>
      </c>
      <c r="M32" s="39">
        <f>'Lockheed Matin- Financials'!E4/'Lockheed Matin- Financials'!E40</f>
        <v>1.289647012423585</v>
      </c>
      <c r="N32" s="39">
        <f>'Lockheed Matin- Financials'!F4/'Lockheed Matin- Financials'!F40</f>
        <v>1.3178699899750359</v>
      </c>
      <c r="O32" s="39">
        <f>'Lockheed Matin- Financials'!G4/'Lockheed Matin- Financials'!G40</f>
        <v>1.2478063540090771</v>
      </c>
      <c r="P32" s="38"/>
      <c r="Q32" s="178"/>
    </row>
    <row r="33" spans="2:17" x14ac:dyDescent="0.3">
      <c r="B33" s="177" t="s">
        <v>124</v>
      </c>
      <c r="C33" s="38"/>
      <c r="D33" s="38"/>
      <c r="E33" s="38"/>
      <c r="F33" s="38"/>
      <c r="G33" s="38"/>
      <c r="H33" s="38"/>
      <c r="I33" s="38"/>
      <c r="J33" s="38"/>
      <c r="K33" s="38"/>
      <c r="L33" s="39">
        <f>'Lockheed Matin- Financials'!D4/'Analysis- LMT'!L83</f>
        <v>19.152097342299072</v>
      </c>
      <c r="M33" s="39">
        <f>'Lockheed Matin- Financials'!E4/'Analysis- LMT'!M83</f>
        <v>12.010651974288338</v>
      </c>
      <c r="N33" s="39">
        <f>'Lockheed Matin- Financials'!F4/'Analysis- LMT'!N83</f>
        <v>11.52354761086284</v>
      </c>
      <c r="O33" s="39">
        <f>'Lockheed Matin- Financials'!G4/'Analysis- LMT'!O83</f>
        <v>12.927899686520377</v>
      </c>
      <c r="P33" s="38"/>
      <c r="Q33" s="178"/>
    </row>
    <row r="34" spans="2:17" x14ac:dyDescent="0.3">
      <c r="B34" s="177" t="s">
        <v>125</v>
      </c>
      <c r="C34" s="38"/>
      <c r="D34" s="38"/>
      <c r="E34" s="38"/>
      <c r="F34" s="38"/>
      <c r="G34" s="38"/>
      <c r="H34" s="38"/>
      <c r="I34" s="38"/>
      <c r="J34" s="38"/>
      <c r="K34" s="38"/>
      <c r="L34" s="39">
        <f>'Lockheed Matin- Financials'!D5/'Lockheed Matin- Financials'!D30</f>
        <v>14.215252832274109</v>
      </c>
      <c r="M34" s="39">
        <f>'Lockheed Matin- Financials'!E5/'Lockheed Matin- Financials'!E30</f>
        <v>16.006770098730605</v>
      </c>
      <c r="N34" s="39">
        <f>'Lockheed Matin- Financials'!F5/'Lockheed Matin- Financials'!F30</f>
        <v>19.450855417645087</v>
      </c>
      <c r="O34" s="39">
        <f>'Lockheed Matin- Financials'!G5/'Lockheed Matin- Financials'!G30</f>
        <v>18.684261658031087</v>
      </c>
      <c r="P34" s="38"/>
      <c r="Q34" s="178"/>
    </row>
    <row r="35" spans="2:17" x14ac:dyDescent="0.3">
      <c r="B35" s="177" t="s">
        <v>126</v>
      </c>
      <c r="C35" s="38"/>
      <c r="D35" s="38"/>
      <c r="E35" s="38"/>
      <c r="F35" s="38"/>
      <c r="G35" s="38"/>
      <c r="H35" s="38"/>
      <c r="I35" s="38"/>
      <c r="J35" s="38"/>
      <c r="K35" s="38"/>
      <c r="L35" s="39">
        <f>'Lockheed Matin- Financials'!D4/'Lockheed Matin- Financials'!D29</f>
        <v>25.59349593495935</v>
      </c>
      <c r="M35" s="39">
        <f>'Lockheed Matin- Financials'!E4/'Lockheed Matin- Financials'!E29</f>
        <v>33.062689585439841</v>
      </c>
      <c r="N35" s="39">
        <f>'Lockheed Matin- Financials'!F4/'Lockheed Matin- Financials'!F29</f>
        <v>34.153846153846153</v>
      </c>
      <c r="O35" s="39">
        <f>'Lockheed Matin- Financials'!G4/'Lockheed Matin- Financials'!G29</f>
        <v>26.340918163672654</v>
      </c>
      <c r="P35" s="38"/>
      <c r="Q35" s="178"/>
    </row>
    <row r="36" spans="2:17" x14ac:dyDescent="0.3">
      <c r="B36" s="177"/>
      <c r="C36" s="38"/>
      <c r="D36" s="38"/>
      <c r="E36" s="38"/>
      <c r="F36" s="38"/>
      <c r="G36" s="38"/>
      <c r="H36" s="38"/>
      <c r="I36" s="38"/>
      <c r="J36" s="38"/>
      <c r="K36" s="38"/>
      <c r="L36" s="38"/>
      <c r="M36" s="38"/>
      <c r="N36" s="38"/>
      <c r="O36" s="38"/>
      <c r="P36" s="38"/>
      <c r="Q36" s="178"/>
    </row>
    <row r="37" spans="2:17" x14ac:dyDescent="0.3">
      <c r="B37" s="469" t="s">
        <v>131</v>
      </c>
      <c r="C37" s="470"/>
      <c r="D37" s="470"/>
      <c r="E37" s="470"/>
      <c r="F37" s="470"/>
      <c r="G37" s="470"/>
      <c r="H37" s="470"/>
      <c r="I37" s="470"/>
      <c r="J37" s="470"/>
      <c r="K37" s="470"/>
      <c r="L37" s="470"/>
      <c r="M37" s="470"/>
      <c r="N37" s="470"/>
      <c r="O37" s="470"/>
      <c r="P37" s="470"/>
      <c r="Q37" s="471"/>
    </row>
    <row r="38" spans="2:17" x14ac:dyDescent="0.3">
      <c r="B38" s="177"/>
      <c r="C38" s="38"/>
      <c r="D38" s="38"/>
      <c r="E38" s="38"/>
      <c r="F38" s="38"/>
      <c r="G38" s="38"/>
      <c r="H38" s="38"/>
      <c r="I38" s="38"/>
      <c r="J38" s="38"/>
      <c r="K38" s="38"/>
      <c r="L38" s="49">
        <f>L31</f>
        <v>43800</v>
      </c>
      <c r="M38" s="49">
        <f t="shared" ref="M38:O38" si="4">M31</f>
        <v>44166</v>
      </c>
      <c r="N38" s="49">
        <f t="shared" si="4"/>
        <v>44532</v>
      </c>
      <c r="O38" s="49">
        <f t="shared" si="4"/>
        <v>44898</v>
      </c>
      <c r="P38" s="38"/>
      <c r="Q38" s="178"/>
    </row>
    <row r="39" spans="2:17" x14ac:dyDescent="0.3">
      <c r="B39" s="177" t="s">
        <v>132</v>
      </c>
      <c r="C39" s="38"/>
      <c r="D39" s="38"/>
      <c r="E39" s="38"/>
      <c r="F39" s="38"/>
      <c r="G39" s="38"/>
      <c r="H39" s="38"/>
      <c r="I39" s="38"/>
      <c r="J39" s="38"/>
      <c r="K39" s="38"/>
      <c r="L39" s="67">
        <f>'Lockheed Matin- Financials'!D22/'Lockheed Matin- Financials'!D58</f>
        <v>1.992324912056284</v>
      </c>
      <c r="M39" s="67">
        <f>'Lockheed Matin- Financials'!E22/'Lockheed Matin- Financials'!E58</f>
        <v>1.1359933499584371</v>
      </c>
      <c r="N39" s="67">
        <f>'Lockheed Matin- Financials'!F22/'Lockheed Matin- Financials'!F58</f>
        <v>0.57623870791130583</v>
      </c>
      <c r="O39" s="67">
        <f>'Lockheed Matin- Financials'!G22/'Lockheed Matin- Financials'!G58</f>
        <v>0.6186056550830995</v>
      </c>
      <c r="P39" s="38"/>
      <c r="Q39" s="178"/>
    </row>
    <row r="40" spans="2:17" x14ac:dyDescent="0.3">
      <c r="B40" s="177" t="s">
        <v>133</v>
      </c>
      <c r="C40" s="38"/>
      <c r="D40" s="38"/>
      <c r="E40" s="38"/>
      <c r="F40" s="38"/>
      <c r="G40" s="38"/>
      <c r="H40" s="38"/>
      <c r="I40" s="38"/>
      <c r="J40" s="38"/>
      <c r="K40" s="38"/>
      <c r="L40" s="67">
        <f>'Lockheed Matin- Financials'!D21/'Lockheed Matin- Financials'!D40</f>
        <v>0.13108062615721258</v>
      </c>
      <c r="M40" s="67">
        <f>'Lockheed Matin- Financials'!E21/'Lockheed Matin- Financials'!E40</f>
        <v>0.13474659830408203</v>
      </c>
      <c r="N40" s="67">
        <f>'Lockheed Matin- Financials'!F21/'Lockheed Matin- Financials'!F40</f>
        <v>0.12413264403514634</v>
      </c>
      <c r="O40" s="67">
        <f>'Lockheed Matin- Financials'!G21/'Lockheed Matin- Financials'!G40</f>
        <v>0.1083963691376702</v>
      </c>
      <c r="P40" s="38"/>
      <c r="Q40" s="178"/>
    </row>
    <row r="41" spans="2:17" x14ac:dyDescent="0.3">
      <c r="B41" s="177" t="s">
        <v>134</v>
      </c>
      <c r="C41" s="38"/>
      <c r="D41" s="38"/>
      <c r="E41" s="38"/>
      <c r="F41" s="38"/>
      <c r="G41" s="38"/>
      <c r="H41" s="38"/>
      <c r="I41" s="38"/>
      <c r="J41" s="38"/>
      <c r="K41" s="38"/>
      <c r="L41" s="67">
        <f>'Lockheed Matin- Financials'!D22/('Lockheed Matin- Financials'!D58+'Lockheed Matin- Financials'!D46+'Lockheed Matin- Financials'!D43)</f>
        <v>0.39477853114504785</v>
      </c>
      <c r="M41" s="67">
        <f>'Lockheed Matin- Financials'!E22/('Lockheed Matin- Financials'!E58+'Lockheed Matin- Financials'!E46+'Lockheed Matin- Financials'!E43)</f>
        <v>0.3757699076110867</v>
      </c>
      <c r="N41" s="67">
        <f>'Lockheed Matin- Financials'!F22/('Lockheed Matin- Financials'!F58+'Lockheed Matin- Financials'!F46+'Lockheed Matin- Financials'!F43)</f>
        <v>0.27906668434309956</v>
      </c>
      <c r="O41" s="67">
        <f>'Lockheed Matin- Financials'!G22/('Lockheed Matin- Financials'!G58+'Lockheed Matin- Financials'!G46+'Lockheed Matin- Financials'!G43)</f>
        <v>0.23211176351488155</v>
      </c>
      <c r="P41" s="38"/>
      <c r="Q41" s="178"/>
    </row>
    <row r="42" spans="2:17" x14ac:dyDescent="0.3">
      <c r="B42" s="177" t="s">
        <v>135</v>
      </c>
      <c r="C42" s="38"/>
      <c r="D42" s="38"/>
      <c r="E42" s="38"/>
      <c r="F42" s="38"/>
      <c r="G42" s="38"/>
      <c r="H42" s="38"/>
      <c r="I42" s="38"/>
      <c r="J42" s="38"/>
      <c r="K42" s="38"/>
      <c r="L42" s="67">
        <f>'Lockheed Matin- Financials'!D22/('Lockheed Matin- Financials'!D35+'Analysis- LMT'!L83)</f>
        <v>0.6413423924233066</v>
      </c>
      <c r="M42" s="67">
        <f>'Lockheed Matin- Financials'!E22/('Lockheed Matin- Financials'!E35+'Analysis- LMT'!M83)</f>
        <v>0.53981671670090059</v>
      </c>
      <c r="N42" s="67">
        <f>'Lockheed Matin- Financials'!F22/('Lockheed Matin- Financials'!F35+'Analysis- LMT'!N83)</f>
        <v>0.47074170704435336</v>
      </c>
      <c r="O42" s="67">
        <f>'Lockheed Matin- Financials'!G22/('Lockheed Matin- Financials'!G35+'Analysis- LMT'!O83)</f>
        <v>0.43825980579555013</v>
      </c>
      <c r="P42" s="38"/>
      <c r="Q42" s="178"/>
    </row>
    <row r="43" spans="2:17" x14ac:dyDescent="0.3">
      <c r="B43" s="177" t="s">
        <v>136</v>
      </c>
      <c r="C43" s="38"/>
      <c r="D43" s="38"/>
      <c r="E43" s="38"/>
      <c r="F43" s="38"/>
      <c r="G43" s="38"/>
      <c r="H43" s="38"/>
      <c r="I43" s="38"/>
      <c r="J43" s="38"/>
      <c r="K43" s="38"/>
      <c r="L43" s="67">
        <f>('Lockheed Matin- Financials'!D14+'Lockheed Matin- Financials'!D66)/'Lockheed Matin- Financials'!D4</f>
        <v>0.13799906373303017</v>
      </c>
      <c r="M43" s="67">
        <f>('Lockheed Matin- Financials'!E14+'Lockheed Matin- Financials'!E66)/'Lockheed Matin- Financials'!E4</f>
        <v>0.14162512615064682</v>
      </c>
      <c r="N43" s="67">
        <f>('Lockheed Matin- Financials'!F14+'Lockheed Matin- Financials'!F66)/'Lockheed Matin- Financials'!F4</f>
        <v>0.14712725971004117</v>
      </c>
      <c r="O43" s="67">
        <f>('Lockheed Matin- Financials'!G14+'Lockheed Matin- Financials'!G66)/'Lockheed Matin- Financials'!G4</f>
        <v>0.1266064500484966</v>
      </c>
      <c r="P43" s="38"/>
      <c r="Q43" s="178"/>
    </row>
    <row r="44" spans="2:17" x14ac:dyDescent="0.3">
      <c r="B44" s="177" t="s">
        <v>137</v>
      </c>
      <c r="C44" s="38"/>
      <c r="D44" s="38"/>
      <c r="E44" s="38"/>
      <c r="F44" s="38"/>
      <c r="G44" s="38"/>
      <c r="H44" s="38"/>
      <c r="I44" s="38"/>
      <c r="J44" s="38"/>
      <c r="K44" s="38"/>
      <c r="L44" s="67">
        <f>'Lockheed Matin- Financials'!D22/'Lockheed Matin- Financials'!D4</f>
        <v>0.10415970039456965</v>
      </c>
      <c r="M44" s="67">
        <f>'Lockheed Matin- Financials'!E22/'Lockheed Matin- Financials'!E4</f>
        <v>0.10448331753264625</v>
      </c>
      <c r="N44" s="67">
        <f>'Lockheed Matin- Financials'!F22/'Lockheed Matin- Financials'!F4</f>
        <v>9.4191873993198491E-2</v>
      </c>
      <c r="O44" s="67">
        <f>'Lockheed Matin- Financials'!G22/'Lockheed Matin- Financials'!G4</f>
        <v>8.6869544131910767E-2</v>
      </c>
      <c r="P44" s="38"/>
      <c r="Q44" s="178"/>
    </row>
    <row r="45" spans="2:17" x14ac:dyDescent="0.3">
      <c r="B45" s="177"/>
      <c r="C45" s="38"/>
      <c r="D45" s="38"/>
      <c r="E45" s="38"/>
      <c r="F45" s="38"/>
      <c r="G45" s="38"/>
      <c r="H45" s="38"/>
      <c r="I45" s="38"/>
      <c r="J45" s="38"/>
      <c r="K45" s="38"/>
      <c r="L45" s="38"/>
      <c r="M45" s="38"/>
      <c r="N45" s="38"/>
      <c r="O45" s="38"/>
      <c r="P45" s="38"/>
      <c r="Q45" s="178"/>
    </row>
    <row r="46" spans="2:17" x14ac:dyDescent="0.3">
      <c r="B46" s="469" t="s">
        <v>127</v>
      </c>
      <c r="C46" s="470"/>
      <c r="D46" s="470"/>
      <c r="E46" s="470"/>
      <c r="F46" s="470"/>
      <c r="G46" s="470"/>
      <c r="H46" s="470"/>
      <c r="I46" s="470"/>
      <c r="J46" s="470"/>
      <c r="K46" s="470"/>
      <c r="L46" s="470"/>
      <c r="M46" s="470"/>
      <c r="N46" s="470"/>
      <c r="O46" s="470"/>
      <c r="P46" s="470"/>
      <c r="Q46" s="471"/>
    </row>
    <row r="47" spans="2:17" x14ac:dyDescent="0.3">
      <c r="B47" s="177"/>
      <c r="C47" s="38"/>
      <c r="D47" s="38"/>
      <c r="E47" s="38"/>
      <c r="F47" s="38"/>
      <c r="G47" s="38"/>
      <c r="H47" s="38"/>
      <c r="I47" s="38"/>
      <c r="J47" s="38"/>
      <c r="K47" s="38"/>
      <c r="L47" s="49">
        <f>L38</f>
        <v>43800</v>
      </c>
      <c r="M47" s="49">
        <f t="shared" ref="M47:O47" si="5">M38</f>
        <v>44166</v>
      </c>
      <c r="N47" s="49">
        <f t="shared" si="5"/>
        <v>44532</v>
      </c>
      <c r="O47" s="49">
        <f t="shared" si="5"/>
        <v>44898</v>
      </c>
      <c r="P47" s="38"/>
      <c r="Q47" s="178"/>
    </row>
    <row r="48" spans="2:17" x14ac:dyDescent="0.3">
      <c r="B48" s="177" t="s">
        <v>128</v>
      </c>
      <c r="C48" s="38"/>
      <c r="D48" s="38"/>
      <c r="E48" s="38"/>
      <c r="F48" s="38"/>
      <c r="G48" s="38"/>
      <c r="H48" s="38"/>
      <c r="I48" s="38"/>
      <c r="J48" s="38"/>
      <c r="K48" s="38"/>
      <c r="L48" s="39">
        <f>'Lockheed Matin- Financials'!D23/'Lockheed Matin- Financials'!D4</f>
        <v>1.8292315923226108</v>
      </c>
      <c r="M48" s="39">
        <f>'Lockheed Matin- Financials'!E23/'Lockheed Matin- Financials'!E4</f>
        <v>1.5185479678277622</v>
      </c>
      <c r="N48" s="39">
        <f>'Lockheed Matin- Financials'!F23/'Lockheed Matin- Financials'!F4</f>
        <v>1.4365193007577113</v>
      </c>
      <c r="O48" s="39">
        <f>'Lockheed Matin- Financials'!G23/'Lockheed Matin- Financials'!G4</f>
        <v>1.9321350630455869</v>
      </c>
      <c r="P48" s="38"/>
      <c r="Q48" s="178"/>
    </row>
    <row r="49" spans="2:17" x14ac:dyDescent="0.3">
      <c r="B49" s="177" t="s">
        <v>129</v>
      </c>
      <c r="C49" s="38"/>
      <c r="D49" s="38"/>
      <c r="E49" s="38"/>
      <c r="F49" s="38"/>
      <c r="G49" s="38"/>
      <c r="H49" s="38"/>
      <c r="I49" s="38"/>
      <c r="J49" s="38"/>
      <c r="K49" s="38"/>
      <c r="L49" s="39">
        <f>'Lockheed Matin- Financials'!D23/'Lockheed Matin- Financials'!D22</f>
        <v>17.561797752808989</v>
      </c>
      <c r="M49" s="39">
        <f>'Lockheed Matin- Financials'!E23/'Lockheed Matin- Financials'!E22</f>
        <v>14.533879701448852</v>
      </c>
      <c r="N49" s="39">
        <f>'Lockheed Matin- Financials'!F23/'Lockheed Matin- Financials'!F22</f>
        <v>15.250989707046713</v>
      </c>
      <c r="O49" s="39">
        <f>'Lockheed Matin- Financials'!G23/'Lockheed Matin- Financials'!G22</f>
        <v>22.241800418702024</v>
      </c>
      <c r="P49" s="38"/>
      <c r="Q49" s="178"/>
    </row>
    <row r="50" spans="2:17" x14ac:dyDescent="0.3">
      <c r="B50" s="177" t="s">
        <v>140</v>
      </c>
      <c r="C50" s="38"/>
      <c r="D50" s="38"/>
      <c r="E50" s="38"/>
      <c r="F50" s="38"/>
      <c r="G50" s="38"/>
      <c r="H50" s="38"/>
      <c r="I50" s="38"/>
      <c r="J50" s="38"/>
      <c r="K50" s="38"/>
      <c r="L50" s="39">
        <f>'Lockheed Matin- Financials'!D23/'Lockheed Matin- Financials'!D72</f>
        <v>14.965121050471891</v>
      </c>
      <c r="M50" s="39">
        <f>'Lockheed Matin- Financials'!E23/'Lockheed Matin- Financials'!E72</f>
        <v>12.136135891482342</v>
      </c>
      <c r="N50" s="39">
        <f>'Lockheed Matin- Financials'!F23/'Lockheed Matin- Financials'!F72</f>
        <v>10.444637241080143</v>
      </c>
      <c r="O50" s="39">
        <f>'Lockheed Matin- Financials'!G23/'Lockheed Matin- Financials'!G72</f>
        <v>16.340681876441938</v>
      </c>
      <c r="P50" s="38"/>
      <c r="Q50" s="178"/>
    </row>
    <row r="51" spans="2:17" x14ac:dyDescent="0.3">
      <c r="B51" s="177" t="s">
        <v>130</v>
      </c>
      <c r="C51" s="38"/>
      <c r="D51" s="38"/>
      <c r="E51" s="38"/>
      <c r="F51" s="38"/>
      <c r="G51" s="38"/>
      <c r="H51" s="38"/>
      <c r="I51" s="38"/>
      <c r="J51" s="38"/>
      <c r="K51" s="38"/>
      <c r="L51" s="39">
        <f>'Lockheed Matin- Financials'!D23/'Lockheed Matin- Financials'!D58</f>
        <v>34.988807163415416</v>
      </c>
      <c r="M51" s="39">
        <f>'Lockheed Matin- Financials'!E23/'Lockheed Matin- Financials'!E58</f>
        <v>16.510390689941811</v>
      </c>
      <c r="N51" s="39">
        <f>'Lockheed Matin- Financials'!F23/'Lockheed Matin- Financials'!F58</f>
        <v>8.7882106031572231</v>
      </c>
      <c r="O51" s="39">
        <f>'Lockheed Matin- Financials'!G23/'Lockheed Matin- Financials'!G58</f>
        <v>13.758903518238721</v>
      </c>
      <c r="P51" s="38"/>
      <c r="Q51" s="178"/>
    </row>
    <row r="52" spans="2:17" x14ac:dyDescent="0.3">
      <c r="B52" s="177"/>
      <c r="C52" s="38"/>
      <c r="D52" s="38"/>
      <c r="E52" s="38"/>
      <c r="F52" s="38"/>
      <c r="G52" s="38"/>
      <c r="H52" s="38"/>
      <c r="I52" s="38"/>
      <c r="J52" s="38"/>
      <c r="K52" s="38"/>
      <c r="L52" s="38"/>
      <c r="M52" s="38"/>
      <c r="N52" s="38"/>
      <c r="O52" s="38"/>
      <c r="P52" s="38"/>
      <c r="Q52" s="178"/>
    </row>
    <row r="53" spans="2:17" x14ac:dyDescent="0.3">
      <c r="B53" s="469" t="s">
        <v>138</v>
      </c>
      <c r="C53" s="470"/>
      <c r="D53" s="470"/>
      <c r="E53" s="470"/>
      <c r="F53" s="470"/>
      <c r="G53" s="470"/>
      <c r="H53" s="470"/>
      <c r="I53" s="470"/>
      <c r="J53" s="470"/>
      <c r="K53" s="470"/>
      <c r="L53" s="470"/>
      <c r="M53" s="470"/>
      <c r="N53" s="470"/>
      <c r="O53" s="470"/>
      <c r="P53" s="470"/>
      <c r="Q53" s="471"/>
    </row>
    <row r="54" spans="2:17" x14ac:dyDescent="0.3">
      <c r="B54" s="177"/>
      <c r="C54" s="38"/>
      <c r="D54" s="38"/>
      <c r="E54" s="38"/>
      <c r="F54" s="38"/>
      <c r="G54" s="38"/>
      <c r="H54" s="38"/>
      <c r="I54" s="38"/>
      <c r="J54" s="38"/>
      <c r="K54" s="38"/>
      <c r="L54" s="49">
        <f>L47</f>
        <v>43800</v>
      </c>
      <c r="M54" s="49">
        <f t="shared" ref="M54:O54" si="6">M47</f>
        <v>44166</v>
      </c>
      <c r="N54" s="49">
        <f t="shared" si="6"/>
        <v>44532</v>
      </c>
      <c r="O54" s="49">
        <f t="shared" si="6"/>
        <v>44898</v>
      </c>
      <c r="P54" s="38"/>
      <c r="Q54" s="178"/>
    </row>
    <row r="55" spans="2:17" x14ac:dyDescent="0.3">
      <c r="B55" s="177" t="s">
        <v>23</v>
      </c>
      <c r="C55" s="38"/>
      <c r="D55" s="38"/>
      <c r="E55" s="38"/>
      <c r="F55" s="38"/>
      <c r="G55" s="38"/>
      <c r="H55" s="38"/>
      <c r="I55" s="38"/>
      <c r="J55" s="38"/>
      <c r="K55" s="38"/>
      <c r="L55" s="51">
        <f>'Lockheed Matin- Financials'!D22</f>
        <v>6230000</v>
      </c>
      <c r="M55" s="51">
        <f>'Lockheed Matin- Financials'!E22</f>
        <v>6833000</v>
      </c>
      <c r="N55" s="51">
        <f>'Lockheed Matin- Financials'!F22</f>
        <v>6315000</v>
      </c>
      <c r="O55" s="51">
        <f>'Lockheed Matin- Financials'!G22</f>
        <v>5732000</v>
      </c>
      <c r="P55" s="38"/>
      <c r="Q55" s="178"/>
    </row>
    <row r="56" spans="2:17" x14ac:dyDescent="0.3">
      <c r="B56" s="177" t="s">
        <v>139</v>
      </c>
      <c r="C56" s="38"/>
      <c r="D56" s="38"/>
      <c r="E56" s="38"/>
      <c r="F56" s="38"/>
      <c r="G56" s="38"/>
      <c r="H56" s="38"/>
      <c r="I56" s="38"/>
      <c r="J56" s="38"/>
      <c r="K56" s="38"/>
      <c r="L56" s="51">
        <f>'Lockheed Matin- Financials'!D4</f>
        <v>59812000</v>
      </c>
      <c r="M56" s="51">
        <f>'Lockheed Matin- Financials'!E4</f>
        <v>65398000</v>
      </c>
      <c r="N56" s="51">
        <f>'Lockheed Matin- Financials'!F4</f>
        <v>67044000</v>
      </c>
      <c r="O56" s="51">
        <f>'Lockheed Matin- Financials'!G4</f>
        <v>65984000</v>
      </c>
      <c r="P56" s="38"/>
      <c r="Q56" s="178"/>
    </row>
    <row r="57" spans="2:17" x14ac:dyDescent="0.3">
      <c r="B57" s="177" t="s">
        <v>39</v>
      </c>
      <c r="C57" s="38"/>
      <c r="D57" s="38"/>
      <c r="E57" s="38"/>
      <c r="F57" s="38"/>
      <c r="G57" s="38"/>
      <c r="H57" s="38"/>
      <c r="I57" s="38"/>
      <c r="J57" s="38"/>
      <c r="K57" s="38"/>
      <c r="L57" s="51">
        <f>'Lockheed Matin- Financials'!D40</f>
        <v>47528000</v>
      </c>
      <c r="M57" s="51">
        <f>'Lockheed Matin- Financials'!E40</f>
        <v>50710000</v>
      </c>
      <c r="N57" s="51">
        <f>'Lockheed Matin- Financials'!F40</f>
        <v>50873000</v>
      </c>
      <c r="O57" s="51">
        <f>'Lockheed Matin- Financials'!G40</f>
        <v>52880000</v>
      </c>
      <c r="P57" s="38"/>
      <c r="Q57" s="178"/>
    </row>
    <row r="58" spans="2:17" x14ac:dyDescent="0.3">
      <c r="B58" s="177" t="s">
        <v>141</v>
      </c>
      <c r="C58" s="38"/>
      <c r="D58" s="38"/>
      <c r="E58" s="38"/>
      <c r="F58" s="38"/>
      <c r="G58" s="38"/>
      <c r="H58" s="38"/>
      <c r="I58" s="38"/>
      <c r="J58" s="38"/>
      <c r="K58" s="38"/>
      <c r="L58" s="51">
        <f>'Lockheed Matin- Financials'!D58</f>
        <v>3127000</v>
      </c>
      <c r="M58" s="51">
        <f>'Lockheed Matin- Financials'!E58</f>
        <v>6015000</v>
      </c>
      <c r="N58" s="51">
        <f>'Lockheed Matin- Financials'!F58</f>
        <v>10959000</v>
      </c>
      <c r="O58" s="51">
        <f>'Lockheed Matin- Financials'!G58</f>
        <v>9266000</v>
      </c>
      <c r="P58" s="38"/>
      <c r="Q58" s="178"/>
    </row>
    <row r="59" spans="2:17" x14ac:dyDescent="0.3">
      <c r="B59" s="177" t="s">
        <v>142</v>
      </c>
      <c r="C59" s="38"/>
      <c r="D59" s="38"/>
      <c r="E59" s="38"/>
      <c r="F59" s="38"/>
      <c r="G59" s="38"/>
      <c r="H59" s="38"/>
      <c r="I59" s="38"/>
      <c r="J59" s="38"/>
      <c r="K59" s="38"/>
      <c r="L59" s="67">
        <f>L55/L56</f>
        <v>0.10415970039456965</v>
      </c>
      <c r="M59" s="67">
        <f t="shared" ref="M59:O59" si="7">M55/M56</f>
        <v>0.10448331753264625</v>
      </c>
      <c r="N59" s="67">
        <f t="shared" si="7"/>
        <v>9.4191873993198491E-2</v>
      </c>
      <c r="O59" s="67">
        <f t="shared" si="7"/>
        <v>8.6869544131910767E-2</v>
      </c>
      <c r="P59" s="38"/>
      <c r="Q59" s="178"/>
    </row>
    <row r="60" spans="2:17" x14ac:dyDescent="0.3">
      <c r="B60" s="177" t="s">
        <v>143</v>
      </c>
      <c r="C60" s="38"/>
      <c r="D60" s="38"/>
      <c r="E60" s="38"/>
      <c r="F60" s="38"/>
      <c r="G60" s="38"/>
      <c r="H60" s="38"/>
      <c r="I60" s="38"/>
      <c r="J60" s="38"/>
      <c r="K60" s="38"/>
      <c r="L60" s="39">
        <f>L56/L57</f>
        <v>1.2584581720249117</v>
      </c>
      <c r="M60" s="39">
        <f t="shared" ref="M60:O60" si="8">M56/M57</f>
        <v>1.289647012423585</v>
      </c>
      <c r="N60" s="39">
        <f t="shared" si="8"/>
        <v>1.3178699899750359</v>
      </c>
      <c r="O60" s="39">
        <f t="shared" si="8"/>
        <v>1.2478063540090771</v>
      </c>
      <c r="P60" s="38"/>
      <c r="Q60" s="178"/>
    </row>
    <row r="61" spans="2:17" x14ac:dyDescent="0.3">
      <c r="B61" s="177" t="s">
        <v>144</v>
      </c>
      <c r="C61" s="38"/>
      <c r="D61" s="38"/>
      <c r="E61" s="38"/>
      <c r="F61" s="38"/>
      <c r="G61" s="38"/>
      <c r="H61" s="38"/>
      <c r="I61" s="38"/>
      <c r="J61" s="38"/>
      <c r="K61" s="38"/>
      <c r="L61" s="39">
        <f>L57/L58</f>
        <v>15.199232491205628</v>
      </c>
      <c r="M61" s="39">
        <f t="shared" ref="M61:O61" si="9">M57/M58</f>
        <v>8.4305901911886956</v>
      </c>
      <c r="N61" s="39">
        <f t="shared" si="9"/>
        <v>4.6421206314444747</v>
      </c>
      <c r="O61" s="39">
        <f t="shared" si="9"/>
        <v>5.7068853874379455</v>
      </c>
      <c r="P61" s="38"/>
      <c r="Q61" s="178"/>
    </row>
    <row r="62" spans="2:17" x14ac:dyDescent="0.3">
      <c r="B62" s="250" t="s">
        <v>145</v>
      </c>
      <c r="C62" s="251"/>
      <c r="D62" s="251"/>
      <c r="E62" s="251"/>
      <c r="F62" s="251"/>
      <c r="G62" s="251"/>
      <c r="H62" s="251"/>
      <c r="I62" s="251"/>
      <c r="J62" s="251"/>
      <c r="K62" s="251"/>
      <c r="L62" s="252">
        <f>L59*L60*L61</f>
        <v>1.9923249120562843</v>
      </c>
      <c r="M62" s="252">
        <f t="shared" ref="M62:O62" si="10">M59*M60*M61</f>
        <v>1.1359933499584374</v>
      </c>
      <c r="N62" s="252">
        <f t="shared" si="10"/>
        <v>0.57623870791130571</v>
      </c>
      <c r="O62" s="252">
        <f t="shared" si="10"/>
        <v>0.61860565508309961</v>
      </c>
      <c r="P62" s="251"/>
      <c r="Q62" s="253"/>
    </row>
    <row r="63" spans="2:17" x14ac:dyDescent="0.3">
      <c r="B63" s="177"/>
      <c r="C63" s="38"/>
      <c r="D63" s="38"/>
      <c r="E63" s="38"/>
      <c r="F63" s="38"/>
      <c r="G63" s="38"/>
      <c r="H63" s="38"/>
      <c r="I63" s="38"/>
      <c r="J63" s="38"/>
      <c r="K63" s="38"/>
      <c r="L63" s="38"/>
      <c r="M63" s="38"/>
      <c r="N63" s="38"/>
      <c r="O63" s="38"/>
      <c r="P63" s="38"/>
      <c r="Q63" s="178"/>
    </row>
    <row r="64" spans="2:17" x14ac:dyDescent="0.3">
      <c r="B64" s="469" t="s">
        <v>254</v>
      </c>
      <c r="C64" s="470"/>
      <c r="D64" s="470"/>
      <c r="E64" s="470"/>
      <c r="F64" s="470"/>
      <c r="G64" s="470"/>
      <c r="H64" s="470"/>
      <c r="I64" s="470"/>
      <c r="J64" s="470"/>
      <c r="K64" s="470"/>
      <c r="L64" s="470"/>
      <c r="M64" s="470"/>
      <c r="N64" s="470"/>
      <c r="O64" s="470"/>
      <c r="P64" s="470"/>
      <c r="Q64" s="471"/>
    </row>
    <row r="65" spans="2:17" x14ac:dyDescent="0.3">
      <c r="B65" s="177"/>
      <c r="C65" s="38"/>
      <c r="D65" s="38"/>
      <c r="E65" s="38"/>
      <c r="F65" s="38"/>
      <c r="G65" s="38"/>
      <c r="H65" s="38"/>
      <c r="I65" s="38"/>
      <c r="J65" s="38"/>
      <c r="K65" s="38"/>
      <c r="L65" s="49">
        <f>L54</f>
        <v>43800</v>
      </c>
      <c r="M65" s="49">
        <f t="shared" ref="M65:O65" si="11">M54</f>
        <v>44166</v>
      </c>
      <c r="N65" s="49">
        <f t="shared" si="11"/>
        <v>44532</v>
      </c>
      <c r="O65" s="49">
        <f t="shared" si="11"/>
        <v>44898</v>
      </c>
      <c r="P65" s="38"/>
      <c r="Q65" s="178"/>
    </row>
    <row r="66" spans="2:17" x14ac:dyDescent="0.3">
      <c r="B66" s="177" t="s">
        <v>23</v>
      </c>
      <c r="C66" s="38"/>
      <c r="D66" s="38"/>
      <c r="E66" s="38"/>
      <c r="F66" s="38"/>
      <c r="G66" s="38"/>
      <c r="H66" s="38"/>
      <c r="I66" s="38"/>
      <c r="J66" s="38"/>
      <c r="K66" s="38"/>
      <c r="L66" s="51">
        <f>L55</f>
        <v>6230000</v>
      </c>
      <c r="M66" s="51">
        <f t="shared" ref="M66:O66" si="12">M55</f>
        <v>6833000</v>
      </c>
      <c r="N66" s="51">
        <f t="shared" si="12"/>
        <v>6315000</v>
      </c>
      <c r="O66" s="51">
        <f t="shared" si="12"/>
        <v>5732000</v>
      </c>
      <c r="P66" s="38"/>
      <c r="Q66" s="178"/>
    </row>
    <row r="67" spans="2:17" x14ac:dyDescent="0.3">
      <c r="B67" s="177" t="s">
        <v>139</v>
      </c>
      <c r="C67" s="38"/>
      <c r="D67" s="38"/>
      <c r="E67" s="38"/>
      <c r="F67" s="38"/>
      <c r="G67" s="38"/>
      <c r="H67" s="38"/>
      <c r="I67" s="38"/>
      <c r="J67" s="38"/>
      <c r="K67" s="38"/>
      <c r="L67" s="51">
        <f>L56</f>
        <v>59812000</v>
      </c>
      <c r="M67" s="51">
        <f t="shared" ref="M67:O67" si="13">M56</f>
        <v>65398000</v>
      </c>
      <c r="N67" s="51">
        <f t="shared" si="13"/>
        <v>67044000</v>
      </c>
      <c r="O67" s="51">
        <f t="shared" si="13"/>
        <v>65984000</v>
      </c>
      <c r="P67" s="38"/>
      <c r="Q67" s="178"/>
    </row>
    <row r="68" spans="2:17" x14ac:dyDescent="0.3">
      <c r="B68" s="177" t="s">
        <v>39</v>
      </c>
      <c r="C68" s="38"/>
      <c r="D68" s="38"/>
      <c r="E68" s="38"/>
      <c r="F68" s="38"/>
      <c r="G68" s="38"/>
      <c r="H68" s="38"/>
      <c r="I68" s="38"/>
      <c r="J68" s="38"/>
      <c r="K68" s="38"/>
      <c r="L68" s="51">
        <f>L57</f>
        <v>47528000</v>
      </c>
      <c r="M68" s="51">
        <f t="shared" ref="M68:O68" si="14">M57</f>
        <v>50710000</v>
      </c>
      <c r="N68" s="51">
        <f t="shared" si="14"/>
        <v>50873000</v>
      </c>
      <c r="O68" s="51">
        <f t="shared" si="14"/>
        <v>52880000</v>
      </c>
      <c r="P68" s="38"/>
      <c r="Q68" s="178"/>
    </row>
    <row r="69" spans="2:17" x14ac:dyDescent="0.3">
      <c r="B69" s="177" t="s">
        <v>142</v>
      </c>
      <c r="C69" s="38"/>
      <c r="D69" s="38"/>
      <c r="E69" s="38"/>
      <c r="F69" s="38"/>
      <c r="G69" s="38"/>
      <c r="H69" s="38"/>
      <c r="I69" s="38"/>
      <c r="J69" s="38"/>
      <c r="K69" s="38"/>
      <c r="L69" s="67">
        <f>L66/L67</f>
        <v>0.10415970039456965</v>
      </c>
      <c r="M69" s="67">
        <f t="shared" ref="M69:O69" si="15">M66/M67</f>
        <v>0.10448331753264625</v>
      </c>
      <c r="N69" s="67">
        <f t="shared" si="15"/>
        <v>9.4191873993198491E-2</v>
      </c>
      <c r="O69" s="67">
        <f t="shared" si="15"/>
        <v>8.6869544131910767E-2</v>
      </c>
      <c r="P69" s="38"/>
      <c r="Q69" s="178"/>
    </row>
    <row r="70" spans="2:17" x14ac:dyDescent="0.3">
      <c r="B70" s="177" t="s">
        <v>143</v>
      </c>
      <c r="C70" s="38"/>
      <c r="D70" s="38"/>
      <c r="E70" s="38"/>
      <c r="F70" s="38"/>
      <c r="G70" s="38"/>
      <c r="H70" s="38"/>
      <c r="I70" s="38"/>
      <c r="J70" s="38"/>
      <c r="K70" s="38"/>
      <c r="L70" s="39">
        <f>L67/L68</f>
        <v>1.2584581720249117</v>
      </c>
      <c r="M70" s="39">
        <f t="shared" ref="M70:O70" si="16">M67/M68</f>
        <v>1.289647012423585</v>
      </c>
      <c r="N70" s="39">
        <f t="shared" si="16"/>
        <v>1.3178699899750359</v>
      </c>
      <c r="O70" s="39">
        <f t="shared" si="16"/>
        <v>1.2478063540090771</v>
      </c>
      <c r="P70" s="38"/>
      <c r="Q70" s="178"/>
    </row>
    <row r="71" spans="2:17" x14ac:dyDescent="0.3">
      <c r="B71" s="250" t="s">
        <v>147</v>
      </c>
      <c r="C71" s="251"/>
      <c r="D71" s="251"/>
      <c r="E71" s="251"/>
      <c r="F71" s="251"/>
      <c r="G71" s="251"/>
      <c r="H71" s="251"/>
      <c r="I71" s="251"/>
      <c r="J71" s="251"/>
      <c r="K71" s="251"/>
      <c r="L71" s="252">
        <f>L69*L70</f>
        <v>0.13108062615721261</v>
      </c>
      <c r="M71" s="252">
        <f t="shared" ref="M71:O71" si="17">M69*M70</f>
        <v>0.13474659830408203</v>
      </c>
      <c r="N71" s="252">
        <f t="shared" si="17"/>
        <v>0.12413264403514634</v>
      </c>
      <c r="O71" s="252">
        <f t="shared" si="17"/>
        <v>0.1083963691376702</v>
      </c>
      <c r="P71" s="251"/>
      <c r="Q71" s="253"/>
    </row>
    <row r="72" spans="2:17" x14ac:dyDescent="0.3">
      <c r="B72" s="177"/>
      <c r="C72" s="38"/>
      <c r="D72" s="38"/>
      <c r="E72" s="38"/>
      <c r="F72" s="38"/>
      <c r="G72" s="38"/>
      <c r="H72" s="38"/>
      <c r="I72" s="38"/>
      <c r="J72" s="38"/>
      <c r="K72" s="38"/>
      <c r="L72" s="38"/>
      <c r="M72" s="38"/>
      <c r="N72" s="38"/>
      <c r="O72" s="38"/>
      <c r="P72" s="38"/>
      <c r="Q72" s="178"/>
    </row>
    <row r="73" spans="2:17" x14ac:dyDescent="0.3">
      <c r="B73" s="248" t="s">
        <v>194</v>
      </c>
      <c r="C73" s="38"/>
      <c r="D73" s="38"/>
      <c r="E73" s="38"/>
      <c r="F73" s="38"/>
      <c r="G73" s="38"/>
      <c r="H73" s="38"/>
      <c r="I73" s="38"/>
      <c r="J73" s="38"/>
      <c r="K73" s="38"/>
      <c r="L73" s="38"/>
      <c r="M73" s="38"/>
      <c r="N73" s="38"/>
      <c r="O73" s="38"/>
      <c r="P73" s="38"/>
      <c r="Q73" s="178"/>
    </row>
    <row r="74" spans="2:17" x14ac:dyDescent="0.3">
      <c r="B74" s="249" t="s">
        <v>272</v>
      </c>
      <c r="C74" s="38"/>
      <c r="D74" s="38"/>
      <c r="E74" s="38"/>
      <c r="F74" s="38"/>
      <c r="G74" s="38"/>
      <c r="H74" s="38"/>
      <c r="I74" s="38"/>
      <c r="J74" s="38"/>
      <c r="K74" s="38"/>
      <c r="L74" s="38"/>
      <c r="M74" s="38"/>
      <c r="N74" s="38"/>
      <c r="O74" s="38"/>
      <c r="P74" s="38"/>
      <c r="Q74" s="178"/>
    </row>
    <row r="75" spans="2:17" x14ac:dyDescent="0.3">
      <c r="B75" s="249" t="s">
        <v>274</v>
      </c>
      <c r="C75" s="38"/>
      <c r="D75" s="38"/>
      <c r="E75" s="38"/>
      <c r="F75" s="38"/>
      <c r="G75" s="38"/>
      <c r="H75" s="38"/>
      <c r="I75" s="38"/>
      <c r="J75" s="38"/>
      <c r="K75" s="38"/>
      <c r="L75" s="38"/>
      <c r="M75" s="38"/>
      <c r="N75" s="38"/>
      <c r="O75" s="38"/>
      <c r="P75" s="38"/>
      <c r="Q75" s="178"/>
    </row>
    <row r="76" spans="2:17" x14ac:dyDescent="0.3">
      <c r="B76" s="249" t="s">
        <v>273</v>
      </c>
      <c r="C76" s="38"/>
      <c r="D76" s="38"/>
      <c r="E76" s="38"/>
      <c r="F76" s="38"/>
      <c r="G76" s="38"/>
      <c r="H76" s="38"/>
      <c r="I76" s="38"/>
      <c r="J76" s="38"/>
      <c r="K76" s="38"/>
      <c r="L76" s="38"/>
      <c r="M76" s="38"/>
      <c r="N76" s="38"/>
      <c r="O76" s="38"/>
      <c r="P76" s="38"/>
      <c r="Q76" s="178"/>
    </row>
    <row r="77" spans="2:17" ht="15" thickBot="1" x14ac:dyDescent="0.35">
      <c r="B77" s="247"/>
      <c r="C77" s="244"/>
      <c r="D77" s="244"/>
      <c r="E77" s="244"/>
      <c r="F77" s="244"/>
      <c r="G77" s="244"/>
      <c r="H77" s="244"/>
      <c r="I77" s="244"/>
      <c r="J77" s="244"/>
      <c r="K77" s="244"/>
      <c r="L77" s="244"/>
      <c r="M77" s="244"/>
      <c r="N77" s="244"/>
      <c r="O77" s="244"/>
      <c r="P77" s="244"/>
      <c r="Q77" s="246"/>
    </row>
    <row r="79" spans="2:17" x14ac:dyDescent="0.3">
      <c r="B79" s="465" t="s">
        <v>209</v>
      </c>
      <c r="C79" s="466"/>
      <c r="D79" s="466"/>
      <c r="E79" s="466"/>
      <c r="F79" s="466"/>
      <c r="G79" s="466"/>
      <c r="H79" s="466"/>
      <c r="I79" s="466"/>
      <c r="J79" s="466"/>
      <c r="K79" s="466"/>
      <c r="L79" s="466"/>
      <c r="M79" s="466"/>
      <c r="N79" s="466"/>
      <c r="O79" s="466"/>
      <c r="P79" s="466"/>
      <c r="Q79" s="467"/>
    </row>
    <row r="80" spans="2:17" x14ac:dyDescent="0.3">
      <c r="B80" s="177"/>
      <c r="C80" s="38"/>
      <c r="D80" s="38"/>
      <c r="E80" s="38"/>
      <c r="F80" s="38"/>
      <c r="G80" s="38"/>
      <c r="H80" s="38"/>
      <c r="I80" s="38"/>
      <c r="J80" s="38"/>
      <c r="K80" s="38"/>
      <c r="L80" s="38"/>
      <c r="M80" s="38"/>
      <c r="N80" s="38"/>
      <c r="O80" s="38"/>
      <c r="P80" s="38"/>
      <c r="Q80" s="178"/>
    </row>
    <row r="81" spans="2:17" x14ac:dyDescent="0.3">
      <c r="B81" s="469" t="s">
        <v>151</v>
      </c>
      <c r="C81" s="470"/>
      <c r="D81" s="470"/>
      <c r="E81" s="470"/>
      <c r="F81" s="470"/>
      <c r="G81" s="470"/>
      <c r="H81" s="470"/>
      <c r="I81" s="470"/>
      <c r="J81" s="470"/>
      <c r="K81" s="470"/>
      <c r="L81" s="470"/>
      <c r="M81" s="470"/>
      <c r="N81" s="470"/>
      <c r="O81" s="470"/>
      <c r="P81" s="470"/>
      <c r="Q81" s="471"/>
    </row>
    <row r="82" spans="2:17" x14ac:dyDescent="0.3">
      <c r="B82" s="177"/>
      <c r="C82" s="38"/>
      <c r="D82" s="38"/>
      <c r="E82" s="38"/>
      <c r="F82" s="38"/>
      <c r="G82" s="38"/>
      <c r="H82" s="38"/>
      <c r="I82" s="38"/>
      <c r="J82" s="38"/>
      <c r="K82" s="38"/>
      <c r="L82" s="49">
        <f>L65</f>
        <v>43800</v>
      </c>
      <c r="M82" s="49">
        <f>M65</f>
        <v>44166</v>
      </c>
      <c r="N82" s="49">
        <f>N65</f>
        <v>44532</v>
      </c>
      <c r="O82" s="49">
        <f>O65</f>
        <v>44898</v>
      </c>
      <c r="P82" s="38"/>
      <c r="Q82" s="178"/>
    </row>
    <row r="83" spans="2:17" x14ac:dyDescent="0.3">
      <c r="B83" s="177" t="s">
        <v>152</v>
      </c>
      <c r="C83" s="38"/>
      <c r="D83" s="38"/>
      <c r="E83" s="38"/>
      <c r="F83" s="38"/>
      <c r="G83" s="38"/>
      <c r="H83" s="38"/>
      <c r="I83" s="38"/>
      <c r="J83" s="38"/>
      <c r="K83" s="38"/>
      <c r="L83" s="51">
        <f>'Lockheed Matin- Financials'!D32-'Lockheed Matin- Financials'!D45</f>
        <v>3123000</v>
      </c>
      <c r="M83" s="51">
        <f>'Lockheed Matin- Financials'!E32-'Lockheed Matin- Financials'!E45</f>
        <v>5445000</v>
      </c>
      <c r="N83" s="51">
        <f>'Lockheed Matin- Financials'!F32-'Lockheed Matin- Financials'!F45</f>
        <v>5818000</v>
      </c>
      <c r="O83" s="51">
        <f>'Lockheed Matin- Financials'!G32-'Lockheed Matin- Financials'!G45</f>
        <v>5104000</v>
      </c>
      <c r="P83" s="38"/>
      <c r="Q83" s="178"/>
    </row>
    <row r="84" spans="2:17" x14ac:dyDescent="0.3">
      <c r="B84" s="177" t="s">
        <v>39</v>
      </c>
      <c r="C84" s="38"/>
      <c r="D84" s="38"/>
      <c r="E84" s="38"/>
      <c r="F84" s="38"/>
      <c r="G84" s="38"/>
      <c r="H84" s="38"/>
      <c r="I84" s="38"/>
      <c r="J84" s="38"/>
      <c r="K84" s="38"/>
      <c r="L84" s="51">
        <f>L68</f>
        <v>47528000</v>
      </c>
      <c r="M84" s="51">
        <f>M68</f>
        <v>50710000</v>
      </c>
      <c r="N84" s="51">
        <f>N68</f>
        <v>50873000</v>
      </c>
      <c r="O84" s="51">
        <f>O68</f>
        <v>52880000</v>
      </c>
      <c r="P84" s="38"/>
      <c r="Q84" s="178"/>
    </row>
    <row r="85" spans="2:17" x14ac:dyDescent="0.3">
      <c r="B85" s="254" t="s">
        <v>161</v>
      </c>
      <c r="C85" s="255"/>
      <c r="D85" s="255"/>
      <c r="E85" s="255"/>
      <c r="F85" s="255"/>
      <c r="G85" s="255"/>
      <c r="H85" s="255"/>
      <c r="I85" s="255"/>
      <c r="J85" s="255"/>
      <c r="K85" s="255"/>
      <c r="L85" s="256">
        <f>L83/L84</f>
        <v>6.5708634909947813E-2</v>
      </c>
      <c r="M85" s="256">
        <f t="shared" ref="M85:O85" si="18">M83/M84</f>
        <v>0.10737527114967461</v>
      </c>
      <c r="N85" s="256">
        <f t="shared" si="18"/>
        <v>0.11436321821005248</v>
      </c>
      <c r="O85" s="256">
        <f t="shared" si="18"/>
        <v>9.6520423600605143E-2</v>
      </c>
      <c r="P85" s="255"/>
      <c r="Q85" s="257"/>
    </row>
    <row r="86" spans="2:17" x14ac:dyDescent="0.3">
      <c r="B86" s="177"/>
      <c r="C86" s="38"/>
      <c r="D86" s="38"/>
      <c r="E86" s="38"/>
      <c r="F86" s="38"/>
      <c r="G86" s="38"/>
      <c r="H86" s="38"/>
      <c r="I86" s="38"/>
      <c r="J86" s="38"/>
      <c r="K86" s="38"/>
      <c r="L86" s="38"/>
      <c r="M86" s="38"/>
      <c r="N86" s="38"/>
      <c r="O86" s="38"/>
      <c r="P86" s="38"/>
      <c r="Q86" s="178"/>
    </row>
    <row r="87" spans="2:17" x14ac:dyDescent="0.3">
      <c r="B87" s="469" t="s">
        <v>151</v>
      </c>
      <c r="C87" s="470"/>
      <c r="D87" s="470"/>
      <c r="E87" s="470"/>
      <c r="F87" s="470"/>
      <c r="G87" s="470"/>
      <c r="H87" s="470"/>
      <c r="I87" s="470"/>
      <c r="J87" s="470"/>
      <c r="K87" s="470"/>
      <c r="L87" s="470"/>
      <c r="M87" s="470"/>
      <c r="N87" s="470"/>
      <c r="O87" s="470"/>
      <c r="P87" s="470"/>
      <c r="Q87" s="471"/>
    </row>
    <row r="88" spans="2:17" x14ac:dyDescent="0.3">
      <c r="B88" s="177"/>
      <c r="C88" s="38"/>
      <c r="D88" s="38"/>
      <c r="E88" s="38"/>
      <c r="F88" s="38"/>
      <c r="G88" s="38"/>
      <c r="H88" s="38"/>
      <c r="I88" s="38"/>
      <c r="J88" s="38"/>
      <c r="K88" s="38"/>
      <c r="L88" s="49">
        <f>L82</f>
        <v>43800</v>
      </c>
      <c r="M88" s="49">
        <f t="shared" ref="M88:O88" si="19">M82</f>
        <v>44166</v>
      </c>
      <c r="N88" s="49">
        <f t="shared" si="19"/>
        <v>44532</v>
      </c>
      <c r="O88" s="49">
        <f t="shared" si="19"/>
        <v>44898</v>
      </c>
      <c r="P88" s="38"/>
      <c r="Q88" s="178"/>
    </row>
    <row r="89" spans="2:17" x14ac:dyDescent="0.3">
      <c r="B89" s="177" t="s">
        <v>186</v>
      </c>
      <c r="C89" s="38"/>
      <c r="D89" s="38"/>
      <c r="E89" s="38"/>
      <c r="F89" s="38"/>
      <c r="G89" s="38"/>
      <c r="H89" s="38"/>
      <c r="I89" s="38"/>
      <c r="J89" s="38"/>
      <c r="K89" s="38"/>
      <c r="L89" s="51">
        <f>'Lockheed Matin- Financials'!D14</f>
        <v>7894000</v>
      </c>
      <c r="M89" s="51">
        <f>'Lockheed Matin- Financials'!E14</f>
        <v>8826000</v>
      </c>
      <c r="N89" s="51">
        <f>'Lockheed Matin- Financials'!F14</f>
        <v>8119000</v>
      </c>
      <c r="O89" s="51">
        <f>'Lockheed Matin- Financials'!G14</f>
        <v>7303000</v>
      </c>
      <c r="P89" s="38"/>
      <c r="Q89" s="178"/>
    </row>
    <row r="90" spans="2:17" x14ac:dyDescent="0.3">
      <c r="B90" s="177" t="s">
        <v>39</v>
      </c>
      <c r="C90" s="38"/>
      <c r="D90" s="38"/>
      <c r="E90" s="38"/>
      <c r="F90" s="38"/>
      <c r="G90" s="38"/>
      <c r="H90" s="38"/>
      <c r="I90" s="38"/>
      <c r="J90" s="38"/>
      <c r="K90" s="38"/>
      <c r="L90" s="51">
        <f>L84</f>
        <v>47528000</v>
      </c>
      <c r="M90" s="51">
        <f t="shared" ref="M90:O90" si="20">M84</f>
        <v>50710000</v>
      </c>
      <c r="N90" s="51">
        <f t="shared" si="20"/>
        <v>50873000</v>
      </c>
      <c r="O90" s="51">
        <f t="shared" si="20"/>
        <v>52880000</v>
      </c>
      <c r="P90" s="38"/>
      <c r="Q90" s="178"/>
    </row>
    <row r="91" spans="2:17" x14ac:dyDescent="0.3">
      <c r="B91" s="254" t="s">
        <v>237</v>
      </c>
      <c r="C91" s="255"/>
      <c r="D91" s="255"/>
      <c r="E91" s="255"/>
      <c r="F91" s="255"/>
      <c r="G91" s="255"/>
      <c r="H91" s="255"/>
      <c r="I91" s="255"/>
      <c r="J91" s="255"/>
      <c r="K91" s="255"/>
      <c r="L91" s="256">
        <f>L89/L90</f>
        <v>0.16609156707624978</v>
      </c>
      <c r="M91" s="256">
        <f t="shared" ref="M91:O91" si="21">M89/M90</f>
        <v>0.17404851114178663</v>
      </c>
      <c r="N91" s="256">
        <f t="shared" si="21"/>
        <v>0.15959349753307256</v>
      </c>
      <c r="O91" s="256">
        <f t="shared" si="21"/>
        <v>0.13810514372163388</v>
      </c>
      <c r="P91" s="255"/>
      <c r="Q91" s="257"/>
    </row>
    <row r="92" spans="2:17" x14ac:dyDescent="0.3">
      <c r="B92" s="177"/>
      <c r="C92" s="38"/>
      <c r="D92" s="38"/>
      <c r="E92" s="38"/>
      <c r="F92" s="38"/>
      <c r="G92" s="38"/>
      <c r="H92" s="38"/>
      <c r="I92" s="38"/>
      <c r="J92" s="38"/>
      <c r="K92" s="38"/>
      <c r="L92" s="38"/>
      <c r="M92" s="38"/>
      <c r="N92" s="38"/>
      <c r="O92" s="38"/>
      <c r="P92" s="38"/>
      <c r="Q92" s="178"/>
    </row>
    <row r="93" spans="2:17" x14ac:dyDescent="0.3">
      <c r="B93" s="469" t="s">
        <v>151</v>
      </c>
      <c r="C93" s="470"/>
      <c r="D93" s="470"/>
      <c r="E93" s="470"/>
      <c r="F93" s="470"/>
      <c r="G93" s="470"/>
      <c r="H93" s="470"/>
      <c r="I93" s="470"/>
      <c r="J93" s="470"/>
      <c r="K93" s="470"/>
      <c r="L93" s="470"/>
      <c r="M93" s="470"/>
      <c r="N93" s="470"/>
      <c r="O93" s="470"/>
      <c r="P93" s="470"/>
      <c r="Q93" s="471"/>
    </row>
    <row r="94" spans="2:17" x14ac:dyDescent="0.3">
      <c r="B94" s="177"/>
      <c r="C94" s="38"/>
      <c r="D94" s="38"/>
      <c r="E94" s="38"/>
      <c r="F94" s="38"/>
      <c r="G94" s="38"/>
      <c r="H94" s="38"/>
      <c r="I94" s="38"/>
      <c r="J94" s="38"/>
      <c r="K94" s="38"/>
      <c r="L94" s="49">
        <f>L88</f>
        <v>43800</v>
      </c>
      <c r="M94" s="49">
        <f t="shared" ref="M94:O94" si="22">M88</f>
        <v>44166</v>
      </c>
      <c r="N94" s="49">
        <f t="shared" si="22"/>
        <v>44532</v>
      </c>
      <c r="O94" s="49">
        <f t="shared" si="22"/>
        <v>44898</v>
      </c>
      <c r="P94" s="38"/>
      <c r="Q94" s="178"/>
    </row>
    <row r="95" spans="2:17" x14ac:dyDescent="0.3">
      <c r="B95" s="177" t="s">
        <v>53</v>
      </c>
      <c r="C95" s="38"/>
      <c r="D95" s="38"/>
      <c r="E95" s="38"/>
      <c r="F95" s="38"/>
      <c r="G95" s="38"/>
      <c r="H95" s="38"/>
      <c r="I95" s="38"/>
      <c r="J95" s="38"/>
      <c r="K95" s="38"/>
      <c r="L95" s="51">
        <f>'Lockheed Matin- Financials'!D55</f>
        <v>0</v>
      </c>
      <c r="M95" s="51">
        <f>'Lockheed Matin- Financials'!E55</f>
        <v>0</v>
      </c>
      <c r="N95" s="51">
        <f>'Lockheed Matin- Financials'!F55</f>
        <v>0</v>
      </c>
      <c r="O95" s="51">
        <f>'Lockheed Matin- Financials'!G55</f>
        <v>0</v>
      </c>
      <c r="P95" s="38"/>
      <c r="Q95" s="178"/>
    </row>
    <row r="96" spans="2:17" x14ac:dyDescent="0.3">
      <c r="B96" s="177" t="s">
        <v>39</v>
      </c>
      <c r="C96" s="38"/>
      <c r="D96" s="38"/>
      <c r="E96" s="38"/>
      <c r="F96" s="38"/>
      <c r="G96" s="38"/>
      <c r="H96" s="38"/>
      <c r="I96" s="38"/>
      <c r="J96" s="38"/>
      <c r="K96" s="38"/>
      <c r="L96" s="51">
        <f>L90</f>
        <v>47528000</v>
      </c>
      <c r="M96" s="51">
        <f t="shared" ref="M96:O96" si="23">M90</f>
        <v>50710000</v>
      </c>
      <c r="N96" s="51">
        <f t="shared" si="23"/>
        <v>50873000</v>
      </c>
      <c r="O96" s="51">
        <f t="shared" si="23"/>
        <v>52880000</v>
      </c>
      <c r="P96" s="38"/>
      <c r="Q96" s="178"/>
    </row>
    <row r="97" spans="2:17" x14ac:dyDescent="0.3">
      <c r="B97" s="254" t="s">
        <v>238</v>
      </c>
      <c r="C97" s="255"/>
      <c r="D97" s="255"/>
      <c r="E97" s="255"/>
      <c r="F97" s="255"/>
      <c r="G97" s="255"/>
      <c r="H97" s="255"/>
      <c r="I97" s="255"/>
      <c r="J97" s="255"/>
      <c r="K97" s="255"/>
      <c r="L97" s="258">
        <f>L95/L96</f>
        <v>0</v>
      </c>
      <c r="M97" s="258">
        <f t="shared" ref="M97:O97" si="24">M95/M96</f>
        <v>0</v>
      </c>
      <c r="N97" s="258">
        <f t="shared" si="24"/>
        <v>0</v>
      </c>
      <c r="O97" s="258">
        <f t="shared" si="24"/>
        <v>0</v>
      </c>
      <c r="P97" s="255"/>
      <c r="Q97" s="257"/>
    </row>
    <row r="98" spans="2:17" x14ac:dyDescent="0.3">
      <c r="B98" s="177"/>
      <c r="C98" s="38"/>
      <c r="D98" s="38"/>
      <c r="E98" s="38"/>
      <c r="F98" s="38"/>
      <c r="G98" s="38"/>
      <c r="H98" s="38"/>
      <c r="I98" s="38"/>
      <c r="J98" s="38"/>
      <c r="K98" s="38"/>
      <c r="L98" s="38"/>
      <c r="M98" s="38"/>
      <c r="N98" s="38"/>
      <c r="O98" s="38"/>
      <c r="P98" s="38"/>
      <c r="Q98" s="178"/>
    </row>
    <row r="99" spans="2:17" x14ac:dyDescent="0.3">
      <c r="B99" s="469" t="s">
        <v>151</v>
      </c>
      <c r="C99" s="470"/>
      <c r="D99" s="470"/>
      <c r="E99" s="470"/>
      <c r="F99" s="470"/>
      <c r="G99" s="470"/>
      <c r="H99" s="470"/>
      <c r="I99" s="470"/>
      <c r="J99" s="470"/>
      <c r="K99" s="470"/>
      <c r="L99" s="470"/>
      <c r="M99" s="470"/>
      <c r="N99" s="470"/>
      <c r="O99" s="470"/>
      <c r="P99" s="470"/>
      <c r="Q99" s="471"/>
    </row>
    <row r="100" spans="2:17" x14ac:dyDescent="0.3">
      <c r="B100" s="177"/>
      <c r="C100" s="38"/>
      <c r="D100" s="38"/>
      <c r="E100" s="38"/>
      <c r="F100" s="38"/>
      <c r="G100" s="38"/>
      <c r="H100" s="38"/>
      <c r="I100" s="38"/>
      <c r="J100" s="38"/>
      <c r="K100" s="38"/>
      <c r="L100" s="49">
        <f>L94</f>
        <v>43800</v>
      </c>
      <c r="M100" s="49">
        <f t="shared" ref="M100:O100" si="25">M94</f>
        <v>44166</v>
      </c>
      <c r="N100" s="49">
        <f t="shared" si="25"/>
        <v>44532</v>
      </c>
      <c r="O100" s="49">
        <f t="shared" si="25"/>
        <v>44898</v>
      </c>
      <c r="P100" s="38"/>
      <c r="Q100" s="178"/>
    </row>
    <row r="101" spans="2:17" x14ac:dyDescent="0.3">
      <c r="B101" s="177" t="s">
        <v>213</v>
      </c>
      <c r="C101" s="38"/>
      <c r="D101" s="38"/>
      <c r="E101" s="38"/>
      <c r="F101" s="38"/>
      <c r="G101" s="38"/>
      <c r="H101" s="38"/>
      <c r="I101" s="38"/>
      <c r="J101" s="38"/>
      <c r="K101" s="38"/>
      <c r="L101" s="51">
        <f>'Lockheed Matin- Financials'!D4</f>
        <v>59812000</v>
      </c>
      <c r="M101" s="51">
        <f>'Lockheed Matin- Financials'!E4</f>
        <v>65398000</v>
      </c>
      <c r="N101" s="51">
        <f>'Lockheed Matin- Financials'!F4</f>
        <v>67044000</v>
      </c>
      <c r="O101" s="51">
        <f>'Lockheed Matin- Financials'!G4</f>
        <v>65984000</v>
      </c>
      <c r="P101" s="38"/>
      <c r="Q101" s="178"/>
    </row>
    <row r="102" spans="2:17" x14ac:dyDescent="0.3">
      <c r="B102" s="177" t="s">
        <v>39</v>
      </c>
      <c r="C102" s="38"/>
      <c r="D102" s="38"/>
      <c r="E102" s="38"/>
      <c r="F102" s="38"/>
      <c r="G102" s="38"/>
      <c r="H102" s="38"/>
      <c r="I102" s="38"/>
      <c r="J102" s="38"/>
      <c r="K102" s="38"/>
      <c r="L102" s="51">
        <f>L96</f>
        <v>47528000</v>
      </c>
      <c r="M102" s="51">
        <f t="shared" ref="M102:O102" si="26">M96</f>
        <v>50710000</v>
      </c>
      <c r="N102" s="51">
        <f t="shared" si="26"/>
        <v>50873000</v>
      </c>
      <c r="O102" s="51">
        <f t="shared" si="26"/>
        <v>52880000</v>
      </c>
      <c r="P102" s="38"/>
      <c r="Q102" s="178"/>
    </row>
    <row r="103" spans="2:17" x14ac:dyDescent="0.3">
      <c r="B103" s="254" t="s">
        <v>239</v>
      </c>
      <c r="C103" s="255"/>
      <c r="D103" s="255"/>
      <c r="E103" s="255"/>
      <c r="F103" s="255"/>
      <c r="G103" s="255"/>
      <c r="H103" s="255"/>
      <c r="I103" s="255"/>
      <c r="J103" s="255"/>
      <c r="K103" s="255"/>
      <c r="L103" s="256">
        <f>L101/L102</f>
        <v>1.2584581720249117</v>
      </c>
      <c r="M103" s="256">
        <f t="shared" ref="M103:O103" si="27">M101/M102</f>
        <v>1.289647012423585</v>
      </c>
      <c r="N103" s="256">
        <f t="shared" si="27"/>
        <v>1.3178699899750359</v>
      </c>
      <c r="O103" s="256">
        <f t="shared" si="27"/>
        <v>1.2478063540090771</v>
      </c>
      <c r="P103" s="255"/>
      <c r="Q103" s="257"/>
    </row>
    <row r="104" spans="2:17" x14ac:dyDescent="0.3">
      <c r="B104" s="177"/>
      <c r="C104" s="38"/>
      <c r="D104" s="38"/>
      <c r="E104" s="38"/>
      <c r="F104" s="38"/>
      <c r="G104" s="38"/>
      <c r="H104" s="38"/>
      <c r="I104" s="38"/>
      <c r="J104" s="38"/>
      <c r="K104" s="38"/>
      <c r="L104" s="38"/>
      <c r="M104" s="38"/>
      <c r="N104" s="38"/>
      <c r="O104" s="38"/>
      <c r="P104" s="38"/>
      <c r="Q104" s="178"/>
    </row>
    <row r="105" spans="2:17" x14ac:dyDescent="0.3">
      <c r="B105" s="469" t="s">
        <v>151</v>
      </c>
      <c r="C105" s="470"/>
      <c r="D105" s="470"/>
      <c r="E105" s="470"/>
      <c r="F105" s="470"/>
      <c r="G105" s="470"/>
      <c r="H105" s="470"/>
      <c r="I105" s="470"/>
      <c r="J105" s="470"/>
      <c r="K105" s="470"/>
      <c r="L105" s="470"/>
      <c r="M105" s="470"/>
      <c r="N105" s="470"/>
      <c r="O105" s="470"/>
      <c r="P105" s="470"/>
      <c r="Q105" s="471"/>
    </row>
    <row r="106" spans="2:17" x14ac:dyDescent="0.3">
      <c r="B106" s="177"/>
      <c r="C106" s="38"/>
      <c r="D106" s="38"/>
      <c r="E106" s="38"/>
      <c r="F106" s="38"/>
      <c r="G106" s="38"/>
      <c r="H106" s="38"/>
      <c r="I106" s="38"/>
      <c r="J106" s="38"/>
      <c r="K106" s="38"/>
      <c r="L106" s="49">
        <f>L100</f>
        <v>43800</v>
      </c>
      <c r="M106" s="49">
        <f t="shared" ref="M106:O106" si="28">M100</f>
        <v>44166</v>
      </c>
      <c r="N106" s="49">
        <f t="shared" si="28"/>
        <v>44532</v>
      </c>
      <c r="O106" s="49">
        <f t="shared" si="28"/>
        <v>44898</v>
      </c>
      <c r="P106" s="38"/>
      <c r="Q106" s="178"/>
    </row>
    <row r="107" spans="2:17" x14ac:dyDescent="0.3">
      <c r="B107" s="177" t="s">
        <v>160</v>
      </c>
      <c r="C107" s="38"/>
      <c r="D107" s="38"/>
      <c r="E107" s="38"/>
      <c r="F107" s="38"/>
      <c r="G107" s="38"/>
      <c r="H107" s="38"/>
      <c r="I107" s="38"/>
      <c r="J107" s="38"/>
      <c r="K107" s="38"/>
      <c r="L107" s="51">
        <f>'Lockheed Matin- Financials'!D23</f>
        <v>109410000</v>
      </c>
      <c r="M107" s="51">
        <f>'Lockheed Matin- Financials'!E23</f>
        <v>99310000</v>
      </c>
      <c r="N107" s="51">
        <f>'Lockheed Matin- Financials'!F23</f>
        <v>96310000</v>
      </c>
      <c r="O107" s="51">
        <f>'Lockheed Matin- Financials'!G23</f>
        <v>127490000</v>
      </c>
      <c r="P107" s="38"/>
      <c r="Q107" s="178"/>
    </row>
    <row r="108" spans="2:17" x14ac:dyDescent="0.3">
      <c r="B108" s="177" t="s">
        <v>159</v>
      </c>
      <c r="C108" s="38"/>
      <c r="D108" s="38"/>
      <c r="E108" s="38"/>
      <c r="F108" s="38"/>
      <c r="G108" s="38"/>
      <c r="H108" s="38"/>
      <c r="I108" s="38"/>
      <c r="J108" s="38"/>
      <c r="K108" s="38"/>
      <c r="L108" s="51">
        <f>'Lockheed Matin- Financials'!D46</f>
        <v>11404000</v>
      </c>
      <c r="M108" s="51">
        <f>'Lockheed Matin- Financials'!E46</f>
        <v>11669000</v>
      </c>
      <c r="N108" s="51">
        <f>'Lockheed Matin- Financials'!F46</f>
        <v>11670000</v>
      </c>
      <c r="O108" s="51">
        <f>'Lockheed Matin- Financials'!G46</f>
        <v>15429000</v>
      </c>
      <c r="P108" s="38"/>
      <c r="Q108" s="178"/>
    </row>
    <row r="109" spans="2:17" ht="15" thickBot="1" x14ac:dyDescent="0.35">
      <c r="B109" s="259" t="s">
        <v>240</v>
      </c>
      <c r="C109" s="260"/>
      <c r="D109" s="260"/>
      <c r="E109" s="260"/>
      <c r="F109" s="260"/>
      <c r="G109" s="260"/>
      <c r="H109" s="260"/>
      <c r="I109" s="260"/>
      <c r="J109" s="260"/>
      <c r="K109" s="260"/>
      <c r="L109" s="261">
        <f>L107/L108</f>
        <v>9.5940021045247281</v>
      </c>
      <c r="M109" s="261">
        <f t="shared" ref="M109:O109" si="29">M107/M108</f>
        <v>8.5105835975662014</v>
      </c>
      <c r="N109" s="261">
        <f t="shared" si="29"/>
        <v>8.2527849185946867</v>
      </c>
      <c r="O109" s="261">
        <f t="shared" si="29"/>
        <v>8.2630112126515005</v>
      </c>
      <c r="P109" s="260"/>
      <c r="Q109" s="262"/>
    </row>
    <row r="111" spans="2:17" x14ac:dyDescent="0.3">
      <c r="B111" s="465" t="s">
        <v>166</v>
      </c>
      <c r="C111" s="466"/>
      <c r="D111" s="466"/>
      <c r="E111" s="466"/>
      <c r="F111" s="466"/>
      <c r="G111" s="466"/>
      <c r="H111" s="466"/>
      <c r="I111" s="466"/>
      <c r="J111" s="466"/>
      <c r="K111" s="466"/>
      <c r="L111" s="466"/>
      <c r="M111" s="466"/>
      <c r="N111" s="466"/>
      <c r="O111" s="466"/>
      <c r="P111" s="466"/>
      <c r="Q111" s="467"/>
    </row>
    <row r="112" spans="2:17" x14ac:dyDescent="0.3">
      <c r="B112" s="177"/>
      <c r="C112" s="38"/>
      <c r="D112" s="88" t="s">
        <v>169</v>
      </c>
      <c r="E112" s="88" t="s">
        <v>170</v>
      </c>
      <c r="F112" s="88" t="s">
        <v>171</v>
      </c>
      <c r="G112" s="88" t="s">
        <v>172</v>
      </c>
      <c r="H112" s="88" t="s">
        <v>173</v>
      </c>
      <c r="I112" s="38"/>
      <c r="J112" s="38"/>
      <c r="K112" s="38"/>
      <c r="L112" s="38"/>
      <c r="M112" s="38"/>
      <c r="N112" s="38"/>
      <c r="O112" s="37" t="s">
        <v>166</v>
      </c>
      <c r="P112" s="37"/>
      <c r="Q112" s="243" t="s">
        <v>174</v>
      </c>
    </row>
    <row r="113" spans="2:17" x14ac:dyDescent="0.3">
      <c r="B113" s="177" t="s">
        <v>226</v>
      </c>
      <c r="C113" s="38" t="s">
        <v>168</v>
      </c>
      <c r="D113" s="88">
        <v>1.2</v>
      </c>
      <c r="E113" s="88">
        <v>3.3</v>
      </c>
      <c r="F113" s="88">
        <v>1.4</v>
      </c>
      <c r="G113" s="88">
        <v>1</v>
      </c>
      <c r="H113" s="88">
        <v>0.6</v>
      </c>
      <c r="I113" s="38"/>
      <c r="J113" s="38"/>
      <c r="K113" s="38"/>
      <c r="L113" s="38"/>
      <c r="M113" s="38"/>
      <c r="N113" s="38"/>
      <c r="O113" s="38"/>
      <c r="P113" s="38"/>
      <c r="Q113" s="178"/>
    </row>
    <row r="114" spans="2:17" x14ac:dyDescent="0.3">
      <c r="B114" s="174">
        <f t="array" ref="B114:B117">TRANSPOSE(L106:O106)</f>
        <v>43800</v>
      </c>
      <c r="C114" s="38"/>
      <c r="D114" s="39">
        <f t="array" ref="D114:D117">TRANSPOSE(L85:O85)</f>
        <v>6.5708634909947813E-2</v>
      </c>
      <c r="E114" s="39">
        <f t="array" ref="E114:E117">TRANSPOSE(L91:O91)</f>
        <v>0.16609156707624978</v>
      </c>
      <c r="F114" s="39">
        <f t="array" ref="F114:F117">TRANSPOSE(L97:O97)</f>
        <v>0</v>
      </c>
      <c r="G114" s="39">
        <f t="array" ref="G114:G117">TRANSPOSE(L103:O103)</f>
        <v>1.2584581720249117</v>
      </c>
      <c r="H114" s="39">
        <f t="array" ref="H114:H117">TRANSPOSE(L109:O109)</f>
        <v>9.5940021045247281</v>
      </c>
      <c r="I114" s="38"/>
      <c r="J114" s="38"/>
      <c r="K114" s="38"/>
      <c r="L114" s="38"/>
      <c r="M114" s="38"/>
      <c r="N114" s="38"/>
      <c r="O114" s="65">
        <f>SUMPRODUCT(D114:H114,$D$113:$H$113)</f>
        <v>7.6418119679833101</v>
      </c>
      <c r="P114" s="38"/>
      <c r="Q114" s="178" t="str">
        <f>IF(O114&gt;3.1,"Safe Zone",IF(O114&lt;3.1,"distressed Zone"))</f>
        <v>Safe Zone</v>
      </c>
    </row>
    <row r="115" spans="2:17" x14ac:dyDescent="0.3">
      <c r="B115" s="174">
        <v>44166</v>
      </c>
      <c r="C115" s="38"/>
      <c r="D115" s="39">
        <v>0.10737527114967461</v>
      </c>
      <c r="E115" s="39">
        <v>0.17404851114178663</v>
      </c>
      <c r="F115" s="39">
        <v>0</v>
      </c>
      <c r="G115" s="39">
        <v>1.289647012423585</v>
      </c>
      <c r="H115" s="39">
        <v>8.5105835975662014</v>
      </c>
      <c r="I115" s="38"/>
      <c r="J115" s="38"/>
      <c r="K115" s="38"/>
      <c r="L115" s="38"/>
      <c r="M115" s="38"/>
      <c r="N115" s="38"/>
      <c r="O115" s="65">
        <f t="shared" ref="O115:O117" si="30">SUMPRODUCT(D115:H115,$D$113:$H$113)</f>
        <v>7.099207583110811</v>
      </c>
      <c r="P115" s="38"/>
      <c r="Q115" s="178" t="str">
        <f t="shared" ref="Q115:Q117" si="31">IF(O115&gt;3.1,"Safe Zone",IF(O115&lt;3.1,"distressed Zone"))</f>
        <v>Safe Zone</v>
      </c>
    </row>
    <row r="116" spans="2:17" x14ac:dyDescent="0.3">
      <c r="B116" s="174">
        <v>44532</v>
      </c>
      <c r="C116" s="38"/>
      <c r="D116" s="39">
        <v>0.11436321821005248</v>
      </c>
      <c r="E116" s="39">
        <v>0.15959349753307256</v>
      </c>
      <c r="F116" s="39">
        <v>0</v>
      </c>
      <c r="G116" s="39">
        <v>1.3178699899750359</v>
      </c>
      <c r="H116" s="39">
        <v>8.2527849185946867</v>
      </c>
      <c r="I116" s="38"/>
      <c r="J116" s="38"/>
      <c r="K116" s="38"/>
      <c r="L116" s="38"/>
      <c r="M116" s="38"/>
      <c r="N116" s="38"/>
      <c r="O116" s="65">
        <f t="shared" si="30"/>
        <v>6.9334353448430504</v>
      </c>
      <c r="P116" s="38"/>
      <c r="Q116" s="178" t="str">
        <f t="shared" si="31"/>
        <v>Safe Zone</v>
      </c>
    </row>
    <row r="117" spans="2:17" ht="15" thickBot="1" x14ac:dyDescent="0.35">
      <c r="B117" s="175">
        <v>44898</v>
      </c>
      <c r="C117" s="244"/>
      <c r="D117" s="176">
        <v>9.6520423600605143E-2</v>
      </c>
      <c r="E117" s="176">
        <v>0.13810514372163388</v>
      </c>
      <c r="F117" s="176">
        <v>0</v>
      </c>
      <c r="G117" s="176">
        <v>1.2478063540090771</v>
      </c>
      <c r="H117" s="176">
        <v>8.2630112126515005</v>
      </c>
      <c r="I117" s="244"/>
      <c r="J117" s="244"/>
      <c r="K117" s="244"/>
      <c r="L117" s="244"/>
      <c r="M117" s="244"/>
      <c r="N117" s="244"/>
      <c r="O117" s="245">
        <f t="shared" si="30"/>
        <v>6.7771845642020949</v>
      </c>
      <c r="P117" s="244"/>
      <c r="Q117" s="246" t="str">
        <f t="shared" si="31"/>
        <v>Safe Zone</v>
      </c>
    </row>
  </sheetData>
  <sheetProtection sheet="1" objects="1" scenarios="1"/>
  <customSheetViews>
    <customSheetView guid="{157A7F57-E932-4D71-AAC5-1BA0DA6A9C96}" showGridLines="0">
      <selection activeCell="B112" sqref="B112:H113"/>
      <pageMargins left="0.7" right="0.7" top="0.75" bottom="0.75" header="0.3" footer="0.3"/>
      <pageSetup paperSize="9" orientation="portrait" r:id="rId1"/>
    </customSheetView>
  </customSheetViews>
  <mergeCells count="17">
    <mergeCell ref="B2:F3"/>
    <mergeCell ref="B99:Q99"/>
    <mergeCell ref="B105:Q105"/>
    <mergeCell ref="B111:Q111"/>
    <mergeCell ref="B8:Q11"/>
    <mergeCell ref="B13:Q13"/>
    <mergeCell ref="B15:Q15"/>
    <mergeCell ref="B21:Q21"/>
    <mergeCell ref="B30:Q30"/>
    <mergeCell ref="B37:Q37"/>
    <mergeCell ref="B46:Q46"/>
    <mergeCell ref="B53:Q53"/>
    <mergeCell ref="B64:Q64"/>
    <mergeCell ref="B79:Q79"/>
    <mergeCell ref="B81:Q81"/>
    <mergeCell ref="B87:Q87"/>
    <mergeCell ref="B93:Q93"/>
  </mergeCells>
  <conditionalFormatting sqref="O114:O117">
    <cfRule type="cellIs" dxfId="10" priority="1" operator="greaterThan">
      <formula>3.1</formula>
    </cfRule>
  </conditionalFormatting>
  <pageMargins left="0.7" right="0.7" top="0.75" bottom="0.75" header="0.3" footer="0.3"/>
  <pageSetup paperSize="9" orientation="portrait" r:id="rId2"/>
  <ignoredErrors>
    <ignoredError sqref="L33" evalError="1"/>
  </ignoredError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4"/>
  <sheetViews>
    <sheetView showGridLines="0" topLeftCell="A34" workbookViewId="0">
      <selection activeCell="H23" sqref="H23"/>
    </sheetView>
  </sheetViews>
  <sheetFormatPr defaultRowHeight="14.4" x14ac:dyDescent="0.3"/>
  <cols>
    <col min="1" max="1" width="1.88671875" customWidth="1"/>
    <col min="2" max="2" width="45.44140625" bestFit="1" customWidth="1"/>
    <col min="4" max="7" width="11.88671875" bestFit="1" customWidth="1"/>
  </cols>
  <sheetData>
    <row r="2" spans="2:7" ht="21" x14ac:dyDescent="0.4">
      <c r="B2" s="5" t="s">
        <v>113</v>
      </c>
    </row>
    <row r="3" spans="2:7" x14ac:dyDescent="0.3">
      <c r="B3" t="s">
        <v>0</v>
      </c>
      <c r="D3" t="s">
        <v>71</v>
      </c>
      <c r="E3" t="s">
        <v>70</v>
      </c>
      <c r="F3" t="s">
        <v>69</v>
      </c>
      <c r="G3" t="s">
        <v>68</v>
      </c>
    </row>
    <row r="4" spans="2:7" x14ac:dyDescent="0.3">
      <c r="B4" t="s">
        <v>5</v>
      </c>
      <c r="D4" s="19">
        <v>45349000</v>
      </c>
      <c r="E4" s="19">
        <v>56587000</v>
      </c>
      <c r="F4" s="19">
        <v>64388000</v>
      </c>
      <c r="G4" s="19">
        <v>67074000</v>
      </c>
    </row>
    <row r="5" spans="2:7" x14ac:dyDescent="0.3">
      <c r="B5" t="s">
        <v>6</v>
      </c>
      <c r="D5" s="19">
        <v>34598000</v>
      </c>
      <c r="E5" s="19">
        <v>48056000</v>
      </c>
      <c r="F5" s="19">
        <v>51897000</v>
      </c>
      <c r="G5" s="19">
        <v>53406000</v>
      </c>
    </row>
    <row r="6" spans="2:7" x14ac:dyDescent="0.3">
      <c r="B6" t="s">
        <v>7</v>
      </c>
      <c r="D6" s="19">
        <v>10751000</v>
      </c>
      <c r="E6" s="19">
        <v>8531000</v>
      </c>
      <c r="F6" s="19">
        <v>12491000</v>
      </c>
      <c r="G6" s="19">
        <v>13668000</v>
      </c>
    </row>
    <row r="7" spans="2:7" x14ac:dyDescent="0.3">
      <c r="B7" t="s">
        <v>8</v>
      </c>
      <c r="D7" s="19"/>
      <c r="E7" s="19"/>
      <c r="F7" s="19"/>
      <c r="G7" s="19"/>
    </row>
    <row r="8" spans="2:7" x14ac:dyDescent="0.3">
      <c r="B8" t="s">
        <v>9</v>
      </c>
      <c r="D8" s="19">
        <v>2452000</v>
      </c>
      <c r="E8" s="19">
        <v>2582000</v>
      </c>
      <c r="F8" s="19">
        <v>2732000</v>
      </c>
      <c r="G8" s="19">
        <v>2711000</v>
      </c>
    </row>
    <row r="9" spans="2:7" x14ac:dyDescent="0.3">
      <c r="B9" t="s">
        <v>10</v>
      </c>
      <c r="D9" s="19">
        <v>3385000</v>
      </c>
      <c r="E9" s="19">
        <v>4655000</v>
      </c>
      <c r="F9" s="19">
        <v>4801000</v>
      </c>
      <c r="G9" s="19">
        <v>5543000</v>
      </c>
    </row>
    <row r="10" spans="2:7" x14ac:dyDescent="0.3">
      <c r="B10" t="s">
        <v>11</v>
      </c>
      <c r="D10" s="19" t="s">
        <v>12</v>
      </c>
      <c r="E10" s="19">
        <v>3183000</v>
      </c>
      <c r="F10" s="19" t="s">
        <v>12</v>
      </c>
      <c r="G10" s="19" t="s">
        <v>12</v>
      </c>
    </row>
    <row r="11" spans="2:7" x14ac:dyDescent="0.3">
      <c r="B11" t="s">
        <v>13</v>
      </c>
      <c r="D11" s="19" t="s">
        <v>12</v>
      </c>
      <c r="E11" s="19" t="s">
        <v>12</v>
      </c>
      <c r="F11" s="19" t="s">
        <v>12</v>
      </c>
      <c r="G11" s="19" t="s">
        <v>12</v>
      </c>
    </row>
    <row r="12" spans="2:7" x14ac:dyDescent="0.3">
      <c r="B12" t="s">
        <v>14</v>
      </c>
      <c r="D12" s="19">
        <v>4914000</v>
      </c>
      <c r="E12" s="19">
        <v>-1889000</v>
      </c>
      <c r="F12" s="19">
        <v>4958000</v>
      </c>
      <c r="G12" s="19">
        <v>5414000</v>
      </c>
    </row>
    <row r="13" spans="2:7" x14ac:dyDescent="0.3">
      <c r="B13" t="s">
        <v>15</v>
      </c>
      <c r="D13" s="19">
        <v>829000</v>
      </c>
      <c r="E13" s="19">
        <v>902000</v>
      </c>
      <c r="F13" s="19">
        <v>1295000</v>
      </c>
      <c r="G13" s="19">
        <v>1889000</v>
      </c>
    </row>
    <row r="14" spans="2:7" x14ac:dyDescent="0.3">
      <c r="B14" t="s">
        <v>16</v>
      </c>
      <c r="D14" s="19">
        <v>5743000</v>
      </c>
      <c r="E14" s="19">
        <v>-987000</v>
      </c>
      <c r="F14" s="19">
        <v>6253000</v>
      </c>
      <c r="G14" s="19">
        <v>7303000</v>
      </c>
    </row>
    <row r="15" spans="2:7" x14ac:dyDescent="0.3">
      <c r="B15" t="s">
        <v>17</v>
      </c>
      <c r="D15" s="19">
        <v>1591000</v>
      </c>
      <c r="E15" s="19">
        <v>1366000</v>
      </c>
      <c r="F15" s="19">
        <v>1322000</v>
      </c>
      <c r="G15" s="19">
        <v>1276000</v>
      </c>
    </row>
    <row r="16" spans="2:7" x14ac:dyDescent="0.3">
      <c r="B16" t="s">
        <v>18</v>
      </c>
      <c r="D16" s="19">
        <v>4152000</v>
      </c>
      <c r="E16" s="19">
        <v>-2353000</v>
      </c>
      <c r="F16" s="19">
        <v>4931000</v>
      </c>
      <c r="G16" s="19">
        <v>6027000</v>
      </c>
    </row>
    <row r="17" spans="2:7" x14ac:dyDescent="0.3">
      <c r="B17" t="s">
        <v>19</v>
      </c>
      <c r="D17" s="19">
        <v>421000</v>
      </c>
      <c r="E17" s="19">
        <v>575000</v>
      </c>
      <c r="F17" s="19">
        <v>786000</v>
      </c>
      <c r="G17" s="19">
        <v>700000</v>
      </c>
    </row>
    <row r="18" spans="2:7" x14ac:dyDescent="0.3">
      <c r="B18" t="s">
        <v>20</v>
      </c>
      <c r="D18" s="19" t="s">
        <v>12</v>
      </c>
      <c r="E18" s="19" t="s">
        <v>12</v>
      </c>
      <c r="F18" s="19" t="s">
        <v>12</v>
      </c>
      <c r="G18" s="19" t="s">
        <v>12</v>
      </c>
    </row>
    <row r="19" spans="2:7" x14ac:dyDescent="0.3">
      <c r="B19" t="s">
        <v>21</v>
      </c>
      <c r="D19" s="19">
        <v>-411000</v>
      </c>
      <c r="E19" s="19">
        <v>-224000</v>
      </c>
      <c r="F19" s="19">
        <v>-248000</v>
      </c>
      <c r="G19" s="19">
        <v>-111000</v>
      </c>
    </row>
    <row r="20" spans="2:7" x14ac:dyDescent="0.3">
      <c r="B20" t="s">
        <v>22</v>
      </c>
      <c r="D20" s="19">
        <v>3510000</v>
      </c>
      <c r="E20" s="19">
        <v>-3109000</v>
      </c>
      <c r="F20" s="19">
        <v>3897000</v>
      </c>
      <c r="G20" s="19">
        <v>5216000</v>
      </c>
    </row>
    <row r="21" spans="2:7" x14ac:dyDescent="0.3">
      <c r="B21" t="s">
        <v>23</v>
      </c>
      <c r="D21" s="19">
        <v>5727000</v>
      </c>
      <c r="E21" s="19">
        <v>-3476000</v>
      </c>
      <c r="F21" s="19">
        <v>3864000</v>
      </c>
      <c r="G21" s="19">
        <v>5197000</v>
      </c>
    </row>
    <row r="22" spans="2:7" x14ac:dyDescent="0.3">
      <c r="B22" t="s">
        <v>24</v>
      </c>
      <c r="D22" s="19">
        <v>5537000</v>
      </c>
      <c r="E22" s="19">
        <v>-3519000</v>
      </c>
      <c r="F22" s="19">
        <v>3864000</v>
      </c>
      <c r="G22" s="19">
        <v>5197000</v>
      </c>
    </row>
    <row r="23" spans="2:7" x14ac:dyDescent="0.3">
      <c r="B23" t="s">
        <v>160</v>
      </c>
      <c r="D23" s="19">
        <v>129440000</v>
      </c>
      <c r="E23" s="19">
        <v>108600000</v>
      </c>
      <c r="F23" s="19">
        <v>128810000</v>
      </c>
      <c r="G23" s="19">
        <v>148350000</v>
      </c>
    </row>
    <row r="24" spans="2:7" ht="18" x14ac:dyDescent="0.35">
      <c r="B24" s="2" t="s">
        <v>114</v>
      </c>
      <c r="D24" s="19"/>
      <c r="E24" s="19"/>
      <c r="F24" s="19"/>
      <c r="G24" s="19"/>
    </row>
    <row r="25" spans="2:7" x14ac:dyDescent="0.3">
      <c r="B25" t="s">
        <v>0</v>
      </c>
      <c r="D25" s="19" t="s">
        <v>71</v>
      </c>
      <c r="E25" s="19" t="s">
        <v>70</v>
      </c>
      <c r="F25" s="19" t="s">
        <v>69</v>
      </c>
      <c r="G25" s="19" t="s">
        <v>68</v>
      </c>
    </row>
    <row r="26" spans="2:7" x14ac:dyDescent="0.3">
      <c r="B26" t="s">
        <v>25</v>
      </c>
      <c r="D26" s="19"/>
      <c r="E26" s="19"/>
      <c r="F26" s="19"/>
      <c r="G26" s="19"/>
    </row>
    <row r="27" spans="2:7" x14ac:dyDescent="0.3">
      <c r="B27" t="s">
        <v>26</v>
      </c>
      <c r="D27" s="19">
        <v>4937000</v>
      </c>
      <c r="E27" s="19">
        <v>8802000</v>
      </c>
      <c r="F27" s="19">
        <v>6220000</v>
      </c>
      <c r="G27" s="19">
        <v>7832000</v>
      </c>
    </row>
    <row r="28" spans="2:7" x14ac:dyDescent="0.3">
      <c r="B28" t="s">
        <v>27</v>
      </c>
      <c r="D28" s="19" t="s">
        <v>12</v>
      </c>
      <c r="E28" s="19" t="s">
        <v>12</v>
      </c>
      <c r="F28" s="19" t="s">
        <v>12</v>
      </c>
      <c r="G28" s="19" t="s">
        <v>12</v>
      </c>
    </row>
    <row r="29" spans="2:7" x14ac:dyDescent="0.3">
      <c r="B29" t="s">
        <v>28</v>
      </c>
      <c r="D29" s="19">
        <v>8743000</v>
      </c>
      <c r="E29" s="19">
        <v>9254000</v>
      </c>
      <c r="F29" s="19">
        <v>9108000</v>
      </c>
      <c r="G29" s="19">
        <v>9661000</v>
      </c>
    </row>
    <row r="30" spans="2:7" x14ac:dyDescent="0.3">
      <c r="B30" t="s">
        <v>29</v>
      </c>
      <c r="D30" s="19">
        <v>9047000</v>
      </c>
      <c r="E30" s="19">
        <v>9411000</v>
      </c>
      <c r="F30" s="19">
        <v>10617000</v>
      </c>
      <c r="G30" s="19">
        <v>9178000</v>
      </c>
    </row>
    <row r="31" spans="2:7" x14ac:dyDescent="0.3">
      <c r="B31" t="s">
        <v>30</v>
      </c>
      <c r="D31" s="19">
        <v>38850000</v>
      </c>
      <c r="E31" s="19">
        <v>15909000</v>
      </c>
      <c r="F31" s="19">
        <v>16498000</v>
      </c>
      <c r="G31" s="19">
        <v>15379000</v>
      </c>
    </row>
    <row r="32" spans="2:7" x14ac:dyDescent="0.3">
      <c r="B32" t="s">
        <v>31</v>
      </c>
      <c r="D32" s="19">
        <v>61577000</v>
      </c>
      <c r="E32" s="19">
        <v>43376000</v>
      </c>
      <c r="F32" s="19">
        <v>42443000</v>
      </c>
      <c r="G32" s="19">
        <v>42050000</v>
      </c>
    </row>
    <row r="33" spans="2:7" x14ac:dyDescent="0.3">
      <c r="B33" t="s">
        <v>32</v>
      </c>
      <c r="D33" s="19"/>
      <c r="E33" s="19"/>
      <c r="F33" s="19"/>
      <c r="G33" s="19"/>
    </row>
    <row r="34" spans="2:7" x14ac:dyDescent="0.3">
      <c r="B34" t="s">
        <v>33</v>
      </c>
      <c r="D34" s="19">
        <v>3463000</v>
      </c>
      <c r="E34" s="19">
        <v>3144000</v>
      </c>
      <c r="F34" s="19">
        <v>2603000</v>
      </c>
      <c r="G34" s="19">
        <v>2848000</v>
      </c>
    </row>
    <row r="35" spans="2:7" x14ac:dyDescent="0.3">
      <c r="B35" t="s">
        <v>34</v>
      </c>
      <c r="D35" s="19">
        <v>11574000</v>
      </c>
      <c r="E35" s="19">
        <v>16842000</v>
      </c>
      <c r="F35" s="19">
        <v>16999000</v>
      </c>
      <c r="G35" s="19">
        <v>16930000</v>
      </c>
    </row>
    <row r="36" spans="2:7" x14ac:dyDescent="0.3">
      <c r="B36" t="s">
        <v>35</v>
      </c>
      <c r="D36" s="19">
        <v>36609000</v>
      </c>
      <c r="E36" s="19">
        <v>54285000</v>
      </c>
      <c r="F36" s="19">
        <v>53840000</v>
      </c>
      <c r="G36" s="19">
        <v>54436000</v>
      </c>
    </row>
    <row r="37" spans="2:7" x14ac:dyDescent="0.3">
      <c r="B37" t="s">
        <v>36</v>
      </c>
      <c r="D37" s="19">
        <v>24473000</v>
      </c>
      <c r="E37" s="19">
        <v>40539000</v>
      </c>
      <c r="F37" s="19">
        <v>36823000</v>
      </c>
      <c r="G37" s="19">
        <v>38516000</v>
      </c>
    </row>
    <row r="38" spans="2:7" x14ac:dyDescent="0.3">
      <c r="B38" t="s">
        <v>37</v>
      </c>
      <c r="D38" s="19">
        <v>1919000</v>
      </c>
      <c r="E38" s="19">
        <v>3967000</v>
      </c>
      <c r="F38" s="19">
        <v>6156000</v>
      </c>
      <c r="G38" s="19">
        <v>6624000</v>
      </c>
    </row>
    <row r="39" spans="2:7" x14ac:dyDescent="0.3">
      <c r="B39" t="s">
        <v>38</v>
      </c>
      <c r="D39" s="19" t="s">
        <v>12</v>
      </c>
      <c r="E39" s="19" t="s">
        <v>12</v>
      </c>
      <c r="F39" s="19" t="s">
        <v>12</v>
      </c>
      <c r="G39" s="19" t="s">
        <v>12</v>
      </c>
    </row>
    <row r="40" spans="2:7" x14ac:dyDescent="0.3">
      <c r="B40" t="s">
        <v>39</v>
      </c>
      <c r="D40" s="19">
        <v>139615000</v>
      </c>
      <c r="E40" s="19">
        <v>162153000</v>
      </c>
      <c r="F40" s="19">
        <v>158864000</v>
      </c>
      <c r="G40" s="19">
        <v>161404000</v>
      </c>
    </row>
    <row r="41" spans="2:7" x14ac:dyDescent="0.3">
      <c r="B41" t="s">
        <v>40</v>
      </c>
      <c r="D41" s="19"/>
      <c r="E41" s="19"/>
      <c r="F41" s="19"/>
      <c r="G41" s="19"/>
    </row>
    <row r="42" spans="2:7" x14ac:dyDescent="0.3">
      <c r="B42" t="s">
        <v>41</v>
      </c>
      <c r="D42" s="19">
        <v>17586000</v>
      </c>
      <c r="E42" s="19">
        <v>22162000</v>
      </c>
      <c r="F42" s="19">
        <v>23296000</v>
      </c>
      <c r="G42" s="19">
        <v>21571000</v>
      </c>
    </row>
    <row r="43" spans="2:7" x14ac:dyDescent="0.3">
      <c r="B43" t="s">
        <v>42</v>
      </c>
      <c r="D43" s="19">
        <v>5551000</v>
      </c>
      <c r="E43" s="19">
        <v>797000</v>
      </c>
      <c r="F43" s="19">
        <v>1220000</v>
      </c>
      <c r="G43" s="19">
        <v>158000</v>
      </c>
    </row>
    <row r="44" spans="2:7" x14ac:dyDescent="0.3">
      <c r="B44" t="s">
        <v>43</v>
      </c>
      <c r="D44" s="19">
        <v>23457000</v>
      </c>
      <c r="E44" s="19">
        <v>12889000</v>
      </c>
      <c r="F44" s="19">
        <v>14598000</v>
      </c>
      <c r="G44" s="19">
        <v>13720000</v>
      </c>
    </row>
    <row r="45" spans="2:7" x14ac:dyDescent="0.3">
      <c r="B45" t="s">
        <v>44</v>
      </c>
      <c r="D45" s="19">
        <v>46594000</v>
      </c>
      <c r="E45" s="19">
        <v>35848000</v>
      </c>
      <c r="F45" s="19">
        <v>39114000</v>
      </c>
      <c r="G45" s="19">
        <v>35449000</v>
      </c>
    </row>
    <row r="46" spans="2:7" x14ac:dyDescent="0.3">
      <c r="B46" t="s">
        <v>45</v>
      </c>
      <c r="D46" s="19">
        <v>37701000</v>
      </c>
      <c r="E46" s="19">
        <v>31026000</v>
      </c>
      <c r="F46" s="19">
        <v>30694000</v>
      </c>
      <c r="G46" s="19">
        <v>31327000</v>
      </c>
    </row>
    <row r="47" spans="2:7" x14ac:dyDescent="0.3">
      <c r="B47" t="s">
        <v>46</v>
      </c>
      <c r="D47" s="19">
        <v>10994000</v>
      </c>
      <c r="E47" s="19">
        <v>21395000</v>
      </c>
      <c r="F47" s="19">
        <v>14842000</v>
      </c>
      <c r="G47" s="19">
        <v>19929000</v>
      </c>
    </row>
    <row r="48" spans="2:7" x14ac:dyDescent="0.3">
      <c r="B48" t="s">
        <v>47</v>
      </c>
      <c r="D48" s="19" t="s">
        <v>12</v>
      </c>
      <c r="E48" s="19" t="s">
        <v>12</v>
      </c>
      <c r="F48" s="19" t="s">
        <v>12</v>
      </c>
      <c r="G48" s="19" t="s">
        <v>12</v>
      </c>
    </row>
    <row r="49" spans="2:7" x14ac:dyDescent="0.3">
      <c r="B49" t="s">
        <v>48</v>
      </c>
      <c r="D49" s="19">
        <v>2457000</v>
      </c>
      <c r="E49" s="19">
        <v>1689000</v>
      </c>
      <c r="F49" s="19">
        <v>1546000</v>
      </c>
      <c r="G49" s="19">
        <v>1596000</v>
      </c>
    </row>
    <row r="50" spans="2:7" x14ac:dyDescent="0.3">
      <c r="B50" t="s">
        <v>20</v>
      </c>
      <c r="D50" s="19">
        <v>95000</v>
      </c>
      <c r="E50" s="19">
        <v>32000</v>
      </c>
      <c r="F50" s="19">
        <v>36000</v>
      </c>
      <c r="G50" s="19">
        <v>35000</v>
      </c>
    </row>
    <row r="51" spans="2:7" x14ac:dyDescent="0.3">
      <c r="B51" t="s">
        <v>49</v>
      </c>
      <c r="D51" s="19">
        <v>97746000</v>
      </c>
      <c r="E51" s="19">
        <v>89958000</v>
      </c>
      <c r="F51" s="19">
        <v>86196000</v>
      </c>
      <c r="G51" s="19">
        <v>88301000</v>
      </c>
    </row>
    <row r="52" spans="2:7" x14ac:dyDescent="0.3">
      <c r="B52" t="s">
        <v>50</v>
      </c>
      <c r="D52" s="19"/>
      <c r="E52" s="19"/>
      <c r="F52" s="19"/>
      <c r="G52" s="19"/>
    </row>
    <row r="53" spans="2:7" x14ac:dyDescent="0.3">
      <c r="B53" t="s">
        <v>51</v>
      </c>
      <c r="D53" s="19">
        <v>23019000</v>
      </c>
      <c r="E53" s="19">
        <v>36930000</v>
      </c>
      <c r="F53" s="19">
        <v>37939000</v>
      </c>
      <c r="G53" s="19">
        <v>37483000</v>
      </c>
    </row>
    <row r="54" spans="2:7" x14ac:dyDescent="0.3">
      <c r="B54" t="s">
        <v>52</v>
      </c>
      <c r="D54" s="19">
        <v>61594000</v>
      </c>
      <c r="E54" s="19">
        <v>49423000</v>
      </c>
      <c r="F54" s="19">
        <v>52269000</v>
      </c>
      <c r="G54" s="19">
        <v>50265000</v>
      </c>
    </row>
    <row r="55" spans="2:7" x14ac:dyDescent="0.3">
      <c r="B55" t="s">
        <v>53</v>
      </c>
      <c r="D55" s="19">
        <v>-32626000</v>
      </c>
      <c r="E55" s="19">
        <v>-10407000</v>
      </c>
      <c r="F55" s="19">
        <v>-15530000</v>
      </c>
      <c r="G55" s="19">
        <v>-12727000</v>
      </c>
    </row>
    <row r="56" spans="2:7" x14ac:dyDescent="0.3">
      <c r="B56" t="s">
        <v>54</v>
      </c>
      <c r="D56" s="19" t="s">
        <v>12</v>
      </c>
      <c r="E56" s="19" t="s">
        <v>12</v>
      </c>
      <c r="F56" s="19" t="s">
        <v>12</v>
      </c>
      <c r="G56" s="19" t="s">
        <v>12</v>
      </c>
    </row>
    <row r="57" spans="2:7" x14ac:dyDescent="0.3">
      <c r="B57" t="s">
        <v>55</v>
      </c>
      <c r="D57" s="19">
        <v>-10213000</v>
      </c>
      <c r="E57" s="19">
        <v>-3783000</v>
      </c>
      <c r="F57" s="19">
        <v>-2046000</v>
      </c>
      <c r="G57" s="19">
        <v>-1953000</v>
      </c>
    </row>
    <row r="58" spans="2:7" x14ac:dyDescent="0.3">
      <c r="B58" t="s">
        <v>56</v>
      </c>
      <c r="D58" s="19">
        <v>41774000</v>
      </c>
      <c r="E58" s="19">
        <v>72163000</v>
      </c>
      <c r="F58" s="19">
        <v>72632000</v>
      </c>
      <c r="G58" s="19">
        <v>73068000</v>
      </c>
    </row>
    <row r="59" spans="2:7" x14ac:dyDescent="0.3">
      <c r="B59" t="s">
        <v>57</v>
      </c>
      <c r="D59" s="19">
        <v>139615000</v>
      </c>
      <c r="E59" s="19">
        <v>162153000</v>
      </c>
      <c r="F59" s="19">
        <v>158864000</v>
      </c>
      <c r="G59" s="19">
        <v>161404000</v>
      </c>
    </row>
    <row r="60" spans="2:7" x14ac:dyDescent="0.3">
      <c r="D60" s="19"/>
      <c r="E60" s="19"/>
      <c r="F60" s="19"/>
      <c r="G60" s="19"/>
    </row>
    <row r="61" spans="2:7" ht="18" x14ac:dyDescent="0.35">
      <c r="B61" s="2" t="s">
        <v>115</v>
      </c>
      <c r="D61" s="19"/>
      <c r="E61" s="19"/>
      <c r="F61" s="19"/>
      <c r="G61" s="19"/>
    </row>
    <row r="62" spans="2:7" x14ac:dyDescent="0.3">
      <c r="B62" t="s">
        <v>0</v>
      </c>
      <c r="D62" s="19" t="s">
        <v>71</v>
      </c>
      <c r="E62" s="19" t="s">
        <v>70</v>
      </c>
      <c r="F62" s="19" t="s">
        <v>69</v>
      </c>
      <c r="G62" s="19" t="s">
        <v>68</v>
      </c>
    </row>
    <row r="63" spans="2:7" x14ac:dyDescent="0.3">
      <c r="B63" t="s">
        <v>23</v>
      </c>
      <c r="D63" s="19">
        <v>5727000</v>
      </c>
      <c r="E63" s="19">
        <v>-3476000</v>
      </c>
      <c r="F63" s="19">
        <v>3864000</v>
      </c>
      <c r="G63" s="19">
        <v>5197000</v>
      </c>
    </row>
    <row r="64" spans="2:7" x14ac:dyDescent="0.3">
      <c r="B64" t="s">
        <v>72</v>
      </c>
      <c r="D64" s="19"/>
      <c r="E64" s="19"/>
      <c r="F64" s="19"/>
      <c r="G64" s="19"/>
    </row>
    <row r="65" spans="2:7" x14ac:dyDescent="0.3">
      <c r="B65" t="s">
        <v>73</v>
      </c>
      <c r="D65" s="19">
        <v>2708000</v>
      </c>
      <c r="E65" s="19">
        <v>4156000</v>
      </c>
      <c r="F65" s="19">
        <v>4557000</v>
      </c>
      <c r="G65" s="19">
        <v>4108000</v>
      </c>
    </row>
    <row r="66" spans="2:7" x14ac:dyDescent="0.3">
      <c r="B66" t="s">
        <v>74</v>
      </c>
      <c r="D66" s="19">
        <v>-260000</v>
      </c>
      <c r="E66" s="19">
        <v>3001000</v>
      </c>
      <c r="F66" s="19">
        <v>-411000</v>
      </c>
      <c r="G66" s="19">
        <v>-2656000</v>
      </c>
    </row>
    <row r="67" spans="2:7" x14ac:dyDescent="0.3">
      <c r="B67" t="s">
        <v>75</v>
      </c>
      <c r="D67" s="19"/>
      <c r="E67" s="19"/>
      <c r="F67" s="19"/>
      <c r="G67" s="19"/>
    </row>
    <row r="68" spans="2:7" x14ac:dyDescent="0.3">
      <c r="B68" t="s">
        <v>76</v>
      </c>
      <c r="D68" s="19">
        <v>88000</v>
      </c>
      <c r="E68" s="19">
        <v>1318000</v>
      </c>
      <c r="F68" s="19">
        <v>-570000</v>
      </c>
      <c r="G68" s="19">
        <v>437000</v>
      </c>
    </row>
    <row r="69" spans="2:7" x14ac:dyDescent="0.3">
      <c r="B69" t="s">
        <v>77</v>
      </c>
      <c r="D69" s="19">
        <v>-1267000</v>
      </c>
      <c r="E69" s="19">
        <v>412000</v>
      </c>
      <c r="F69" s="19">
        <v>163000</v>
      </c>
      <c r="G69" s="19">
        <v>-1575000</v>
      </c>
    </row>
    <row r="70" spans="2:7" x14ac:dyDescent="0.3">
      <c r="B70" t="s">
        <v>78</v>
      </c>
      <c r="D70" s="19">
        <v>-1474000</v>
      </c>
      <c r="E70" s="19">
        <v>-2446000</v>
      </c>
      <c r="F70" s="19">
        <v>-2972000</v>
      </c>
      <c r="G70" s="19">
        <v>-1300000</v>
      </c>
    </row>
    <row r="71" spans="2:7" x14ac:dyDescent="0.3">
      <c r="B71" t="s">
        <v>79</v>
      </c>
      <c r="D71" s="19">
        <v>2290000</v>
      </c>
      <c r="E71" s="19">
        <v>-1562000</v>
      </c>
      <c r="F71" s="19">
        <v>2230000</v>
      </c>
      <c r="G71" s="19">
        <v>2827000</v>
      </c>
    </row>
    <row r="72" spans="2:7" x14ac:dyDescent="0.3">
      <c r="B72" t="s">
        <v>80</v>
      </c>
      <c r="D72" s="19">
        <v>5821000</v>
      </c>
      <c r="E72" s="19">
        <v>4334000</v>
      </c>
      <c r="F72" s="19">
        <v>7142000</v>
      </c>
      <c r="G72" s="19">
        <v>7168000</v>
      </c>
    </row>
    <row r="73" spans="2:7" x14ac:dyDescent="0.3">
      <c r="B73" t="s">
        <v>81</v>
      </c>
      <c r="D73" s="19"/>
      <c r="E73" s="19"/>
      <c r="F73" s="19"/>
      <c r="G73" s="19"/>
    </row>
    <row r="74" spans="2:7" x14ac:dyDescent="0.3">
      <c r="B74" t="s">
        <v>82</v>
      </c>
      <c r="D74" s="19">
        <v>-1868000</v>
      </c>
      <c r="E74" s="19">
        <v>-1795000</v>
      </c>
      <c r="F74" s="19">
        <v>-2134000</v>
      </c>
      <c r="G74" s="19">
        <v>-2288000</v>
      </c>
    </row>
    <row r="75" spans="2:7" x14ac:dyDescent="0.3">
      <c r="B75" t="s">
        <v>83</v>
      </c>
      <c r="D75" s="19">
        <v>342000</v>
      </c>
      <c r="E75" s="19">
        <v>-32000</v>
      </c>
      <c r="F75" s="19">
        <v>-16000</v>
      </c>
      <c r="G75" s="19">
        <v>-205000</v>
      </c>
    </row>
    <row r="76" spans="2:7" x14ac:dyDescent="0.3">
      <c r="B76" t="s">
        <v>84</v>
      </c>
      <c r="D76" s="19">
        <v>-1150000</v>
      </c>
      <c r="E76" s="19">
        <v>5170000</v>
      </c>
      <c r="F76" s="19">
        <v>786000</v>
      </c>
      <c r="G76" s="19">
        <v>-336000</v>
      </c>
    </row>
    <row r="77" spans="2:7" x14ac:dyDescent="0.3">
      <c r="B77" t="s">
        <v>85</v>
      </c>
      <c r="D77" s="19">
        <v>-2676000</v>
      </c>
      <c r="E77" s="19">
        <v>3343000</v>
      </c>
      <c r="F77" s="19">
        <v>-1364000</v>
      </c>
      <c r="G77" s="19">
        <v>-2829000</v>
      </c>
    </row>
    <row r="78" spans="2:7" x14ac:dyDescent="0.3">
      <c r="B78" t="s">
        <v>86</v>
      </c>
      <c r="D78" s="19"/>
      <c r="E78" s="19"/>
      <c r="F78" s="19"/>
      <c r="G78" s="19"/>
    </row>
    <row r="79" spans="2:7" x14ac:dyDescent="0.3">
      <c r="B79" t="s">
        <v>87</v>
      </c>
      <c r="D79" s="19">
        <v>-124000</v>
      </c>
      <c r="E79" s="19">
        <v>-47000</v>
      </c>
      <c r="F79" s="19">
        <v>-2327000</v>
      </c>
      <c r="G79" s="19">
        <v>-2803000</v>
      </c>
    </row>
    <row r="80" spans="2:7" x14ac:dyDescent="0.3">
      <c r="B80" t="s">
        <v>88</v>
      </c>
      <c r="D80" s="19">
        <v>-1816000</v>
      </c>
      <c r="E80" s="19">
        <v>-16119000</v>
      </c>
      <c r="F80" s="19">
        <v>-305000</v>
      </c>
      <c r="G80" s="19">
        <v>487000</v>
      </c>
    </row>
    <row r="81" spans="2:7" x14ac:dyDescent="0.3">
      <c r="B81" t="s">
        <v>89</v>
      </c>
      <c r="D81" s="19">
        <v>2469000</v>
      </c>
      <c r="E81" s="19">
        <v>15038000</v>
      </c>
      <c r="F81" s="19">
        <v>-1167000</v>
      </c>
      <c r="G81" s="19">
        <v>-415000</v>
      </c>
    </row>
    <row r="82" spans="2:7" x14ac:dyDescent="0.3">
      <c r="B82" t="s">
        <v>90</v>
      </c>
      <c r="D82" s="19">
        <v>-1913000</v>
      </c>
      <c r="E82" s="19">
        <v>-3860000</v>
      </c>
      <c r="F82" s="19">
        <v>-6756000</v>
      </c>
      <c r="G82" s="19">
        <v>-5859000</v>
      </c>
    </row>
    <row r="83" spans="2:7" x14ac:dyDescent="0.3">
      <c r="B83" t="s">
        <v>91</v>
      </c>
      <c r="D83" s="19">
        <v>-19000</v>
      </c>
      <c r="E83" s="19">
        <v>-22000</v>
      </c>
      <c r="F83" s="19">
        <v>-1000</v>
      </c>
      <c r="G83" s="19">
        <v>-42000</v>
      </c>
    </row>
    <row r="84" spans="2:7" x14ac:dyDescent="0.3">
      <c r="B84" t="s">
        <v>92</v>
      </c>
      <c r="D84" s="19">
        <v>1208000</v>
      </c>
      <c r="E84" s="19">
        <v>1412000</v>
      </c>
      <c r="F84" s="19">
        <v>-979000</v>
      </c>
      <c r="G84" s="19">
        <v>-1562000</v>
      </c>
    </row>
  </sheetData>
  <sheetProtection sheet="1" objects="1" scenarios="1"/>
  <customSheetViews>
    <customSheetView guid="{157A7F57-E932-4D71-AAC5-1BA0DA6A9C96}" showGridLines="0" topLeftCell="A34">
      <selection activeCell="H23" sqref="H23"/>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18"/>
  <sheetViews>
    <sheetView showGridLines="0" topLeftCell="A61" zoomScaleNormal="100" workbookViewId="0">
      <selection activeCell="Q115" sqref="Q115"/>
    </sheetView>
  </sheetViews>
  <sheetFormatPr defaultRowHeight="14.4" x14ac:dyDescent="0.3"/>
  <cols>
    <col min="1" max="1" width="1.88671875" customWidth="1"/>
    <col min="2" max="2" width="9.44140625" bestFit="1" customWidth="1"/>
    <col min="13" max="16" width="11.33203125" customWidth="1"/>
    <col min="17" max="17" width="9" customWidth="1"/>
  </cols>
  <sheetData>
    <row r="2" spans="2:18" ht="14.4" customHeight="1" x14ac:dyDescent="0.3">
      <c r="B2" s="473" t="s">
        <v>275</v>
      </c>
      <c r="C2" s="473"/>
      <c r="D2" s="473"/>
      <c r="E2" s="473"/>
      <c r="F2" s="473"/>
      <c r="G2" s="473"/>
      <c r="H2" s="263"/>
      <c r="I2" s="263"/>
      <c r="J2" s="263"/>
      <c r="K2" s="263"/>
      <c r="L2" s="263"/>
      <c r="M2" s="263"/>
      <c r="N2" s="263"/>
      <c r="O2" s="263"/>
      <c r="P2" s="263"/>
      <c r="Q2" s="263"/>
      <c r="R2" s="263"/>
    </row>
    <row r="3" spans="2:18" ht="14.4" customHeight="1" x14ac:dyDescent="0.3">
      <c r="B3" s="473"/>
      <c r="C3" s="473"/>
      <c r="D3" s="473"/>
      <c r="E3" s="473"/>
      <c r="F3" s="473"/>
      <c r="G3" s="473"/>
      <c r="H3" s="263"/>
      <c r="I3" s="263"/>
      <c r="J3" s="263"/>
      <c r="K3" s="263"/>
      <c r="L3" s="263"/>
      <c r="M3" s="263"/>
      <c r="N3" s="263"/>
      <c r="O3" s="263"/>
      <c r="P3" s="263"/>
      <c r="Q3" s="263"/>
      <c r="R3" s="263"/>
    </row>
    <row r="4" spans="2:18" ht="14.4" customHeight="1" x14ac:dyDescent="0.3">
      <c r="B4" s="474" t="s">
        <v>276</v>
      </c>
      <c r="C4" s="474"/>
      <c r="D4" s="264"/>
      <c r="E4" s="264"/>
      <c r="F4" s="264"/>
      <c r="G4" s="264"/>
      <c r="H4" s="263"/>
      <c r="I4" s="263"/>
      <c r="J4" s="263"/>
      <c r="K4" s="263"/>
      <c r="L4" s="263"/>
      <c r="M4" s="263"/>
      <c r="N4" s="263"/>
      <c r="O4" s="263"/>
      <c r="P4" s="263"/>
      <c r="Q4" s="263"/>
      <c r="R4" s="263"/>
    </row>
    <row r="5" spans="2:18" x14ac:dyDescent="0.3">
      <c r="B5" s="474"/>
      <c r="C5" s="474"/>
      <c r="D5" s="263"/>
      <c r="E5" s="263"/>
      <c r="F5" s="263"/>
      <c r="G5" s="263"/>
      <c r="H5" s="263"/>
      <c r="I5" s="263"/>
      <c r="J5" s="263"/>
      <c r="K5" s="263"/>
      <c r="L5" s="263"/>
      <c r="M5" s="263"/>
      <c r="N5" s="263"/>
      <c r="O5" s="263"/>
      <c r="P5" s="263"/>
      <c r="Q5" s="263"/>
      <c r="R5" s="263"/>
    </row>
    <row r="6" spans="2:18" x14ac:dyDescent="0.3">
      <c r="B6" s="265" t="s">
        <v>277</v>
      </c>
      <c r="C6" s="263"/>
      <c r="D6" s="263"/>
      <c r="E6" s="263"/>
      <c r="F6" s="263"/>
      <c r="G6" s="263"/>
      <c r="H6" s="263"/>
      <c r="I6" s="263"/>
      <c r="J6" s="263"/>
      <c r="K6" s="263"/>
      <c r="L6" s="263"/>
      <c r="M6" s="263"/>
      <c r="N6" s="263"/>
      <c r="O6" s="263"/>
      <c r="P6" s="263"/>
      <c r="Q6" s="263"/>
      <c r="R6" s="263"/>
    </row>
    <row r="8" spans="2:18" ht="14.4" customHeight="1" x14ac:dyDescent="0.3">
      <c r="B8" s="480" t="s">
        <v>278</v>
      </c>
      <c r="C8" s="480"/>
      <c r="D8" s="480"/>
      <c r="E8" s="480"/>
      <c r="F8" s="480"/>
      <c r="G8" s="480"/>
      <c r="H8" s="480"/>
      <c r="I8" s="480"/>
      <c r="J8" s="480"/>
      <c r="K8" s="480"/>
      <c r="L8" s="480"/>
      <c r="M8" s="480"/>
      <c r="N8" s="480"/>
      <c r="O8" s="480"/>
      <c r="P8" s="480"/>
      <c r="Q8" s="480"/>
      <c r="R8" s="480"/>
    </row>
    <row r="9" spans="2:18" x14ac:dyDescent="0.3">
      <c r="B9" s="480"/>
      <c r="C9" s="480"/>
      <c r="D9" s="480"/>
      <c r="E9" s="480"/>
      <c r="F9" s="480"/>
      <c r="G9" s="480"/>
      <c r="H9" s="480"/>
      <c r="I9" s="480"/>
      <c r="J9" s="480"/>
      <c r="K9" s="480"/>
      <c r="L9" s="480"/>
      <c r="M9" s="480"/>
      <c r="N9" s="480"/>
      <c r="O9" s="480"/>
      <c r="P9" s="480"/>
      <c r="Q9" s="480"/>
      <c r="R9" s="480"/>
    </row>
    <row r="10" spans="2:18" x14ac:dyDescent="0.3">
      <c r="B10" s="480"/>
      <c r="C10" s="480"/>
      <c r="D10" s="480"/>
      <c r="E10" s="480"/>
      <c r="F10" s="480"/>
      <c r="G10" s="480"/>
      <c r="H10" s="480"/>
      <c r="I10" s="480"/>
      <c r="J10" s="480"/>
      <c r="K10" s="480"/>
      <c r="L10" s="480"/>
      <c r="M10" s="480"/>
      <c r="N10" s="480"/>
      <c r="O10" s="480"/>
      <c r="P10" s="480"/>
      <c r="Q10" s="480"/>
      <c r="R10" s="480"/>
    </row>
    <row r="11" spans="2:18" x14ac:dyDescent="0.3">
      <c r="B11" s="480"/>
      <c r="C11" s="480"/>
      <c r="D11" s="480"/>
      <c r="E11" s="480"/>
      <c r="F11" s="480"/>
      <c r="G11" s="480"/>
      <c r="H11" s="480"/>
      <c r="I11" s="480"/>
      <c r="J11" s="480"/>
      <c r="K11" s="480"/>
      <c r="L11" s="480"/>
      <c r="M11" s="480"/>
      <c r="N11" s="480"/>
      <c r="O11" s="480"/>
      <c r="P11" s="480"/>
      <c r="Q11" s="480"/>
      <c r="R11" s="480"/>
    </row>
    <row r="12" spans="2:18" x14ac:dyDescent="0.3">
      <c r="B12" s="480"/>
      <c r="C12" s="480"/>
      <c r="D12" s="480"/>
      <c r="E12" s="480"/>
      <c r="F12" s="480"/>
      <c r="G12" s="480"/>
      <c r="H12" s="480"/>
      <c r="I12" s="480"/>
      <c r="J12" s="480"/>
      <c r="K12" s="480"/>
      <c r="L12" s="480"/>
      <c r="M12" s="480"/>
      <c r="N12" s="480"/>
      <c r="O12" s="480"/>
      <c r="P12" s="480"/>
      <c r="Q12" s="480"/>
      <c r="R12" s="480"/>
    </row>
    <row r="14" spans="2:18" x14ac:dyDescent="0.3">
      <c r="B14" s="481" t="s">
        <v>58</v>
      </c>
      <c r="C14" s="482"/>
      <c r="D14" s="482"/>
      <c r="E14" s="482"/>
      <c r="F14" s="482"/>
      <c r="G14" s="482"/>
      <c r="H14" s="482"/>
      <c r="I14" s="482"/>
      <c r="J14" s="482"/>
      <c r="K14" s="482"/>
      <c r="L14" s="482"/>
      <c r="M14" s="482"/>
      <c r="N14" s="482"/>
      <c r="O14" s="482"/>
      <c r="P14" s="482"/>
      <c r="Q14" s="482"/>
      <c r="R14" s="483"/>
    </row>
    <row r="15" spans="2:18" x14ac:dyDescent="0.3">
      <c r="B15" s="266"/>
      <c r="C15" s="38"/>
      <c r="D15" s="38"/>
      <c r="E15" s="38"/>
      <c r="F15" s="38"/>
      <c r="G15" s="38"/>
      <c r="H15" s="38"/>
      <c r="I15" s="38"/>
      <c r="J15" s="38"/>
      <c r="K15" s="38"/>
      <c r="L15" s="38"/>
      <c r="M15" s="38"/>
      <c r="N15" s="38"/>
      <c r="O15" s="38"/>
      <c r="P15" s="38"/>
      <c r="Q15" s="38"/>
      <c r="R15" s="267"/>
    </row>
    <row r="16" spans="2:18" x14ac:dyDescent="0.3">
      <c r="B16" s="484" t="s">
        <v>64</v>
      </c>
      <c r="C16" s="485"/>
      <c r="D16" s="485"/>
      <c r="E16" s="485"/>
      <c r="F16" s="485"/>
      <c r="G16" s="485"/>
      <c r="H16" s="485"/>
      <c r="I16" s="485"/>
      <c r="J16" s="485"/>
      <c r="K16" s="485"/>
      <c r="L16" s="485"/>
      <c r="M16" s="485"/>
      <c r="N16" s="485"/>
      <c r="O16" s="485"/>
      <c r="P16" s="485"/>
      <c r="Q16" s="485"/>
      <c r="R16" s="486"/>
    </row>
    <row r="17" spans="2:18" x14ac:dyDescent="0.3">
      <c r="B17" s="266"/>
      <c r="C17" s="38"/>
      <c r="D17" s="38"/>
      <c r="E17" s="38"/>
      <c r="F17" s="38"/>
      <c r="G17" s="38"/>
      <c r="H17" s="38"/>
      <c r="I17" s="38"/>
      <c r="J17" s="38"/>
      <c r="K17" s="38"/>
      <c r="L17" s="38"/>
      <c r="M17" s="49">
        <v>43800</v>
      </c>
      <c r="N17" s="49">
        <f>M17+366</f>
        <v>44166</v>
      </c>
      <c r="O17" s="49">
        <f t="shared" ref="O17:P17" si="0">N17+366</f>
        <v>44532</v>
      </c>
      <c r="P17" s="49">
        <f t="shared" si="0"/>
        <v>44898</v>
      </c>
      <c r="Q17" s="38"/>
      <c r="R17" s="267"/>
    </row>
    <row r="18" spans="2:18" x14ac:dyDescent="0.3">
      <c r="B18" s="266" t="s">
        <v>179</v>
      </c>
      <c r="C18" s="38"/>
      <c r="D18" s="38"/>
      <c r="E18" s="38"/>
      <c r="F18" s="38"/>
      <c r="G18" s="38"/>
      <c r="H18" s="38"/>
      <c r="I18" s="38"/>
      <c r="J18" s="38"/>
      <c r="K18" s="38"/>
      <c r="L18" s="38"/>
      <c r="M18" s="39">
        <f>'Raytheon Tech''s - Financials'!D32/'Raytheon Tech''s - Financials'!D45</f>
        <v>1.3215650083701764</v>
      </c>
      <c r="N18" s="39">
        <f>'Raytheon Tech''s - Financials'!E32/'Raytheon Tech''s - Financials'!E45</f>
        <v>1.2099977683552778</v>
      </c>
      <c r="O18" s="39">
        <f>'Raytheon Tech''s - Financials'!F32/'Raytheon Tech''s - Financials'!F45</f>
        <v>1.0851101907245488</v>
      </c>
      <c r="P18" s="39">
        <f>'Raytheon Tech''s - Financials'!G32/'Raytheon Tech''s - Financials'!G45</f>
        <v>1.1862111766199328</v>
      </c>
      <c r="Q18" s="38"/>
      <c r="R18" s="267"/>
    </row>
    <row r="19" spans="2:18" x14ac:dyDescent="0.3">
      <c r="B19" s="266" t="s">
        <v>180</v>
      </c>
      <c r="C19" s="38"/>
      <c r="D19" s="38"/>
      <c r="E19" s="38"/>
      <c r="F19" s="38"/>
      <c r="G19" s="38"/>
      <c r="H19" s="38"/>
      <c r="I19" s="38"/>
      <c r="J19" s="38"/>
      <c r="K19" s="38"/>
      <c r="L19" s="38"/>
      <c r="M19" s="39">
        <f>('Raytheon Tech''s - Financials'!D32-'Raytheon Tech''s - Financials'!D30)/'Raytheon Tech''s - Financials'!D45</f>
        <v>1.1273983774734944</v>
      </c>
      <c r="N19" s="39">
        <f>('Raytheon Tech''s - Financials'!E32-'Raytheon Tech''s - Financials'!E30)/'Raytheon Tech''s - Financials'!E45</f>
        <v>0.94747266235215355</v>
      </c>
      <c r="O19" s="39">
        <f>('Raytheon Tech''s - Financials'!F32-'Raytheon Tech''s - Financials'!F30)/'Raytheon Tech''s - Financials'!F45</f>
        <v>0.81367285370966913</v>
      </c>
      <c r="P19" s="39">
        <f>('Raytheon Tech''s - Financials'!G32-'Raytheon Tech''s - Financials'!G30)/'Raytheon Tech''s - Financials'!G45</f>
        <v>0.92730401421760844</v>
      </c>
      <c r="Q19" s="38"/>
      <c r="R19" s="267"/>
    </row>
    <row r="20" spans="2:18" x14ac:dyDescent="0.3">
      <c r="B20" s="266" t="s">
        <v>67</v>
      </c>
      <c r="C20" s="38"/>
      <c r="D20" s="38"/>
      <c r="E20" s="38"/>
      <c r="F20" s="38"/>
      <c r="G20" s="38"/>
      <c r="H20" s="38"/>
      <c r="I20" s="38"/>
      <c r="J20" s="38"/>
      <c r="K20" s="38"/>
      <c r="L20" s="38"/>
      <c r="M20" s="39">
        <f>'Raytheon Tech''s - Financials'!D27/'Raytheon Tech''s - Financials'!D45</f>
        <v>0.10595784865004078</v>
      </c>
      <c r="N20" s="39">
        <f>'Raytheon Tech''s - Financials'!E27/'Raytheon Tech''s - Financials'!E45</f>
        <v>0.24553671055567955</v>
      </c>
      <c r="O20" s="39">
        <f>'Raytheon Tech''s - Financials'!F27/'Raytheon Tech''s - Financials'!F45</f>
        <v>0.15902234494043055</v>
      </c>
      <c r="P20" s="39">
        <f>'Raytheon Tech''s - Financials'!G27/'Raytheon Tech''s - Financials'!G45</f>
        <v>0.22093712093429999</v>
      </c>
      <c r="Q20" s="38"/>
      <c r="R20" s="267"/>
    </row>
    <row r="21" spans="2:18" x14ac:dyDescent="0.3">
      <c r="B21" s="266"/>
      <c r="C21" s="38"/>
      <c r="D21" s="38"/>
      <c r="E21" s="38"/>
      <c r="F21" s="38"/>
      <c r="G21" s="38"/>
      <c r="H21" s="38"/>
      <c r="I21" s="38"/>
      <c r="J21" s="38"/>
      <c r="K21" s="38"/>
      <c r="L21" s="38"/>
      <c r="M21" s="38"/>
      <c r="N21" s="38"/>
      <c r="O21" s="38"/>
      <c r="P21" s="38"/>
      <c r="Q21" s="38"/>
      <c r="R21" s="267"/>
    </row>
    <row r="22" spans="2:18" x14ac:dyDescent="0.3">
      <c r="B22" s="484" t="s">
        <v>116</v>
      </c>
      <c r="C22" s="485"/>
      <c r="D22" s="485"/>
      <c r="E22" s="485"/>
      <c r="F22" s="485"/>
      <c r="G22" s="485"/>
      <c r="H22" s="485"/>
      <c r="I22" s="485"/>
      <c r="J22" s="485"/>
      <c r="K22" s="485"/>
      <c r="L22" s="485"/>
      <c r="M22" s="485"/>
      <c r="N22" s="485"/>
      <c r="O22" s="485"/>
      <c r="P22" s="485"/>
      <c r="Q22" s="485"/>
      <c r="R22" s="486"/>
    </row>
    <row r="23" spans="2:18" x14ac:dyDescent="0.3">
      <c r="B23" s="266"/>
      <c r="C23" s="38"/>
      <c r="D23" s="38"/>
      <c r="E23" s="38"/>
      <c r="F23" s="38"/>
      <c r="G23" s="38"/>
      <c r="H23" s="38"/>
      <c r="I23" s="38"/>
      <c r="J23" s="38"/>
      <c r="K23" s="38"/>
      <c r="L23" s="38"/>
      <c r="M23" s="49">
        <f>M17</f>
        <v>43800</v>
      </c>
      <c r="N23" s="49">
        <f t="shared" ref="N23:P23" si="1">N17</f>
        <v>44166</v>
      </c>
      <c r="O23" s="49">
        <f t="shared" si="1"/>
        <v>44532</v>
      </c>
      <c r="P23" s="49">
        <f t="shared" si="1"/>
        <v>44898</v>
      </c>
      <c r="Q23" s="38"/>
      <c r="R23" s="267"/>
    </row>
    <row r="24" spans="2:18" x14ac:dyDescent="0.3">
      <c r="B24" s="266" t="s">
        <v>117</v>
      </c>
      <c r="C24" s="38"/>
      <c r="D24" s="38"/>
      <c r="E24" s="38"/>
      <c r="F24" s="38"/>
      <c r="G24" s="38"/>
      <c r="H24" s="38"/>
      <c r="I24" s="38"/>
      <c r="J24" s="38"/>
      <c r="K24" s="38"/>
      <c r="L24" s="38"/>
      <c r="M24" s="39">
        <f>('Raytheon Tech''s - Financials'!D43+'Raytheon Tech''s - Financials'!D46)/'Raytheon Tech''s - Financials'!D40</f>
        <v>0.30979479282312072</v>
      </c>
      <c r="N24" s="39">
        <f>('Raytheon Tech''s - Financials'!E43+'Raytheon Tech''s - Financials'!E46)/'Raytheon Tech''s - Financials'!E40</f>
        <v>0.19625292162340505</v>
      </c>
      <c r="O24" s="39">
        <f>('Raytheon Tech''s - Financials'!F43+'Raytheon Tech''s - Financials'!F46)/'Raytheon Tech''s - Financials'!F40</f>
        <v>0.20088881055494007</v>
      </c>
      <c r="P24" s="39">
        <f>('Raytheon Tech''s - Financials'!G43+'Raytheon Tech''s - Financials'!G46)/'Raytheon Tech''s - Financials'!G40</f>
        <v>0.1950695150058239</v>
      </c>
      <c r="Q24" s="38"/>
      <c r="R24" s="267"/>
    </row>
    <row r="25" spans="2:18" x14ac:dyDescent="0.3">
      <c r="B25" s="266" t="s">
        <v>118</v>
      </c>
      <c r="C25" s="38"/>
      <c r="D25" s="38"/>
      <c r="E25" s="38"/>
      <c r="F25" s="38"/>
      <c r="G25" s="38"/>
      <c r="H25" s="38"/>
      <c r="I25" s="38"/>
      <c r="J25" s="38"/>
      <c r="K25" s="38"/>
      <c r="L25" s="38"/>
      <c r="M25" s="39">
        <f>('Raytheon Tech''s - Financials'!D43+'Raytheon Tech''s - Financials'!D46)/'Raytheon Tech''s - Financials'!D58</f>
        <v>1.0353808589074545</v>
      </c>
      <c r="N25" s="39">
        <f>('Raytheon Tech''s - Financials'!E43+'Raytheon Tech''s - Financials'!E46)/'Raytheon Tech''s - Financials'!E58</f>
        <v>0.44098776381248006</v>
      </c>
      <c r="O25" s="39">
        <f>('Raytheon Tech''s - Financials'!F43+'Raytheon Tech''s - Financials'!F46)/'Raytheon Tech''s - Financials'!F58</f>
        <v>0.43939310496750744</v>
      </c>
      <c r="P25" s="39">
        <f>('Raytheon Tech''s - Financials'!G43+'Raytheon Tech''s - Financials'!G46)/'Raytheon Tech''s - Financials'!G58</f>
        <v>0.43089998357694204</v>
      </c>
      <c r="Q25" s="38"/>
      <c r="R25" s="267"/>
    </row>
    <row r="26" spans="2:18" x14ac:dyDescent="0.3">
      <c r="B26" s="266" t="s">
        <v>120</v>
      </c>
      <c r="C26" s="38"/>
      <c r="D26" s="38"/>
      <c r="E26" s="38"/>
      <c r="F26" s="38"/>
      <c r="G26" s="38"/>
      <c r="H26" s="38"/>
      <c r="I26" s="38"/>
      <c r="J26" s="38"/>
      <c r="K26" s="38"/>
      <c r="L26" s="38"/>
      <c r="M26" s="39">
        <f>M25/(1+M25)</f>
        <v>0.50869145908310398</v>
      </c>
      <c r="N26" s="39">
        <f t="shared" ref="N26:P26" si="2">N25/(1+N25)</f>
        <v>0.30603158117438883</v>
      </c>
      <c r="O26" s="39">
        <f t="shared" si="2"/>
        <v>0.30526275515084267</v>
      </c>
      <c r="P26" s="39">
        <f t="shared" si="2"/>
        <v>0.30113913517546126</v>
      </c>
      <c r="Q26" s="38"/>
      <c r="R26" s="267"/>
    </row>
    <row r="27" spans="2:18" x14ac:dyDescent="0.3">
      <c r="B27" s="266" t="s">
        <v>121</v>
      </c>
      <c r="C27" s="38"/>
      <c r="D27" s="38"/>
      <c r="E27" s="38"/>
      <c r="F27" s="38"/>
      <c r="G27" s="38"/>
      <c r="H27" s="38"/>
      <c r="I27" s="38"/>
      <c r="J27" s="38"/>
      <c r="K27" s="38"/>
      <c r="L27" s="38"/>
      <c r="M27" s="39">
        <f>('Raytheon Tech''s - Financials'!D14+'Raytheon Tech''s - Financials'!D65)/'Raytheon Tech''s - Financials'!D15</f>
        <v>5.3117536140791959</v>
      </c>
      <c r="N27" s="39">
        <f>('Raytheon Tech''s - Financials'!E14+'Raytheon Tech''s - Financials'!E65)/'Raytheon Tech''s - Financials'!E15</f>
        <v>2.3199121522693997</v>
      </c>
      <c r="O27" s="39">
        <f>('Raytheon Tech''s - Financials'!F14+'Raytheon Tech''s - Financials'!F65)/'Raytheon Tech''s - Financials'!F15</f>
        <v>8.1770045385779131</v>
      </c>
      <c r="P27" s="39">
        <f>('Raytheon Tech''s - Financials'!G14+'Raytheon Tech''s - Financials'!G65)/'Raytheon Tech''s - Financials'!G15</f>
        <v>8.942789968652038</v>
      </c>
      <c r="Q27" s="38"/>
      <c r="R27" s="267"/>
    </row>
    <row r="28" spans="2:18" x14ac:dyDescent="0.3">
      <c r="B28" s="266" t="s">
        <v>119</v>
      </c>
      <c r="C28" s="38"/>
      <c r="D28" s="38"/>
      <c r="E28" s="38"/>
      <c r="F28" s="38"/>
      <c r="G28" s="38"/>
      <c r="H28" s="38"/>
      <c r="I28" s="38"/>
      <c r="J28" s="38"/>
      <c r="K28" s="38"/>
      <c r="L28" s="38"/>
      <c r="M28" s="39">
        <f>'Raytheon Tech''s - Financials'!D40/'Raytheon Tech''s - Financials'!D58</f>
        <v>3.3421506200028728</v>
      </c>
      <c r="N28" s="39">
        <f>'Raytheon Tech''s - Financials'!E40/'Raytheon Tech''s - Financials'!E58</f>
        <v>2.2470379557390907</v>
      </c>
      <c r="O28" s="39">
        <f>'Raytheon Tech''s - Financials'!F40/'Raytheon Tech''s - Financials'!F58</f>
        <v>2.1872452913316445</v>
      </c>
      <c r="P28" s="39">
        <f>'Raytheon Tech''s - Financials'!G40/'Raytheon Tech''s - Financials'!G58</f>
        <v>2.2089560409481579</v>
      </c>
      <c r="Q28" s="38"/>
      <c r="R28" s="267"/>
    </row>
    <row r="29" spans="2:18" x14ac:dyDescent="0.3">
      <c r="B29" s="266" t="s">
        <v>193</v>
      </c>
      <c r="C29" s="38"/>
      <c r="D29" s="38"/>
      <c r="E29" s="38"/>
      <c r="F29" s="38"/>
      <c r="G29" s="38"/>
      <c r="H29" s="38"/>
      <c r="I29" s="38"/>
      <c r="J29" s="38"/>
      <c r="K29" s="38"/>
      <c r="L29" s="38"/>
      <c r="M29" s="39">
        <f>'Raytheon Tech''s - Financials'!D72/('Raytheon Tech''s - Financials'!D43+'Raytheon Tech''s - Financials'!D46)</f>
        <v>0.1345833718671969</v>
      </c>
      <c r="N29" s="39">
        <f>'Raytheon Tech''s - Financials'!E72/('Raytheon Tech''s - Financials'!E43+'Raytheon Tech''s - Financials'!E46)</f>
        <v>0.13619080539232631</v>
      </c>
      <c r="O29" s="39">
        <f>'Raytheon Tech''s - Financials'!F72/('Raytheon Tech''s - Financials'!F43+'Raytheon Tech''s - Financials'!F46)</f>
        <v>0.22378893275678385</v>
      </c>
      <c r="P29" s="39">
        <f>'Raytheon Tech''s - Financials'!G72/('Raytheon Tech''s - Financials'!G43+'Raytheon Tech''s - Financials'!G46)</f>
        <v>0.22766396696839766</v>
      </c>
      <c r="Q29" s="38"/>
      <c r="R29" s="267"/>
    </row>
    <row r="30" spans="2:18" x14ac:dyDescent="0.3">
      <c r="B30" s="266"/>
      <c r="C30" s="38"/>
      <c r="D30" s="38"/>
      <c r="E30" s="38"/>
      <c r="F30" s="38"/>
      <c r="G30" s="38"/>
      <c r="H30" s="38"/>
      <c r="I30" s="38"/>
      <c r="J30" s="38"/>
      <c r="K30" s="38"/>
      <c r="L30" s="38"/>
      <c r="M30" s="38"/>
      <c r="N30" s="38"/>
      <c r="O30" s="38"/>
      <c r="P30" s="38"/>
      <c r="Q30" s="38"/>
      <c r="R30" s="267"/>
    </row>
    <row r="31" spans="2:18" x14ac:dyDescent="0.3">
      <c r="B31" s="484" t="s">
        <v>122</v>
      </c>
      <c r="C31" s="485"/>
      <c r="D31" s="485"/>
      <c r="E31" s="485"/>
      <c r="F31" s="485"/>
      <c r="G31" s="485"/>
      <c r="H31" s="485"/>
      <c r="I31" s="485"/>
      <c r="J31" s="485"/>
      <c r="K31" s="485"/>
      <c r="L31" s="485"/>
      <c r="M31" s="485"/>
      <c r="N31" s="485"/>
      <c r="O31" s="485"/>
      <c r="P31" s="485"/>
      <c r="Q31" s="485"/>
      <c r="R31" s="486"/>
    </row>
    <row r="32" spans="2:18" x14ac:dyDescent="0.3">
      <c r="B32" s="266"/>
      <c r="C32" s="38"/>
      <c r="D32" s="38"/>
      <c r="E32" s="38"/>
      <c r="F32" s="38"/>
      <c r="G32" s="38"/>
      <c r="H32" s="38"/>
      <c r="I32" s="38"/>
      <c r="J32" s="38"/>
      <c r="K32" s="38"/>
      <c r="L32" s="38"/>
      <c r="M32" s="49">
        <f>M23</f>
        <v>43800</v>
      </c>
      <c r="N32" s="49">
        <f t="shared" ref="N32:P32" si="3">N23</f>
        <v>44166</v>
      </c>
      <c r="O32" s="49">
        <f t="shared" si="3"/>
        <v>44532</v>
      </c>
      <c r="P32" s="49">
        <f t="shared" si="3"/>
        <v>44898</v>
      </c>
      <c r="Q32" s="38"/>
      <c r="R32" s="267"/>
    </row>
    <row r="33" spans="2:18" x14ac:dyDescent="0.3">
      <c r="B33" s="266" t="s">
        <v>123</v>
      </c>
      <c r="C33" s="38"/>
      <c r="D33" s="38"/>
      <c r="E33" s="38"/>
      <c r="F33" s="38"/>
      <c r="G33" s="38"/>
      <c r="H33" s="38"/>
      <c r="I33" s="38"/>
      <c r="J33" s="38"/>
      <c r="K33" s="38"/>
      <c r="L33" s="38"/>
      <c r="M33" s="39">
        <f>'Raytheon Tech''s - Financials'!D4/'Raytheon Tech''s - Financials'!D40</f>
        <v>0.32481466891093363</v>
      </c>
      <c r="N33" s="39">
        <f>'Raytheon Tech''s - Financials'!E4/'Raytheon Tech''s - Financials'!E40</f>
        <v>0.348972883634592</v>
      </c>
      <c r="O33" s="39">
        <f>'Raytheon Tech''s - Financials'!F4/'Raytheon Tech''s - Financials'!F40</f>
        <v>0.40530264880652633</v>
      </c>
      <c r="P33" s="39">
        <f>'Raytheon Tech''s - Financials'!G4/'Raytheon Tech''s - Financials'!G40</f>
        <v>0.41556590914723301</v>
      </c>
      <c r="Q33" s="38"/>
      <c r="R33" s="267"/>
    </row>
    <row r="34" spans="2:18" x14ac:dyDescent="0.3">
      <c r="B34" s="266" t="s">
        <v>124</v>
      </c>
      <c r="C34" s="38"/>
      <c r="D34" s="38"/>
      <c r="E34" s="38"/>
      <c r="F34" s="38"/>
      <c r="G34" s="38"/>
      <c r="H34" s="38"/>
      <c r="I34" s="38"/>
      <c r="J34" s="38"/>
      <c r="K34" s="38"/>
      <c r="L34" s="38"/>
      <c r="M34" s="39">
        <f>'Raytheon Tech''s - Financials'!D4/'Analysis- Raytheon'!M84</f>
        <v>3.0266969231796037</v>
      </c>
      <c r="N34" s="39">
        <f>'Raytheon Tech''s - Financials'!E4/'Analysis- Raytheon'!N84</f>
        <v>7.5168703506907546</v>
      </c>
      <c r="O34" s="39">
        <f>'Raytheon Tech''s - Financials'!F4/'Analysis- Raytheon'!O84</f>
        <v>19.341544007209372</v>
      </c>
      <c r="P34" s="39">
        <f>'Raytheon Tech''s - Financials'!G4/'Analysis- Raytheon'!P84</f>
        <v>10.16118769883351</v>
      </c>
      <c r="Q34" s="38"/>
      <c r="R34" s="267"/>
    </row>
    <row r="35" spans="2:18" x14ac:dyDescent="0.3">
      <c r="B35" s="266" t="s">
        <v>125</v>
      </c>
      <c r="C35" s="38"/>
      <c r="D35" s="38"/>
      <c r="E35" s="38"/>
      <c r="F35" s="38"/>
      <c r="G35" s="38"/>
      <c r="H35" s="38"/>
      <c r="I35" s="38"/>
      <c r="J35" s="38"/>
      <c r="K35" s="38"/>
      <c r="L35" s="38"/>
      <c r="M35" s="39">
        <f>'Raytheon Tech''s - Financials'!D5/'Raytheon Tech''s - Financials'!D30</f>
        <v>3.8242511329722562</v>
      </c>
      <c r="N35" s="39">
        <f>'Raytheon Tech''s - Financials'!E5/'Raytheon Tech''s - Financials'!E30</f>
        <v>5.1063648921474867</v>
      </c>
      <c r="O35" s="39">
        <f>'Raytheon Tech''s - Financials'!F5/'Raytheon Tech''s - Financials'!F30</f>
        <v>4.888103984176321</v>
      </c>
      <c r="P35" s="39">
        <f>'Raytheon Tech''s - Financials'!G5/'Raytheon Tech''s - Financials'!G30</f>
        <v>5.8189147962519066</v>
      </c>
      <c r="Q35" s="38"/>
      <c r="R35" s="267"/>
    </row>
    <row r="36" spans="2:18" x14ac:dyDescent="0.3">
      <c r="B36" s="266" t="s">
        <v>126</v>
      </c>
      <c r="C36" s="38"/>
      <c r="D36" s="38"/>
      <c r="E36" s="38"/>
      <c r="F36" s="38"/>
      <c r="G36" s="38"/>
      <c r="H36" s="38"/>
      <c r="I36" s="38"/>
      <c r="J36" s="38"/>
      <c r="K36" s="38"/>
      <c r="L36" s="38"/>
      <c r="M36" s="39">
        <f>'Raytheon Tech''s - Financials'!D4/'Raytheon Tech''s - Financials'!D29</f>
        <v>5.186892371039689</v>
      </c>
      <c r="N36" s="39">
        <f>'Raytheon Tech''s - Financials'!E4/'Raytheon Tech''s - Financials'!E29</f>
        <v>6.1148692457315752</v>
      </c>
      <c r="O36" s="39">
        <f>'Raytheon Tech''s - Financials'!F4/'Raytheon Tech''s - Financials'!F29</f>
        <v>7.0693895476504176</v>
      </c>
      <c r="P36" s="39">
        <f>'Raytheon Tech''s - Financials'!G4/'Raytheon Tech''s - Financials'!G29</f>
        <v>6.9427595487009626</v>
      </c>
      <c r="Q36" s="38"/>
      <c r="R36" s="267"/>
    </row>
    <row r="37" spans="2:18" x14ac:dyDescent="0.3">
      <c r="B37" s="266"/>
      <c r="C37" s="38"/>
      <c r="D37" s="38"/>
      <c r="E37" s="38"/>
      <c r="F37" s="38"/>
      <c r="G37" s="38"/>
      <c r="H37" s="38"/>
      <c r="I37" s="38"/>
      <c r="J37" s="38"/>
      <c r="K37" s="38"/>
      <c r="L37" s="38"/>
      <c r="M37" s="38"/>
      <c r="N37" s="38"/>
      <c r="O37" s="38"/>
      <c r="P37" s="38"/>
      <c r="Q37" s="38"/>
      <c r="R37" s="267"/>
    </row>
    <row r="38" spans="2:18" x14ac:dyDescent="0.3">
      <c r="B38" s="484" t="s">
        <v>131</v>
      </c>
      <c r="C38" s="485"/>
      <c r="D38" s="485"/>
      <c r="E38" s="485"/>
      <c r="F38" s="485"/>
      <c r="G38" s="485"/>
      <c r="H38" s="485"/>
      <c r="I38" s="485"/>
      <c r="J38" s="485"/>
      <c r="K38" s="485"/>
      <c r="L38" s="485"/>
      <c r="M38" s="485"/>
      <c r="N38" s="485"/>
      <c r="O38" s="485"/>
      <c r="P38" s="485"/>
      <c r="Q38" s="485"/>
      <c r="R38" s="486"/>
    </row>
    <row r="39" spans="2:18" x14ac:dyDescent="0.3">
      <c r="B39" s="266"/>
      <c r="C39" s="38"/>
      <c r="D39" s="38"/>
      <c r="E39" s="38"/>
      <c r="F39" s="38"/>
      <c r="G39" s="38"/>
      <c r="H39" s="38"/>
      <c r="I39" s="38"/>
      <c r="J39" s="38"/>
      <c r="K39" s="38"/>
      <c r="L39" s="38"/>
      <c r="M39" s="49">
        <f>M32</f>
        <v>43800</v>
      </c>
      <c r="N39" s="49">
        <f t="shared" ref="N39:P39" si="4">N32</f>
        <v>44166</v>
      </c>
      <c r="O39" s="49">
        <f t="shared" si="4"/>
        <v>44532</v>
      </c>
      <c r="P39" s="49">
        <f t="shared" si="4"/>
        <v>44898</v>
      </c>
      <c r="Q39" s="38"/>
      <c r="R39" s="267"/>
    </row>
    <row r="40" spans="2:18" x14ac:dyDescent="0.3">
      <c r="B40" s="266" t="s">
        <v>132</v>
      </c>
      <c r="C40" s="38"/>
      <c r="D40" s="38"/>
      <c r="E40" s="38"/>
      <c r="F40" s="38"/>
      <c r="G40" s="38"/>
      <c r="H40" s="38"/>
      <c r="I40" s="38"/>
      <c r="J40" s="38"/>
      <c r="K40" s="38"/>
      <c r="L40" s="38"/>
      <c r="M40" s="67">
        <f>'Raytheon Tech''s - Financials'!D22/'Raytheon Tech''s - Financials'!D58</f>
        <v>0.13254656006128213</v>
      </c>
      <c r="N40" s="67">
        <f>'Raytheon Tech''s - Financials'!E22/'Raytheon Tech''s - Financials'!E58</f>
        <v>-4.8764602358549396E-2</v>
      </c>
      <c r="O40" s="67">
        <f>'Raytheon Tech''s - Financials'!F22/'Raytheon Tech''s - Financials'!F58</f>
        <v>5.319969159599075E-2</v>
      </c>
      <c r="P40" s="67">
        <f>'Raytheon Tech''s - Financials'!G22/'Raytheon Tech''s - Financials'!G58</f>
        <v>7.1125526906443318E-2</v>
      </c>
      <c r="Q40" s="38"/>
      <c r="R40" s="267"/>
    </row>
    <row r="41" spans="2:18" x14ac:dyDescent="0.3">
      <c r="B41" s="266" t="s">
        <v>133</v>
      </c>
      <c r="C41" s="38"/>
      <c r="D41" s="38"/>
      <c r="E41" s="38"/>
      <c r="F41" s="38"/>
      <c r="G41" s="38"/>
      <c r="H41" s="38"/>
      <c r="I41" s="38"/>
      <c r="J41" s="38"/>
      <c r="K41" s="38"/>
      <c r="L41" s="38"/>
      <c r="M41" s="67">
        <f>'Raytheon Tech''s - Financials'!D22/'Raytheon Tech''s - Financials'!D40</f>
        <v>3.9659062421659563E-2</v>
      </c>
      <c r="N41" s="67">
        <f>'Raytheon Tech''s - Financials'!E22/'Raytheon Tech''s - Financials'!E40</f>
        <v>-2.1701726147527335E-2</v>
      </c>
      <c r="O41" s="67">
        <f>'Raytheon Tech''s - Financials'!F22/'Raytheon Tech''s - Financials'!F40</f>
        <v>2.4322691106858696E-2</v>
      </c>
      <c r="P41" s="67">
        <f>'Raytheon Tech''s - Financials'!G22/'Raytheon Tech''s - Financials'!G40</f>
        <v>3.2198706351763279E-2</v>
      </c>
      <c r="Q41" s="38"/>
      <c r="R41" s="267"/>
    </row>
    <row r="42" spans="2:18" x14ac:dyDescent="0.3">
      <c r="B42" s="266" t="s">
        <v>134</v>
      </c>
      <c r="C42" s="38"/>
      <c r="D42" s="38"/>
      <c r="E42" s="38"/>
      <c r="F42" s="38"/>
      <c r="G42" s="38"/>
      <c r="H42" s="38"/>
      <c r="I42" s="38"/>
      <c r="J42" s="38"/>
      <c r="K42" s="38"/>
      <c r="L42" s="38"/>
      <c r="M42" s="67">
        <f>'Raytheon Tech''s - Financials'!D22/('Raytheon Tech''s - Financials'!D46+'Raytheon Tech''s - Financials'!D43+'Raytheon Tech''s - Financials'!D58)</f>
        <v>6.512125702726225E-2</v>
      </c>
      <c r="N42" s="67">
        <f>'Raytheon Tech''s - Financials'!E22/('Raytheon Tech''s - Financials'!E46+'Raytheon Tech''s - Financials'!E43+'Raytheon Tech''s - Financials'!E58)</f>
        <v>-3.3841093993422194E-2</v>
      </c>
      <c r="O42" s="67">
        <f>'Raytheon Tech''s - Financials'!F22/('Raytheon Tech''s - Financials'!F46+'Raytheon Tech''s - Financials'!F43+'Raytheon Tech''s - Financials'!F58)</f>
        <v>3.6959807166223484E-2</v>
      </c>
      <c r="P42" s="67">
        <f>'Raytheon Tech''s - Financials'!G22/('Raytheon Tech''s - Financials'!G46+'Raytheon Tech''s - Financials'!G43+'Raytheon Tech''s - Financials'!G58)</f>
        <v>4.9706847244937971E-2</v>
      </c>
      <c r="Q42" s="38"/>
      <c r="R42" s="267"/>
    </row>
    <row r="43" spans="2:18" x14ac:dyDescent="0.3">
      <c r="B43" s="266" t="s">
        <v>135</v>
      </c>
      <c r="C43" s="38"/>
      <c r="D43" s="38"/>
      <c r="E43" s="38"/>
      <c r="F43" s="38"/>
      <c r="G43" s="38"/>
      <c r="H43" s="38"/>
      <c r="I43" s="38"/>
      <c r="J43" s="38"/>
      <c r="K43" s="38"/>
      <c r="L43" s="38"/>
      <c r="M43" s="67">
        <f>'Raytheon Tech''s - Financials'!D22/('Raytheon Tech''s - Financials'!D35+'Analysis- Raytheon'!M84)</f>
        <v>0.20849493542192266</v>
      </c>
      <c r="N43" s="67">
        <f>'Raytheon Tech''s - Financials'!E22/('Raytheon Tech''s - Financials'!E35+'Analysis- Raytheon'!N84)</f>
        <v>-0.14439885104636849</v>
      </c>
      <c r="O43" s="67">
        <f>'Raytheon Tech''s - Financials'!F22/('Raytheon Tech''s - Financials'!F35+'Analysis- Raytheon'!O84)</f>
        <v>0.19008264462809918</v>
      </c>
      <c r="P43" s="67">
        <f>'Raytheon Tech''s - Financials'!G22/('Raytheon Tech''s - Financials'!G35+'Analysis- Raytheon'!P84)</f>
        <v>0.22085759211253239</v>
      </c>
      <c r="Q43" s="38"/>
      <c r="R43" s="267"/>
    </row>
    <row r="44" spans="2:18" x14ac:dyDescent="0.3">
      <c r="B44" s="266" t="s">
        <v>136</v>
      </c>
      <c r="C44" s="38"/>
      <c r="D44" s="38"/>
      <c r="E44" s="38"/>
      <c r="F44" s="38"/>
      <c r="G44" s="38"/>
      <c r="H44" s="38"/>
      <c r="I44" s="38"/>
      <c r="J44" s="38"/>
      <c r="K44" s="38"/>
      <c r="L44" s="38"/>
      <c r="M44" s="67">
        <f>('Raytheon Tech''s - Financials'!D14+'Raytheon Tech''s - Financials'!D65)/'Raytheon Tech''s - Financials'!D4</f>
        <v>0.18635471564973868</v>
      </c>
      <c r="N44" s="67">
        <f>('Raytheon Tech''s - Financials'!E14+'Raytheon Tech''s - Financials'!E65)/'Raytheon Tech''s - Financials'!E4</f>
        <v>5.6002262003640411E-2</v>
      </c>
      <c r="O44" s="67">
        <f>('Raytheon Tech''s - Financials'!F14+'Raytheon Tech''s - Financials'!F65)/'Raytheon Tech''s - Financials'!F4</f>
        <v>0.1678884264148599</v>
      </c>
      <c r="P44" s="67">
        <f>('Raytheon Tech''s - Financials'!G14+'Raytheon Tech''s - Financials'!G65)/'Raytheon Tech''s - Financials'!G4</f>
        <v>0.17012553299341027</v>
      </c>
      <c r="Q44" s="38"/>
      <c r="R44" s="267"/>
    </row>
    <row r="45" spans="2:18" x14ac:dyDescent="0.3">
      <c r="B45" s="266" t="s">
        <v>137</v>
      </c>
      <c r="C45" s="38"/>
      <c r="D45" s="38"/>
      <c r="E45" s="38"/>
      <c r="F45" s="38"/>
      <c r="G45" s="38"/>
      <c r="H45" s="38"/>
      <c r="I45" s="38"/>
      <c r="J45" s="38"/>
      <c r="K45" s="38"/>
      <c r="L45" s="38"/>
      <c r="M45" s="67">
        <f>'Raytheon Tech''s - Financials'!D22/'Raytheon Tech''s - Financials'!D4</f>
        <v>0.12209751041919337</v>
      </c>
      <c r="N45" s="67">
        <f>'Raytheon Tech''s - Financials'!E22/'Raytheon Tech''s - Financials'!E4</f>
        <v>-6.2187428207892269E-2</v>
      </c>
      <c r="O45" s="67">
        <f>'Raytheon Tech''s - Financials'!F22/'Raytheon Tech''s - Financials'!F4</f>
        <v>6.0011182207864819E-2</v>
      </c>
      <c r="P45" s="67">
        <f>'Raytheon Tech''s - Financials'!G22/'Raytheon Tech''s - Financials'!G4</f>
        <v>7.748158750037272E-2</v>
      </c>
      <c r="Q45" s="38"/>
      <c r="R45" s="267"/>
    </row>
    <row r="46" spans="2:18" x14ac:dyDescent="0.3">
      <c r="B46" s="266"/>
      <c r="C46" s="38"/>
      <c r="D46" s="38"/>
      <c r="E46" s="38"/>
      <c r="F46" s="38"/>
      <c r="G46" s="38"/>
      <c r="H46" s="38"/>
      <c r="I46" s="38"/>
      <c r="J46" s="38"/>
      <c r="K46" s="38"/>
      <c r="L46" s="38"/>
      <c r="M46" s="38"/>
      <c r="N46" s="38"/>
      <c r="O46" s="38"/>
      <c r="P46" s="38"/>
      <c r="Q46" s="38"/>
      <c r="R46" s="267"/>
    </row>
    <row r="47" spans="2:18" x14ac:dyDescent="0.3">
      <c r="B47" s="484" t="s">
        <v>127</v>
      </c>
      <c r="C47" s="485"/>
      <c r="D47" s="485"/>
      <c r="E47" s="485"/>
      <c r="F47" s="485"/>
      <c r="G47" s="485"/>
      <c r="H47" s="485"/>
      <c r="I47" s="485"/>
      <c r="J47" s="485"/>
      <c r="K47" s="485"/>
      <c r="L47" s="485"/>
      <c r="M47" s="485"/>
      <c r="N47" s="485"/>
      <c r="O47" s="485"/>
      <c r="P47" s="485"/>
      <c r="Q47" s="485"/>
      <c r="R47" s="486"/>
    </row>
    <row r="48" spans="2:18" x14ac:dyDescent="0.3">
      <c r="B48" s="266"/>
      <c r="C48" s="38"/>
      <c r="D48" s="38"/>
      <c r="E48" s="38"/>
      <c r="F48" s="38"/>
      <c r="G48" s="38"/>
      <c r="H48" s="38"/>
      <c r="I48" s="38"/>
      <c r="J48" s="38"/>
      <c r="K48" s="38"/>
      <c r="L48" s="38"/>
      <c r="M48" s="49">
        <f>M39</f>
        <v>43800</v>
      </c>
      <c r="N48" s="49">
        <f t="shared" ref="N48:P48" si="5">N39</f>
        <v>44166</v>
      </c>
      <c r="O48" s="49">
        <f t="shared" si="5"/>
        <v>44532</v>
      </c>
      <c r="P48" s="49">
        <f t="shared" si="5"/>
        <v>44898</v>
      </c>
      <c r="Q48" s="38"/>
      <c r="R48" s="267"/>
    </row>
    <row r="49" spans="2:18" x14ac:dyDescent="0.3">
      <c r="B49" s="266" t="s">
        <v>128</v>
      </c>
      <c r="C49" s="38"/>
      <c r="D49" s="38"/>
      <c r="E49" s="38"/>
      <c r="F49" s="38"/>
      <c r="G49" s="38"/>
      <c r="H49" s="38"/>
      <c r="I49" s="38"/>
      <c r="J49" s="38"/>
      <c r="K49" s="38"/>
      <c r="L49" s="38"/>
      <c r="M49" s="39">
        <f>'Raytheon Tech''s - Financials'!D23/'Raytheon Tech''s - Financials'!D4</f>
        <v>2.8543077024851704</v>
      </c>
      <c r="N49" s="39">
        <f>'Raytheon Tech''s - Financials'!E23/'Raytheon Tech''s - Financials'!E4</f>
        <v>1.9191687136621485</v>
      </c>
      <c r="O49" s="39">
        <f>'Raytheon Tech''s - Financials'!F23/'Raytheon Tech''s - Financials'!F4</f>
        <v>2.0005280487047274</v>
      </c>
      <c r="P49" s="39">
        <f>'Raytheon Tech''s - Financials'!G23/'Raytheon Tech''s - Financials'!G4</f>
        <v>2.2117362912603991</v>
      </c>
      <c r="Q49" s="38"/>
      <c r="R49" s="267"/>
    </row>
    <row r="50" spans="2:18" x14ac:dyDescent="0.3">
      <c r="B50" s="266" t="s">
        <v>129</v>
      </c>
      <c r="C50" s="38"/>
      <c r="D50" s="38"/>
      <c r="E50" s="38"/>
      <c r="F50" s="38"/>
      <c r="G50" s="38"/>
      <c r="H50" s="38"/>
      <c r="I50" s="38"/>
      <c r="J50" s="38"/>
      <c r="K50" s="38"/>
      <c r="L50" s="38"/>
      <c r="M50" s="39">
        <f>'Raytheon Tech''s - Financials'!D23/'Raytheon Tech''s - Financials'!D22</f>
        <v>23.377280115586057</v>
      </c>
      <c r="N50" s="39">
        <f>'Raytheon Tech''s - Financials'!E23/'Raytheon Tech''s - Financials'!E22</f>
        <v>-30.861040068201195</v>
      </c>
      <c r="O50" s="39">
        <f>'Raytheon Tech''s - Financials'!F23/'Raytheon Tech''s - Financials'!F22</f>
        <v>33.335921325051757</v>
      </c>
      <c r="P50" s="39">
        <f>'Raytheon Tech''s - Financials'!G23/'Raytheon Tech''s - Financials'!G22</f>
        <v>28.545314604579566</v>
      </c>
      <c r="Q50" s="38"/>
      <c r="R50" s="267"/>
    </row>
    <row r="51" spans="2:18" x14ac:dyDescent="0.3">
      <c r="B51" s="266" t="s">
        <v>140</v>
      </c>
      <c r="C51" s="38"/>
      <c r="D51" s="38"/>
      <c r="E51" s="38"/>
      <c r="F51" s="38"/>
      <c r="G51" s="38"/>
      <c r="H51" s="38"/>
      <c r="I51" s="38"/>
      <c r="J51" s="38"/>
      <c r="K51" s="38"/>
      <c r="L51" s="38"/>
      <c r="M51" s="39">
        <f>'Raytheon Tech''s - Financials'!D23/'Raytheon Tech''s - Financials'!D72</f>
        <v>22.236729084349768</v>
      </c>
      <c r="N51" s="39">
        <f>'Raytheon Tech''s - Financials'!E23/'Raytheon Tech''s - Financials'!E72</f>
        <v>25.057683433317951</v>
      </c>
      <c r="O51" s="39">
        <f>'Raytheon Tech''s - Financials'!F23/'Raytheon Tech''s - Financials'!F72</f>
        <v>18.035564267712125</v>
      </c>
      <c r="P51" s="39">
        <f>'Raytheon Tech''s - Financials'!G23/'Raytheon Tech''s - Financials'!G72</f>
        <v>20.696149553571427</v>
      </c>
      <c r="Q51" s="38"/>
      <c r="R51" s="267"/>
    </row>
    <row r="52" spans="2:18" x14ac:dyDescent="0.3">
      <c r="B52" s="266" t="s">
        <v>130</v>
      </c>
      <c r="C52" s="38"/>
      <c r="D52" s="38"/>
      <c r="E52" s="38"/>
      <c r="F52" s="38"/>
      <c r="G52" s="38"/>
      <c r="H52" s="38"/>
      <c r="I52" s="38"/>
      <c r="J52" s="38"/>
      <c r="K52" s="38"/>
      <c r="L52" s="38"/>
      <c r="M52" s="39">
        <f>'Raytheon Tech''s - Financials'!D23/'Raytheon Tech''s - Financials'!D58</f>
        <v>3.0985780629099442</v>
      </c>
      <c r="N52" s="39">
        <f>'Raytheon Tech''s - Financials'!E23/'Raytheon Tech''s - Financials'!E58</f>
        <v>1.5049263472970913</v>
      </c>
      <c r="O52" s="39">
        <f>'Raytheon Tech''s - Financials'!F23/'Raytheon Tech''s - Financials'!F58</f>
        <v>1.7734607335609649</v>
      </c>
      <c r="P52" s="39">
        <f>'Raytheon Tech''s - Financials'!G23/'Raytheon Tech''s - Financials'!G58</f>
        <v>2.030300541960913</v>
      </c>
      <c r="Q52" s="38"/>
      <c r="R52" s="267"/>
    </row>
    <row r="53" spans="2:18" x14ac:dyDescent="0.3">
      <c r="B53" s="266"/>
      <c r="C53" s="38"/>
      <c r="D53" s="38"/>
      <c r="E53" s="38"/>
      <c r="F53" s="38"/>
      <c r="G53" s="38"/>
      <c r="H53" s="38"/>
      <c r="I53" s="38"/>
      <c r="J53" s="38"/>
      <c r="K53" s="38"/>
      <c r="L53" s="38"/>
      <c r="M53" s="38"/>
      <c r="N53" s="38"/>
      <c r="O53" s="38"/>
      <c r="P53" s="38"/>
      <c r="Q53" s="38"/>
      <c r="R53" s="267"/>
    </row>
    <row r="54" spans="2:18" x14ac:dyDescent="0.3">
      <c r="B54" s="484" t="s">
        <v>264</v>
      </c>
      <c r="C54" s="485"/>
      <c r="D54" s="485"/>
      <c r="E54" s="485"/>
      <c r="F54" s="485"/>
      <c r="G54" s="485"/>
      <c r="H54" s="485"/>
      <c r="I54" s="485"/>
      <c r="J54" s="485"/>
      <c r="K54" s="485"/>
      <c r="L54" s="485"/>
      <c r="M54" s="485"/>
      <c r="N54" s="485"/>
      <c r="O54" s="485"/>
      <c r="P54" s="485"/>
      <c r="Q54" s="485"/>
      <c r="R54" s="486"/>
    </row>
    <row r="55" spans="2:18" x14ac:dyDescent="0.3">
      <c r="B55" s="266"/>
      <c r="C55" s="38"/>
      <c r="D55" s="38"/>
      <c r="E55" s="38"/>
      <c r="F55" s="38"/>
      <c r="G55" s="38"/>
      <c r="H55" s="38"/>
      <c r="I55" s="38"/>
      <c r="J55" s="38"/>
      <c r="K55" s="38"/>
      <c r="L55" s="38"/>
      <c r="M55" s="49">
        <f>M48</f>
        <v>43800</v>
      </c>
      <c r="N55" s="49">
        <f t="shared" ref="N55:P55" si="6">N48</f>
        <v>44166</v>
      </c>
      <c r="O55" s="49">
        <f t="shared" si="6"/>
        <v>44532</v>
      </c>
      <c r="P55" s="49">
        <f t="shared" si="6"/>
        <v>44898</v>
      </c>
      <c r="Q55" s="38"/>
      <c r="R55" s="267"/>
    </row>
    <row r="56" spans="2:18" x14ac:dyDescent="0.3">
      <c r="B56" s="266" t="s">
        <v>23</v>
      </c>
      <c r="C56" s="38"/>
      <c r="D56" s="38"/>
      <c r="E56" s="38"/>
      <c r="F56" s="38"/>
      <c r="G56" s="38"/>
      <c r="H56" s="38"/>
      <c r="I56" s="38"/>
      <c r="J56" s="38"/>
      <c r="K56" s="38"/>
      <c r="L56" s="38"/>
      <c r="M56" s="51">
        <f>'Raytheon Tech''s - Financials'!D22</f>
        <v>5537000</v>
      </c>
      <c r="N56" s="51">
        <f>'Raytheon Tech''s - Financials'!E22</f>
        <v>-3519000</v>
      </c>
      <c r="O56" s="51">
        <f>'Raytheon Tech''s - Financials'!F22</f>
        <v>3864000</v>
      </c>
      <c r="P56" s="51">
        <f>'Raytheon Tech''s - Financials'!G22</f>
        <v>5197000</v>
      </c>
      <c r="Q56" s="38"/>
      <c r="R56" s="267"/>
    </row>
    <row r="57" spans="2:18" x14ac:dyDescent="0.3">
      <c r="B57" s="266" t="s">
        <v>139</v>
      </c>
      <c r="C57" s="38"/>
      <c r="D57" s="38"/>
      <c r="E57" s="38"/>
      <c r="F57" s="38"/>
      <c r="G57" s="38"/>
      <c r="H57" s="38"/>
      <c r="I57" s="38"/>
      <c r="J57" s="38"/>
      <c r="K57" s="38"/>
      <c r="L57" s="38"/>
      <c r="M57" s="51">
        <f>'Raytheon Tech''s - Financials'!D4</f>
        <v>45349000</v>
      </c>
      <c r="N57" s="51">
        <f>'Raytheon Tech''s - Financials'!E4</f>
        <v>56587000</v>
      </c>
      <c r="O57" s="51">
        <f>'Raytheon Tech''s - Financials'!F4</f>
        <v>64388000</v>
      </c>
      <c r="P57" s="51">
        <f>'Raytheon Tech''s - Financials'!G4</f>
        <v>67074000</v>
      </c>
      <c r="Q57" s="38"/>
      <c r="R57" s="267"/>
    </row>
    <row r="58" spans="2:18" x14ac:dyDescent="0.3">
      <c r="B58" s="266" t="s">
        <v>39</v>
      </c>
      <c r="C58" s="38"/>
      <c r="D58" s="38"/>
      <c r="E58" s="38"/>
      <c r="F58" s="38"/>
      <c r="G58" s="38"/>
      <c r="H58" s="38"/>
      <c r="I58" s="38"/>
      <c r="J58" s="38"/>
      <c r="K58" s="38"/>
      <c r="L58" s="38"/>
      <c r="M58" s="51">
        <f>'Raytheon Tech''s - Financials'!D40</f>
        <v>139615000</v>
      </c>
      <c r="N58" s="51">
        <f>'Raytheon Tech''s - Financials'!E40</f>
        <v>162153000</v>
      </c>
      <c r="O58" s="51">
        <f>'Raytheon Tech''s - Financials'!F40</f>
        <v>158864000</v>
      </c>
      <c r="P58" s="51">
        <f>'Raytheon Tech''s - Financials'!G40</f>
        <v>161404000</v>
      </c>
      <c r="Q58" s="38"/>
      <c r="R58" s="267"/>
    </row>
    <row r="59" spans="2:18" x14ac:dyDescent="0.3">
      <c r="B59" s="266" t="s">
        <v>141</v>
      </c>
      <c r="C59" s="38"/>
      <c r="D59" s="38"/>
      <c r="E59" s="38"/>
      <c r="F59" s="38"/>
      <c r="G59" s="38"/>
      <c r="H59" s="38"/>
      <c r="I59" s="38"/>
      <c r="J59" s="38"/>
      <c r="K59" s="38"/>
      <c r="L59" s="38"/>
      <c r="M59" s="51">
        <f>'Raytheon Tech''s - Financials'!D58</f>
        <v>41774000</v>
      </c>
      <c r="N59" s="51">
        <f>'Raytheon Tech''s - Financials'!E58</f>
        <v>72163000</v>
      </c>
      <c r="O59" s="51">
        <f>'Raytheon Tech''s - Financials'!F58</f>
        <v>72632000</v>
      </c>
      <c r="P59" s="51">
        <f>'Raytheon Tech''s - Financials'!G58</f>
        <v>73068000</v>
      </c>
      <c r="Q59" s="38"/>
      <c r="R59" s="267"/>
    </row>
    <row r="60" spans="2:18" x14ac:dyDescent="0.3">
      <c r="B60" s="266" t="s">
        <v>142</v>
      </c>
      <c r="C60" s="38"/>
      <c r="D60" s="38"/>
      <c r="E60" s="38"/>
      <c r="F60" s="38"/>
      <c r="G60" s="38"/>
      <c r="H60" s="38"/>
      <c r="I60" s="38"/>
      <c r="J60" s="38"/>
      <c r="K60" s="38"/>
      <c r="L60" s="38"/>
      <c r="M60" s="67">
        <f>M56/M57</f>
        <v>0.12209751041919337</v>
      </c>
      <c r="N60" s="67">
        <f t="shared" ref="N60:P60" si="7">N56/N57</f>
        <v>-6.2187428207892269E-2</v>
      </c>
      <c r="O60" s="67">
        <f t="shared" si="7"/>
        <v>6.0011182207864819E-2</v>
      </c>
      <c r="P60" s="67">
        <f t="shared" si="7"/>
        <v>7.748158750037272E-2</v>
      </c>
      <c r="Q60" s="38"/>
      <c r="R60" s="267"/>
    </row>
    <row r="61" spans="2:18" x14ac:dyDescent="0.3">
      <c r="B61" s="266" t="s">
        <v>143</v>
      </c>
      <c r="C61" s="38"/>
      <c r="D61" s="38"/>
      <c r="E61" s="38"/>
      <c r="F61" s="38"/>
      <c r="G61" s="38"/>
      <c r="H61" s="38"/>
      <c r="I61" s="38"/>
      <c r="J61" s="38"/>
      <c r="K61" s="38"/>
      <c r="L61" s="38"/>
      <c r="M61" s="39">
        <f>M57/M58</f>
        <v>0.32481466891093363</v>
      </c>
      <c r="N61" s="39">
        <f t="shared" ref="N61:P61" si="8">N57/N58</f>
        <v>0.348972883634592</v>
      </c>
      <c r="O61" s="39">
        <f t="shared" si="8"/>
        <v>0.40530264880652633</v>
      </c>
      <c r="P61" s="39">
        <f t="shared" si="8"/>
        <v>0.41556590914723301</v>
      </c>
      <c r="Q61" s="38"/>
      <c r="R61" s="267"/>
    </row>
    <row r="62" spans="2:18" x14ac:dyDescent="0.3">
      <c r="B62" s="266" t="s">
        <v>144</v>
      </c>
      <c r="C62" s="38"/>
      <c r="D62" s="38"/>
      <c r="E62" s="38"/>
      <c r="F62" s="38"/>
      <c r="G62" s="38"/>
      <c r="H62" s="38"/>
      <c r="I62" s="38"/>
      <c r="J62" s="38"/>
      <c r="K62" s="38"/>
      <c r="L62" s="38"/>
      <c r="M62" s="39">
        <f>M58/M59</f>
        <v>3.3421506200028728</v>
      </c>
      <c r="N62" s="39">
        <f t="shared" ref="N62:P62" si="9">N58/N59</f>
        <v>2.2470379557390907</v>
      </c>
      <c r="O62" s="39">
        <f t="shared" si="9"/>
        <v>2.1872452913316445</v>
      </c>
      <c r="P62" s="39">
        <f t="shared" si="9"/>
        <v>2.2089560409481579</v>
      </c>
      <c r="Q62" s="38"/>
      <c r="R62" s="267"/>
    </row>
    <row r="63" spans="2:18" x14ac:dyDescent="0.3">
      <c r="B63" s="275" t="s">
        <v>145</v>
      </c>
      <c r="C63" s="276"/>
      <c r="D63" s="276"/>
      <c r="E63" s="276"/>
      <c r="F63" s="276"/>
      <c r="G63" s="276"/>
      <c r="H63" s="276"/>
      <c r="I63" s="276"/>
      <c r="J63" s="276"/>
      <c r="K63" s="276"/>
      <c r="L63" s="276"/>
      <c r="M63" s="277">
        <f>M60*M61*M62</f>
        <v>0.13254656006128215</v>
      </c>
      <c r="N63" s="277">
        <f t="shared" ref="N63:P63" si="10">N60*N61*N62</f>
        <v>-4.8764602358549389E-2</v>
      </c>
      <c r="O63" s="277">
        <f t="shared" si="10"/>
        <v>5.3199691595990743E-2</v>
      </c>
      <c r="P63" s="277">
        <f t="shared" si="10"/>
        <v>7.1125526906443304E-2</v>
      </c>
      <c r="Q63" s="276"/>
      <c r="R63" s="278"/>
    </row>
    <row r="64" spans="2:18" x14ac:dyDescent="0.3">
      <c r="B64" s="266"/>
      <c r="C64" s="38"/>
      <c r="D64" s="38"/>
      <c r="E64" s="38"/>
      <c r="F64" s="38"/>
      <c r="G64" s="38"/>
      <c r="H64" s="38"/>
      <c r="I64" s="38"/>
      <c r="J64" s="38"/>
      <c r="K64" s="38"/>
      <c r="L64" s="38"/>
      <c r="M64" s="38"/>
      <c r="N64" s="38"/>
      <c r="O64" s="38"/>
      <c r="P64" s="38"/>
      <c r="Q64" s="38"/>
      <c r="R64" s="267"/>
    </row>
    <row r="65" spans="2:18" x14ac:dyDescent="0.3">
      <c r="B65" s="484" t="s">
        <v>254</v>
      </c>
      <c r="C65" s="485"/>
      <c r="D65" s="485"/>
      <c r="E65" s="485"/>
      <c r="F65" s="485"/>
      <c r="G65" s="485"/>
      <c r="H65" s="485"/>
      <c r="I65" s="485"/>
      <c r="J65" s="485"/>
      <c r="K65" s="485"/>
      <c r="L65" s="485"/>
      <c r="M65" s="485"/>
      <c r="N65" s="485"/>
      <c r="O65" s="485"/>
      <c r="P65" s="485"/>
      <c r="Q65" s="485"/>
      <c r="R65" s="486"/>
    </row>
    <row r="66" spans="2:18" x14ac:dyDescent="0.3">
      <c r="B66" s="266"/>
      <c r="C66" s="38"/>
      <c r="D66" s="38"/>
      <c r="E66" s="38"/>
      <c r="F66" s="38"/>
      <c r="G66" s="38"/>
      <c r="H66" s="38"/>
      <c r="I66" s="38"/>
      <c r="J66" s="38"/>
      <c r="K66" s="38"/>
      <c r="L66" s="38"/>
      <c r="M66" s="49">
        <f>M55</f>
        <v>43800</v>
      </c>
      <c r="N66" s="49">
        <f t="shared" ref="N66:P66" si="11">N55</f>
        <v>44166</v>
      </c>
      <c r="O66" s="49">
        <f t="shared" si="11"/>
        <v>44532</v>
      </c>
      <c r="P66" s="49">
        <f t="shared" si="11"/>
        <v>44898</v>
      </c>
      <c r="Q66" s="38"/>
      <c r="R66" s="267"/>
    </row>
    <row r="67" spans="2:18" x14ac:dyDescent="0.3">
      <c r="B67" s="266" t="s">
        <v>23</v>
      </c>
      <c r="C67" s="38"/>
      <c r="D67" s="38"/>
      <c r="E67" s="38"/>
      <c r="F67" s="38"/>
      <c r="G67" s="38"/>
      <c r="H67" s="38"/>
      <c r="I67" s="38"/>
      <c r="J67" s="38"/>
      <c r="K67" s="38"/>
      <c r="L67" s="38"/>
      <c r="M67" s="51">
        <f>M56</f>
        <v>5537000</v>
      </c>
      <c r="N67" s="51">
        <f t="shared" ref="N67:P67" si="12">N56</f>
        <v>-3519000</v>
      </c>
      <c r="O67" s="51">
        <f t="shared" si="12"/>
        <v>3864000</v>
      </c>
      <c r="P67" s="51">
        <f t="shared" si="12"/>
        <v>5197000</v>
      </c>
      <c r="Q67" s="38"/>
      <c r="R67" s="267"/>
    </row>
    <row r="68" spans="2:18" x14ac:dyDescent="0.3">
      <c r="B68" s="266" t="s">
        <v>139</v>
      </c>
      <c r="C68" s="38"/>
      <c r="D68" s="38"/>
      <c r="E68" s="38"/>
      <c r="F68" s="38"/>
      <c r="G68" s="38"/>
      <c r="H68" s="38"/>
      <c r="I68" s="38"/>
      <c r="J68" s="38"/>
      <c r="K68" s="38"/>
      <c r="L68" s="38"/>
      <c r="M68" s="51">
        <f t="shared" ref="M68:P68" si="13">M57</f>
        <v>45349000</v>
      </c>
      <c r="N68" s="51">
        <f t="shared" si="13"/>
        <v>56587000</v>
      </c>
      <c r="O68" s="51">
        <f t="shared" si="13"/>
        <v>64388000</v>
      </c>
      <c r="P68" s="51">
        <f t="shared" si="13"/>
        <v>67074000</v>
      </c>
      <c r="Q68" s="38"/>
      <c r="R68" s="267"/>
    </row>
    <row r="69" spans="2:18" x14ac:dyDescent="0.3">
      <c r="B69" s="266" t="s">
        <v>39</v>
      </c>
      <c r="C69" s="38"/>
      <c r="D69" s="38"/>
      <c r="E69" s="38"/>
      <c r="F69" s="38"/>
      <c r="G69" s="38"/>
      <c r="H69" s="38"/>
      <c r="I69" s="38"/>
      <c r="J69" s="38"/>
      <c r="K69" s="38"/>
      <c r="L69" s="38"/>
      <c r="M69" s="51">
        <f t="shared" ref="M69:P69" si="14">M58</f>
        <v>139615000</v>
      </c>
      <c r="N69" s="51">
        <f t="shared" si="14"/>
        <v>162153000</v>
      </c>
      <c r="O69" s="51">
        <f t="shared" si="14"/>
        <v>158864000</v>
      </c>
      <c r="P69" s="51">
        <f t="shared" si="14"/>
        <v>161404000</v>
      </c>
      <c r="Q69" s="38"/>
      <c r="R69" s="267"/>
    </row>
    <row r="70" spans="2:18" x14ac:dyDescent="0.3">
      <c r="B70" s="266" t="s">
        <v>142</v>
      </c>
      <c r="C70" s="38"/>
      <c r="D70" s="38"/>
      <c r="E70" s="38"/>
      <c r="F70" s="38"/>
      <c r="G70" s="38"/>
      <c r="H70" s="38"/>
      <c r="I70" s="38"/>
      <c r="J70" s="38"/>
      <c r="K70" s="38"/>
      <c r="L70" s="38"/>
      <c r="M70" s="39">
        <f>M67/M68</f>
        <v>0.12209751041919337</v>
      </c>
      <c r="N70" s="39">
        <f t="shared" ref="N70:P70" si="15">N67/N68</f>
        <v>-6.2187428207892269E-2</v>
      </c>
      <c r="O70" s="39">
        <f t="shared" si="15"/>
        <v>6.0011182207864819E-2</v>
      </c>
      <c r="P70" s="39">
        <f t="shared" si="15"/>
        <v>7.748158750037272E-2</v>
      </c>
      <c r="Q70" s="38"/>
      <c r="R70" s="267"/>
    </row>
    <row r="71" spans="2:18" x14ac:dyDescent="0.3">
      <c r="B71" s="266" t="s">
        <v>143</v>
      </c>
      <c r="C71" s="38"/>
      <c r="D71" s="38"/>
      <c r="E71" s="38"/>
      <c r="F71" s="38"/>
      <c r="G71" s="38"/>
      <c r="H71" s="38"/>
      <c r="I71" s="38"/>
      <c r="J71" s="38"/>
      <c r="K71" s="38"/>
      <c r="L71" s="38"/>
      <c r="M71" s="39">
        <f>M68/M69</f>
        <v>0.32481466891093363</v>
      </c>
      <c r="N71" s="39">
        <f t="shared" ref="N71:P71" si="16">N68/N69</f>
        <v>0.348972883634592</v>
      </c>
      <c r="O71" s="39">
        <f t="shared" si="16"/>
        <v>0.40530264880652633</v>
      </c>
      <c r="P71" s="39">
        <f t="shared" si="16"/>
        <v>0.41556590914723301</v>
      </c>
      <c r="Q71" s="38"/>
      <c r="R71" s="267"/>
    </row>
    <row r="72" spans="2:18" x14ac:dyDescent="0.3">
      <c r="B72" s="275" t="s">
        <v>147</v>
      </c>
      <c r="C72" s="276"/>
      <c r="D72" s="276"/>
      <c r="E72" s="276"/>
      <c r="F72" s="276"/>
      <c r="G72" s="276"/>
      <c r="H72" s="276"/>
      <c r="I72" s="276"/>
      <c r="J72" s="276"/>
      <c r="K72" s="276"/>
      <c r="L72" s="276"/>
      <c r="M72" s="277">
        <f>M70*M71</f>
        <v>3.9659062421659563E-2</v>
      </c>
      <c r="N72" s="277">
        <f t="shared" ref="N72:P72" si="17">N70*N71</f>
        <v>-2.1701726147527332E-2</v>
      </c>
      <c r="O72" s="277">
        <f t="shared" si="17"/>
        <v>2.4322691106858696E-2</v>
      </c>
      <c r="P72" s="277">
        <f t="shared" si="17"/>
        <v>3.2198706351763272E-2</v>
      </c>
      <c r="Q72" s="276"/>
      <c r="R72" s="278"/>
    </row>
    <row r="73" spans="2:18" x14ac:dyDescent="0.3">
      <c r="B73" s="266"/>
      <c r="C73" s="38"/>
      <c r="D73" s="38"/>
      <c r="E73" s="38"/>
      <c r="F73" s="38"/>
      <c r="G73" s="38"/>
      <c r="H73" s="38"/>
      <c r="I73" s="38"/>
      <c r="J73" s="38"/>
      <c r="K73" s="38"/>
      <c r="L73" s="38"/>
      <c r="M73" s="38"/>
      <c r="N73" s="38"/>
      <c r="O73" s="38"/>
      <c r="P73" s="38"/>
      <c r="Q73" s="38"/>
      <c r="R73" s="267"/>
    </row>
    <row r="74" spans="2:18" x14ac:dyDescent="0.3">
      <c r="B74" s="286" t="s">
        <v>194</v>
      </c>
      <c r="C74" s="38"/>
      <c r="D74" s="38"/>
      <c r="E74" s="38"/>
      <c r="F74" s="38"/>
      <c r="G74" s="38"/>
      <c r="H74" s="38"/>
      <c r="I74" s="38"/>
      <c r="J74" s="38"/>
      <c r="K74" s="38"/>
      <c r="L74" s="38"/>
      <c r="M74" s="38"/>
      <c r="N74" s="38"/>
      <c r="O74" s="38"/>
      <c r="P74" s="38"/>
      <c r="Q74" s="38"/>
      <c r="R74" s="267"/>
    </row>
    <row r="75" spans="2:18" x14ac:dyDescent="0.3">
      <c r="B75" s="285" t="s">
        <v>279</v>
      </c>
      <c r="C75" s="38"/>
      <c r="D75" s="38"/>
      <c r="E75" s="38"/>
      <c r="F75" s="38"/>
      <c r="G75" s="38"/>
      <c r="H75" s="38"/>
      <c r="I75" s="38"/>
      <c r="J75" s="38"/>
      <c r="K75" s="38"/>
      <c r="L75" s="38"/>
      <c r="M75" s="38"/>
      <c r="N75" s="38"/>
      <c r="O75" s="38"/>
      <c r="P75" s="38"/>
      <c r="Q75" s="38"/>
      <c r="R75" s="267"/>
    </row>
    <row r="76" spans="2:18" x14ac:dyDescent="0.3">
      <c r="B76" s="285" t="s">
        <v>280</v>
      </c>
      <c r="C76" s="38"/>
      <c r="D76" s="38"/>
      <c r="E76" s="38"/>
      <c r="F76" s="38"/>
      <c r="G76" s="38"/>
      <c r="H76" s="38"/>
      <c r="I76" s="38"/>
      <c r="J76" s="38"/>
      <c r="K76" s="38"/>
      <c r="L76" s="38"/>
      <c r="M76" s="38"/>
      <c r="N76" s="38"/>
      <c r="O76" s="38"/>
      <c r="P76" s="38"/>
      <c r="Q76" s="38"/>
      <c r="R76" s="267"/>
    </row>
    <row r="77" spans="2:18" x14ac:dyDescent="0.3">
      <c r="B77" s="285" t="s">
        <v>281</v>
      </c>
      <c r="C77" s="38"/>
      <c r="D77" s="38"/>
      <c r="E77" s="38"/>
      <c r="F77" s="38"/>
      <c r="G77" s="38"/>
      <c r="H77" s="38"/>
      <c r="I77" s="38"/>
      <c r="J77" s="38"/>
      <c r="K77" s="38"/>
      <c r="L77" s="38"/>
      <c r="M77" s="38"/>
      <c r="N77" s="38"/>
      <c r="O77" s="38"/>
      <c r="P77" s="38"/>
      <c r="Q77" s="38"/>
      <c r="R77" s="267"/>
    </row>
    <row r="78" spans="2:18" ht="15" thickBot="1" x14ac:dyDescent="0.35">
      <c r="B78" s="279"/>
      <c r="C78" s="271"/>
      <c r="D78" s="271"/>
      <c r="E78" s="271"/>
      <c r="F78" s="271"/>
      <c r="G78" s="271"/>
      <c r="H78" s="271"/>
      <c r="I78" s="271"/>
      <c r="J78" s="271"/>
      <c r="K78" s="271"/>
      <c r="L78" s="271"/>
      <c r="M78" s="271"/>
      <c r="N78" s="271"/>
      <c r="O78" s="271"/>
      <c r="P78" s="271"/>
      <c r="Q78" s="271"/>
      <c r="R78" s="273"/>
    </row>
    <row r="80" spans="2:18" x14ac:dyDescent="0.3">
      <c r="B80" s="477" t="s">
        <v>209</v>
      </c>
      <c r="C80" s="478"/>
      <c r="D80" s="478"/>
      <c r="E80" s="478"/>
      <c r="F80" s="478"/>
      <c r="G80" s="478"/>
      <c r="H80" s="478"/>
      <c r="I80" s="478"/>
      <c r="J80" s="478"/>
      <c r="K80" s="478"/>
      <c r="L80" s="478"/>
      <c r="M80" s="478"/>
      <c r="N80" s="478"/>
      <c r="O80" s="478"/>
      <c r="P80" s="478"/>
      <c r="Q80" s="478"/>
      <c r="R80" s="479"/>
    </row>
    <row r="81" spans="2:18" x14ac:dyDescent="0.3">
      <c r="B81" s="266"/>
      <c r="C81" s="38"/>
      <c r="D81" s="38"/>
      <c r="E81" s="38"/>
      <c r="F81" s="38"/>
      <c r="G81" s="38"/>
      <c r="H81" s="38"/>
      <c r="I81" s="38"/>
      <c r="J81" s="38"/>
      <c r="K81" s="38"/>
      <c r="L81" s="38"/>
      <c r="M81" s="38"/>
      <c r="N81" s="38"/>
      <c r="O81" s="38"/>
      <c r="P81" s="38"/>
      <c r="Q81" s="38"/>
      <c r="R81" s="267"/>
    </row>
    <row r="82" spans="2:18" x14ac:dyDescent="0.3">
      <c r="B82" s="475" t="s">
        <v>151</v>
      </c>
      <c r="C82" s="451"/>
      <c r="D82" s="451"/>
      <c r="E82" s="451"/>
      <c r="F82" s="451"/>
      <c r="G82" s="451"/>
      <c r="H82" s="451"/>
      <c r="I82" s="451"/>
      <c r="J82" s="451"/>
      <c r="K82" s="451"/>
      <c r="L82" s="451"/>
      <c r="M82" s="451"/>
      <c r="N82" s="451"/>
      <c r="O82" s="451"/>
      <c r="P82" s="451"/>
      <c r="Q82" s="451"/>
      <c r="R82" s="476"/>
    </row>
    <row r="83" spans="2:18" x14ac:dyDescent="0.3">
      <c r="B83" s="266"/>
      <c r="C83" s="38"/>
      <c r="D83" s="38"/>
      <c r="E83" s="38"/>
      <c r="F83" s="38"/>
      <c r="G83" s="38"/>
      <c r="H83" s="38"/>
      <c r="I83" s="38"/>
      <c r="J83" s="38"/>
      <c r="K83" s="38"/>
      <c r="L83" s="38"/>
      <c r="M83" s="49">
        <f>M66</f>
        <v>43800</v>
      </c>
      <c r="N83" s="49">
        <f t="shared" ref="N83:P83" si="18">N66</f>
        <v>44166</v>
      </c>
      <c r="O83" s="49">
        <f t="shared" si="18"/>
        <v>44532</v>
      </c>
      <c r="P83" s="49">
        <f t="shared" si="18"/>
        <v>44898</v>
      </c>
      <c r="Q83" s="38"/>
      <c r="R83" s="267"/>
    </row>
    <row r="84" spans="2:18" x14ac:dyDescent="0.3">
      <c r="B84" s="266" t="s">
        <v>152</v>
      </c>
      <c r="C84" s="38"/>
      <c r="D84" s="38"/>
      <c r="E84" s="38"/>
      <c r="F84" s="38"/>
      <c r="G84" s="38"/>
      <c r="H84" s="38"/>
      <c r="I84" s="38"/>
      <c r="J84" s="38"/>
      <c r="K84" s="38"/>
      <c r="L84" s="38"/>
      <c r="M84" s="51">
        <f>'Raytheon Tech''s - Financials'!D32-'Raytheon Tech''s - Financials'!D45</f>
        <v>14983000</v>
      </c>
      <c r="N84" s="51">
        <f>'Raytheon Tech''s - Financials'!E32-'Raytheon Tech''s - Financials'!E45</f>
        <v>7528000</v>
      </c>
      <c r="O84" s="51">
        <f>'Raytheon Tech''s - Financials'!F32-'Raytheon Tech''s - Financials'!F45</f>
        <v>3329000</v>
      </c>
      <c r="P84" s="51">
        <f>'Raytheon Tech''s - Financials'!G32-'Raytheon Tech''s - Financials'!G45</f>
        <v>6601000</v>
      </c>
      <c r="Q84" s="38"/>
      <c r="R84" s="267"/>
    </row>
    <row r="85" spans="2:18" x14ac:dyDescent="0.3">
      <c r="B85" s="266" t="s">
        <v>39</v>
      </c>
      <c r="C85" s="38"/>
      <c r="D85" s="38"/>
      <c r="E85" s="38"/>
      <c r="F85" s="38"/>
      <c r="G85" s="38"/>
      <c r="H85" s="38"/>
      <c r="I85" s="38"/>
      <c r="J85" s="38"/>
      <c r="K85" s="38"/>
      <c r="L85" s="38"/>
      <c r="M85" s="51">
        <f>M69</f>
        <v>139615000</v>
      </c>
      <c r="N85" s="51">
        <f t="shared" ref="N85:P85" si="19">N69</f>
        <v>162153000</v>
      </c>
      <c r="O85" s="51">
        <f t="shared" si="19"/>
        <v>158864000</v>
      </c>
      <c r="P85" s="51">
        <f t="shared" si="19"/>
        <v>161404000</v>
      </c>
      <c r="Q85" s="38"/>
      <c r="R85" s="267"/>
    </row>
    <row r="86" spans="2:18" x14ac:dyDescent="0.3">
      <c r="B86" s="275" t="s">
        <v>161</v>
      </c>
      <c r="C86" s="276"/>
      <c r="D86" s="276"/>
      <c r="E86" s="276"/>
      <c r="F86" s="276"/>
      <c r="G86" s="276"/>
      <c r="H86" s="276"/>
      <c r="I86" s="276"/>
      <c r="J86" s="276"/>
      <c r="K86" s="276"/>
      <c r="L86" s="276"/>
      <c r="M86" s="280">
        <f>M84/M85</f>
        <v>0.10731654908140242</v>
      </c>
      <c r="N86" s="280">
        <f t="shared" ref="N86:P86" si="20">N84/N85</f>
        <v>4.6425289695534465E-2</v>
      </c>
      <c r="O86" s="280">
        <f t="shared" si="20"/>
        <v>2.09550307180985E-2</v>
      </c>
      <c r="P86" s="280">
        <f t="shared" si="20"/>
        <v>4.0897375529726651E-2</v>
      </c>
      <c r="Q86" s="276"/>
      <c r="R86" s="278"/>
    </row>
    <row r="87" spans="2:18" x14ac:dyDescent="0.3">
      <c r="B87" s="266"/>
      <c r="C87" s="38"/>
      <c r="D87" s="38"/>
      <c r="E87" s="38"/>
      <c r="F87" s="38"/>
      <c r="G87" s="38"/>
      <c r="H87" s="38"/>
      <c r="I87" s="38"/>
      <c r="J87" s="38"/>
      <c r="K87" s="38"/>
      <c r="L87" s="38"/>
      <c r="M87" s="38"/>
      <c r="N87" s="38"/>
      <c r="O87" s="38"/>
      <c r="P87" s="38"/>
      <c r="Q87" s="38"/>
      <c r="R87" s="267"/>
    </row>
    <row r="88" spans="2:18" x14ac:dyDescent="0.3">
      <c r="B88" s="475" t="s">
        <v>153</v>
      </c>
      <c r="C88" s="451"/>
      <c r="D88" s="451"/>
      <c r="E88" s="451"/>
      <c r="F88" s="451"/>
      <c r="G88" s="451"/>
      <c r="H88" s="451"/>
      <c r="I88" s="451"/>
      <c r="J88" s="451"/>
      <c r="K88" s="451"/>
      <c r="L88" s="451"/>
      <c r="M88" s="451"/>
      <c r="N88" s="451"/>
      <c r="O88" s="451"/>
      <c r="P88" s="451"/>
      <c r="Q88" s="451"/>
      <c r="R88" s="476"/>
    </row>
    <row r="89" spans="2:18" x14ac:dyDescent="0.3">
      <c r="B89" s="266"/>
      <c r="C89" s="38"/>
      <c r="D89" s="38"/>
      <c r="E89" s="38"/>
      <c r="F89" s="38"/>
      <c r="G89" s="38"/>
      <c r="H89" s="38"/>
      <c r="I89" s="38"/>
      <c r="J89" s="38"/>
      <c r="K89" s="38"/>
      <c r="L89" s="38"/>
      <c r="M89" s="49">
        <f>M83</f>
        <v>43800</v>
      </c>
      <c r="N89" s="49">
        <f t="shared" ref="N89:P89" si="21">N83</f>
        <v>44166</v>
      </c>
      <c r="O89" s="49">
        <f t="shared" si="21"/>
        <v>44532</v>
      </c>
      <c r="P89" s="49">
        <f t="shared" si="21"/>
        <v>44898</v>
      </c>
      <c r="Q89" s="38"/>
      <c r="R89" s="267"/>
    </row>
    <row r="90" spans="2:18" x14ac:dyDescent="0.3">
      <c r="B90" s="266" t="s">
        <v>186</v>
      </c>
      <c r="C90" s="38"/>
      <c r="D90" s="38"/>
      <c r="E90" s="38"/>
      <c r="F90" s="38"/>
      <c r="G90" s="38"/>
      <c r="H90" s="38"/>
      <c r="I90" s="38"/>
      <c r="J90" s="38"/>
      <c r="K90" s="38"/>
      <c r="L90" s="38"/>
      <c r="M90" s="51">
        <f>'Raytheon Tech''s - Financials'!D14</f>
        <v>5743000</v>
      </c>
      <c r="N90" s="51">
        <f>'Raytheon Tech''s - Financials'!E14</f>
        <v>-987000</v>
      </c>
      <c r="O90" s="51">
        <f>'Raytheon Tech''s - Financials'!F14</f>
        <v>6253000</v>
      </c>
      <c r="P90" s="51">
        <f>'Raytheon Tech''s - Financials'!G14</f>
        <v>7303000</v>
      </c>
      <c r="Q90" s="38"/>
      <c r="R90" s="267"/>
    </row>
    <row r="91" spans="2:18" x14ac:dyDescent="0.3">
      <c r="B91" s="266" t="s">
        <v>39</v>
      </c>
      <c r="C91" s="38"/>
      <c r="D91" s="38"/>
      <c r="E91" s="38"/>
      <c r="F91" s="38"/>
      <c r="G91" s="38"/>
      <c r="H91" s="38"/>
      <c r="I91" s="38"/>
      <c r="J91" s="38"/>
      <c r="K91" s="38"/>
      <c r="L91" s="38"/>
      <c r="M91" s="51">
        <f>M85</f>
        <v>139615000</v>
      </c>
      <c r="N91" s="51">
        <f t="shared" ref="N91:P91" si="22">N85</f>
        <v>162153000</v>
      </c>
      <c r="O91" s="51">
        <f t="shared" si="22"/>
        <v>158864000</v>
      </c>
      <c r="P91" s="51">
        <f t="shared" si="22"/>
        <v>161404000</v>
      </c>
      <c r="Q91" s="38"/>
      <c r="R91" s="267"/>
    </row>
    <row r="92" spans="2:18" x14ac:dyDescent="0.3">
      <c r="B92" s="275" t="s">
        <v>237</v>
      </c>
      <c r="C92" s="276"/>
      <c r="D92" s="276"/>
      <c r="E92" s="276"/>
      <c r="F92" s="276"/>
      <c r="G92" s="276"/>
      <c r="H92" s="276"/>
      <c r="I92" s="276"/>
      <c r="J92" s="276"/>
      <c r="K92" s="276"/>
      <c r="L92" s="276"/>
      <c r="M92" s="280">
        <f>M90/M91</f>
        <v>4.1134548580023633E-2</v>
      </c>
      <c r="N92" s="280">
        <f t="shared" ref="N92:P92" si="23">N90/N91</f>
        <v>-6.0868439066807277E-3</v>
      </c>
      <c r="O92" s="280">
        <f t="shared" si="23"/>
        <v>3.936071104844395E-2</v>
      </c>
      <c r="P92" s="280">
        <f t="shared" si="23"/>
        <v>4.5246710118708337E-2</v>
      </c>
      <c r="Q92" s="276"/>
      <c r="R92" s="278"/>
    </row>
    <row r="93" spans="2:18" x14ac:dyDescent="0.3">
      <c r="B93" s="266"/>
      <c r="C93" s="38"/>
      <c r="D93" s="38"/>
      <c r="E93" s="38"/>
      <c r="F93" s="38"/>
      <c r="G93" s="38"/>
      <c r="H93" s="38"/>
      <c r="I93" s="38"/>
      <c r="J93" s="38"/>
      <c r="K93" s="38"/>
      <c r="L93" s="38"/>
      <c r="M93" s="38"/>
      <c r="N93" s="38"/>
      <c r="O93" s="38"/>
      <c r="P93" s="38"/>
      <c r="Q93" s="38"/>
      <c r="R93" s="267"/>
    </row>
    <row r="94" spans="2:18" x14ac:dyDescent="0.3">
      <c r="B94" s="475" t="s">
        <v>154</v>
      </c>
      <c r="C94" s="451"/>
      <c r="D94" s="451"/>
      <c r="E94" s="451"/>
      <c r="F94" s="451"/>
      <c r="G94" s="451"/>
      <c r="H94" s="451"/>
      <c r="I94" s="451"/>
      <c r="J94" s="451"/>
      <c r="K94" s="451"/>
      <c r="L94" s="451"/>
      <c r="M94" s="451"/>
      <c r="N94" s="451"/>
      <c r="O94" s="451"/>
      <c r="P94" s="451"/>
      <c r="Q94" s="451"/>
      <c r="R94" s="476"/>
    </row>
    <row r="95" spans="2:18" x14ac:dyDescent="0.3">
      <c r="B95" s="266"/>
      <c r="C95" s="38"/>
      <c r="D95" s="38"/>
      <c r="E95" s="38"/>
      <c r="F95" s="38"/>
      <c r="G95" s="38"/>
      <c r="H95" s="38"/>
      <c r="I95" s="38"/>
      <c r="J95" s="38"/>
      <c r="K95" s="38"/>
      <c r="L95" s="38"/>
      <c r="M95" s="49">
        <f>M89</f>
        <v>43800</v>
      </c>
      <c r="N95" s="49">
        <f t="shared" ref="N95:P95" si="24">N89</f>
        <v>44166</v>
      </c>
      <c r="O95" s="49">
        <f t="shared" si="24"/>
        <v>44532</v>
      </c>
      <c r="P95" s="49">
        <f t="shared" si="24"/>
        <v>44898</v>
      </c>
      <c r="Q95" s="38"/>
      <c r="R95" s="267"/>
    </row>
    <row r="96" spans="2:18" x14ac:dyDescent="0.3">
      <c r="B96" s="266" t="s">
        <v>53</v>
      </c>
      <c r="C96" s="38"/>
      <c r="D96" s="38"/>
      <c r="E96" s="38"/>
      <c r="F96" s="38"/>
      <c r="G96" s="38"/>
      <c r="H96" s="38"/>
      <c r="I96" s="38"/>
      <c r="J96" s="38"/>
      <c r="K96" s="38"/>
      <c r="L96" s="38"/>
      <c r="M96" s="51">
        <f>'Raytheon Tech''s - Financials'!D55</f>
        <v>-32626000</v>
      </c>
      <c r="N96" s="51">
        <f>'Raytheon Tech''s - Financials'!E55</f>
        <v>-10407000</v>
      </c>
      <c r="O96" s="51">
        <f>'Raytheon Tech''s - Financials'!F55</f>
        <v>-15530000</v>
      </c>
      <c r="P96" s="51">
        <f>'Raytheon Tech''s - Financials'!G55</f>
        <v>-12727000</v>
      </c>
      <c r="Q96" s="38"/>
      <c r="R96" s="267"/>
    </row>
    <row r="97" spans="2:18" x14ac:dyDescent="0.3">
      <c r="B97" s="266" t="s">
        <v>39</v>
      </c>
      <c r="C97" s="38"/>
      <c r="D97" s="38"/>
      <c r="E97" s="38"/>
      <c r="F97" s="38"/>
      <c r="G97" s="38"/>
      <c r="H97" s="38"/>
      <c r="I97" s="38"/>
      <c r="J97" s="38"/>
      <c r="K97" s="38"/>
      <c r="L97" s="38"/>
      <c r="M97" s="51">
        <f>M91</f>
        <v>139615000</v>
      </c>
      <c r="N97" s="51">
        <f t="shared" ref="N97:P97" si="25">N91</f>
        <v>162153000</v>
      </c>
      <c r="O97" s="51">
        <f t="shared" si="25"/>
        <v>158864000</v>
      </c>
      <c r="P97" s="51">
        <f t="shared" si="25"/>
        <v>161404000</v>
      </c>
      <c r="Q97" s="38"/>
      <c r="R97" s="267"/>
    </row>
    <row r="98" spans="2:18" x14ac:dyDescent="0.3">
      <c r="B98" s="275" t="s">
        <v>238</v>
      </c>
      <c r="C98" s="276"/>
      <c r="D98" s="276"/>
      <c r="E98" s="276"/>
      <c r="F98" s="276"/>
      <c r="G98" s="276"/>
      <c r="H98" s="276"/>
      <c r="I98" s="276"/>
      <c r="J98" s="276"/>
      <c r="K98" s="276"/>
      <c r="L98" s="276"/>
      <c r="M98" s="280">
        <f>M96/M97</f>
        <v>-0.23368549224653512</v>
      </c>
      <c r="N98" s="280">
        <f t="shared" ref="N98:P98" si="26">N96/N97</f>
        <v>-6.418012617712901E-2</v>
      </c>
      <c r="O98" s="280">
        <f t="shared" si="26"/>
        <v>-9.7756571658777325E-2</v>
      </c>
      <c r="P98" s="280">
        <f t="shared" si="26"/>
        <v>-7.8851825233575382E-2</v>
      </c>
      <c r="Q98" s="276"/>
      <c r="R98" s="278"/>
    </row>
    <row r="99" spans="2:18" x14ac:dyDescent="0.3">
      <c r="B99" s="266"/>
      <c r="C99" s="38"/>
      <c r="D99" s="38"/>
      <c r="E99" s="38"/>
      <c r="F99" s="38"/>
      <c r="G99" s="38"/>
      <c r="H99" s="38"/>
      <c r="I99" s="38"/>
      <c r="J99" s="38"/>
      <c r="K99" s="38"/>
      <c r="L99" s="38"/>
      <c r="M99" s="38"/>
      <c r="N99" s="38"/>
      <c r="O99" s="38"/>
      <c r="P99" s="38"/>
      <c r="Q99" s="38"/>
      <c r="R99" s="267"/>
    </row>
    <row r="100" spans="2:18" x14ac:dyDescent="0.3">
      <c r="B100" s="475" t="s">
        <v>156</v>
      </c>
      <c r="C100" s="451"/>
      <c r="D100" s="451"/>
      <c r="E100" s="451"/>
      <c r="F100" s="451"/>
      <c r="G100" s="451"/>
      <c r="H100" s="451"/>
      <c r="I100" s="451"/>
      <c r="J100" s="451"/>
      <c r="K100" s="451"/>
      <c r="L100" s="451"/>
      <c r="M100" s="451"/>
      <c r="N100" s="451"/>
      <c r="O100" s="451"/>
      <c r="P100" s="451"/>
      <c r="Q100" s="451"/>
      <c r="R100" s="476"/>
    </row>
    <row r="101" spans="2:18" x14ac:dyDescent="0.3">
      <c r="B101" s="266"/>
      <c r="C101" s="38"/>
      <c r="D101" s="38"/>
      <c r="E101" s="38"/>
      <c r="F101" s="38"/>
      <c r="G101" s="38"/>
      <c r="H101" s="38"/>
      <c r="I101" s="38"/>
      <c r="J101" s="38"/>
      <c r="K101" s="38"/>
      <c r="L101" s="38"/>
      <c r="M101" s="49">
        <f>M95</f>
        <v>43800</v>
      </c>
      <c r="N101" s="49">
        <f t="shared" ref="N101:P101" si="27">N95</f>
        <v>44166</v>
      </c>
      <c r="O101" s="49">
        <f t="shared" si="27"/>
        <v>44532</v>
      </c>
      <c r="P101" s="49">
        <f t="shared" si="27"/>
        <v>44898</v>
      </c>
      <c r="Q101" s="38"/>
      <c r="R101" s="267"/>
    </row>
    <row r="102" spans="2:18" x14ac:dyDescent="0.3">
      <c r="B102" s="266" t="s">
        <v>213</v>
      </c>
      <c r="C102" s="38"/>
      <c r="D102" s="38"/>
      <c r="E102" s="38"/>
      <c r="F102" s="38"/>
      <c r="G102" s="38"/>
      <c r="H102" s="38"/>
      <c r="I102" s="38"/>
      <c r="J102" s="38"/>
      <c r="K102" s="38"/>
      <c r="L102" s="38"/>
      <c r="M102" s="51">
        <f>'Raytheon Tech''s - Financials'!D4</f>
        <v>45349000</v>
      </c>
      <c r="N102" s="51">
        <f>'Raytheon Tech''s - Financials'!E4</f>
        <v>56587000</v>
      </c>
      <c r="O102" s="51">
        <f>'Raytheon Tech''s - Financials'!F4</f>
        <v>64388000</v>
      </c>
      <c r="P102" s="51">
        <f>'Raytheon Tech''s - Financials'!G4</f>
        <v>67074000</v>
      </c>
      <c r="Q102" s="38"/>
      <c r="R102" s="267"/>
    </row>
    <row r="103" spans="2:18" x14ac:dyDescent="0.3">
      <c r="B103" s="266" t="s">
        <v>39</v>
      </c>
      <c r="C103" s="38"/>
      <c r="D103" s="38"/>
      <c r="E103" s="38"/>
      <c r="F103" s="38"/>
      <c r="G103" s="38"/>
      <c r="H103" s="38"/>
      <c r="I103" s="38"/>
      <c r="J103" s="38"/>
      <c r="K103" s="38"/>
      <c r="L103" s="38"/>
      <c r="M103" s="51">
        <f>M97</f>
        <v>139615000</v>
      </c>
      <c r="N103" s="51">
        <f t="shared" ref="N103:P103" si="28">N97</f>
        <v>162153000</v>
      </c>
      <c r="O103" s="51">
        <f t="shared" si="28"/>
        <v>158864000</v>
      </c>
      <c r="P103" s="51">
        <f t="shared" si="28"/>
        <v>161404000</v>
      </c>
      <c r="Q103" s="38"/>
      <c r="R103" s="267"/>
    </row>
    <row r="104" spans="2:18" x14ac:dyDescent="0.3">
      <c r="B104" s="275" t="s">
        <v>239</v>
      </c>
      <c r="C104" s="276"/>
      <c r="D104" s="276"/>
      <c r="E104" s="276"/>
      <c r="F104" s="276"/>
      <c r="G104" s="276"/>
      <c r="H104" s="276"/>
      <c r="I104" s="276"/>
      <c r="J104" s="276"/>
      <c r="K104" s="276"/>
      <c r="L104" s="276"/>
      <c r="M104" s="280">
        <f>M102/M103</f>
        <v>0.32481466891093363</v>
      </c>
      <c r="N104" s="280">
        <f t="shared" ref="N104:P104" si="29">N102/N103</f>
        <v>0.348972883634592</v>
      </c>
      <c r="O104" s="280">
        <f t="shared" si="29"/>
        <v>0.40530264880652633</v>
      </c>
      <c r="P104" s="280">
        <f t="shared" si="29"/>
        <v>0.41556590914723301</v>
      </c>
      <c r="Q104" s="276"/>
      <c r="R104" s="278"/>
    </row>
    <row r="105" spans="2:18" x14ac:dyDescent="0.3">
      <c r="B105" s="266"/>
      <c r="C105" s="38"/>
      <c r="D105" s="38"/>
      <c r="E105" s="38"/>
      <c r="F105" s="38"/>
      <c r="G105" s="38"/>
      <c r="H105" s="38"/>
      <c r="I105" s="38"/>
      <c r="J105" s="38"/>
      <c r="K105" s="38"/>
      <c r="L105" s="38"/>
      <c r="M105" s="38"/>
      <c r="N105" s="38"/>
      <c r="O105" s="38"/>
      <c r="P105" s="38"/>
      <c r="Q105" s="38"/>
      <c r="R105" s="267"/>
    </row>
    <row r="106" spans="2:18" x14ac:dyDescent="0.3">
      <c r="B106" s="475" t="s">
        <v>224</v>
      </c>
      <c r="C106" s="451"/>
      <c r="D106" s="451"/>
      <c r="E106" s="451"/>
      <c r="F106" s="451"/>
      <c r="G106" s="451"/>
      <c r="H106" s="451"/>
      <c r="I106" s="451"/>
      <c r="J106" s="451"/>
      <c r="K106" s="451"/>
      <c r="L106" s="451"/>
      <c r="M106" s="451"/>
      <c r="N106" s="451"/>
      <c r="O106" s="451"/>
      <c r="P106" s="451"/>
      <c r="Q106" s="451"/>
      <c r="R106" s="476"/>
    </row>
    <row r="107" spans="2:18" x14ac:dyDescent="0.3">
      <c r="B107" s="266"/>
      <c r="C107" s="38"/>
      <c r="D107" s="38"/>
      <c r="E107" s="38"/>
      <c r="F107" s="38"/>
      <c r="G107" s="38"/>
      <c r="H107" s="38"/>
      <c r="I107" s="38"/>
      <c r="J107" s="38"/>
      <c r="K107" s="38"/>
      <c r="L107" s="38"/>
      <c r="M107" s="49">
        <f>M101</f>
        <v>43800</v>
      </c>
      <c r="N107" s="49">
        <f t="shared" ref="N107:P107" si="30">N101</f>
        <v>44166</v>
      </c>
      <c r="O107" s="49">
        <f t="shared" si="30"/>
        <v>44532</v>
      </c>
      <c r="P107" s="49">
        <f t="shared" si="30"/>
        <v>44898</v>
      </c>
      <c r="Q107" s="38"/>
      <c r="R107" s="267"/>
    </row>
    <row r="108" spans="2:18" x14ac:dyDescent="0.3">
      <c r="B108" s="266" t="s">
        <v>160</v>
      </c>
      <c r="C108" s="38"/>
      <c r="D108" s="38"/>
      <c r="E108" s="38"/>
      <c r="F108" s="38"/>
      <c r="G108" s="38"/>
      <c r="H108" s="38"/>
      <c r="I108" s="38"/>
      <c r="J108" s="38"/>
      <c r="K108" s="38"/>
      <c r="L108" s="38"/>
      <c r="M108" s="51">
        <f>'Raytheon Tech''s - Financials'!D23</f>
        <v>129440000</v>
      </c>
      <c r="N108" s="51">
        <f>'Raytheon Tech''s - Financials'!E23</f>
        <v>108600000</v>
      </c>
      <c r="O108" s="51">
        <f>'Raytheon Tech''s - Financials'!F23</f>
        <v>128810000</v>
      </c>
      <c r="P108" s="51">
        <f>'Raytheon Tech''s - Financials'!G23</f>
        <v>148350000</v>
      </c>
      <c r="Q108" s="38"/>
      <c r="R108" s="267"/>
    </row>
    <row r="109" spans="2:18" x14ac:dyDescent="0.3">
      <c r="B109" s="266" t="s">
        <v>159</v>
      </c>
      <c r="C109" s="38"/>
      <c r="D109" s="38"/>
      <c r="E109" s="38"/>
      <c r="F109" s="38"/>
      <c r="G109" s="38"/>
      <c r="H109" s="38"/>
      <c r="I109" s="38"/>
      <c r="J109" s="38"/>
      <c r="K109" s="38"/>
      <c r="L109" s="38"/>
      <c r="M109" s="51">
        <f>'Raytheon Tech''s - Financials'!D46</f>
        <v>37701000</v>
      </c>
      <c r="N109" s="51">
        <f>'Raytheon Tech''s - Financials'!E46</f>
        <v>31026000</v>
      </c>
      <c r="O109" s="51">
        <f>'Raytheon Tech''s - Financials'!F46</f>
        <v>30694000</v>
      </c>
      <c r="P109" s="51">
        <f>'Raytheon Tech''s - Financials'!G46</f>
        <v>31327000</v>
      </c>
      <c r="Q109" s="38"/>
      <c r="R109" s="267"/>
    </row>
    <row r="110" spans="2:18" ht="15" thickBot="1" x14ac:dyDescent="0.35">
      <c r="B110" s="281" t="s">
        <v>240</v>
      </c>
      <c r="C110" s="282"/>
      <c r="D110" s="282"/>
      <c r="E110" s="282"/>
      <c r="F110" s="282"/>
      <c r="G110" s="282"/>
      <c r="H110" s="282"/>
      <c r="I110" s="282"/>
      <c r="J110" s="282"/>
      <c r="K110" s="282"/>
      <c r="L110" s="282"/>
      <c r="M110" s="283">
        <f>M108/M109</f>
        <v>3.4333306808837962</v>
      </c>
      <c r="N110" s="283">
        <f t="shared" ref="N110:P110" si="31">N108/N109</f>
        <v>3.5002900792883387</v>
      </c>
      <c r="O110" s="283">
        <f t="shared" si="31"/>
        <v>4.1965856519189417</v>
      </c>
      <c r="P110" s="283">
        <f t="shared" si="31"/>
        <v>4.7355316500143649</v>
      </c>
      <c r="Q110" s="282"/>
      <c r="R110" s="284"/>
    </row>
    <row r="112" spans="2:18" x14ac:dyDescent="0.3">
      <c r="B112" s="477" t="s">
        <v>209</v>
      </c>
      <c r="C112" s="478"/>
      <c r="D112" s="478"/>
      <c r="E112" s="478"/>
      <c r="F112" s="478"/>
      <c r="G112" s="478"/>
      <c r="H112" s="478"/>
      <c r="I112" s="478"/>
      <c r="J112" s="478"/>
      <c r="K112" s="478"/>
      <c r="L112" s="478"/>
      <c r="M112" s="478"/>
      <c r="N112" s="478"/>
      <c r="O112" s="478"/>
      <c r="P112" s="478"/>
      <c r="Q112" s="478"/>
      <c r="R112" s="479"/>
    </row>
    <row r="113" spans="2:18" x14ac:dyDescent="0.3">
      <c r="B113" s="266"/>
      <c r="C113" s="38"/>
      <c r="D113" s="88" t="s">
        <v>169</v>
      </c>
      <c r="E113" s="88" t="s">
        <v>170</v>
      </c>
      <c r="F113" s="88" t="s">
        <v>171</v>
      </c>
      <c r="G113" s="88" t="s">
        <v>172</v>
      </c>
      <c r="H113" s="88" t="s">
        <v>173</v>
      </c>
      <c r="I113" s="38"/>
      <c r="J113" s="38"/>
      <c r="K113" s="38"/>
      <c r="L113" s="38"/>
      <c r="M113" s="38"/>
      <c r="N113" s="38"/>
      <c r="O113" s="37" t="s">
        <v>166</v>
      </c>
      <c r="P113" s="38"/>
      <c r="Q113" s="37" t="s">
        <v>174</v>
      </c>
      <c r="R113" s="267"/>
    </row>
    <row r="114" spans="2:18" x14ac:dyDescent="0.3">
      <c r="B114" s="266" t="s">
        <v>226</v>
      </c>
      <c r="C114" s="38" t="s">
        <v>168</v>
      </c>
      <c r="D114" s="88">
        <v>1.2</v>
      </c>
      <c r="E114" s="88">
        <v>3.3</v>
      </c>
      <c r="F114" s="88">
        <v>1.4</v>
      </c>
      <c r="G114" s="88">
        <v>1</v>
      </c>
      <c r="H114" s="88">
        <v>0.6</v>
      </c>
      <c r="I114" s="38"/>
      <c r="J114" s="38"/>
      <c r="K114" s="38"/>
      <c r="L114" s="38"/>
      <c r="M114" s="38"/>
      <c r="N114" s="38"/>
      <c r="O114" s="38"/>
      <c r="P114" s="38"/>
      <c r="Q114" s="38"/>
      <c r="R114" s="267"/>
    </row>
    <row r="115" spans="2:18" x14ac:dyDescent="0.3">
      <c r="B115" s="268">
        <f t="array" ref="B115:B118">TRANSPOSE(M107:P107)</f>
        <v>43800</v>
      </c>
      <c r="C115" s="38"/>
      <c r="D115" s="39">
        <f t="array" ref="D115:D118">TRANSPOSE(M86:P86)</f>
        <v>0.10731654908140242</v>
      </c>
      <c r="E115" s="39">
        <f t="array" ref="E115:E118">TRANSPOSE(M92:P92)</f>
        <v>4.1134548580023633E-2</v>
      </c>
      <c r="F115" s="39">
        <f t="array" ref="F115:F118">TRANSPOSE(M98:P98)</f>
        <v>-0.23368549224653512</v>
      </c>
      <c r="G115" s="39">
        <f t="array" ref="G115:G118">TRANSPOSE(M104:P104)</f>
        <v>0.32481466891093363</v>
      </c>
      <c r="H115" s="39">
        <f t="array" ref="H115:H118">TRANSPOSE(M110:P110)</f>
        <v>3.4333306808837962</v>
      </c>
      <c r="I115" s="38"/>
      <c r="J115" s="38"/>
      <c r="K115" s="38"/>
      <c r="L115" s="38"/>
      <c r="M115" s="38"/>
      <c r="N115" s="38"/>
      <c r="O115" s="269">
        <f>SUMPRODUCT(D115:H115,$D$114:$H$114)</f>
        <v>2.322177257507823</v>
      </c>
      <c r="P115" s="38"/>
      <c r="Q115" s="38" t="str">
        <f>IF(O115&lt;3.1,"Distress Zone", " Safe Zone")</f>
        <v>Distress Zone</v>
      </c>
      <c r="R115" s="267"/>
    </row>
    <row r="116" spans="2:18" x14ac:dyDescent="0.3">
      <c r="B116" s="268">
        <v>44166</v>
      </c>
      <c r="C116" s="38"/>
      <c r="D116" s="39">
        <v>4.6425289695534465E-2</v>
      </c>
      <c r="E116" s="39">
        <v>-6.0868439066807277E-3</v>
      </c>
      <c r="F116" s="39">
        <v>-6.418012617712901E-2</v>
      </c>
      <c r="G116" s="39">
        <v>0.348972883634592</v>
      </c>
      <c r="H116" s="39">
        <v>3.5002900792883387</v>
      </c>
      <c r="I116" s="38"/>
      <c r="J116" s="38"/>
      <c r="K116" s="38"/>
      <c r="L116" s="38"/>
      <c r="M116" s="38"/>
      <c r="N116" s="38"/>
      <c r="O116" s="269">
        <f>SUMPRODUCT(D116:H116,$D$114:$H$114)</f>
        <v>2.3949185173022096</v>
      </c>
      <c r="P116" s="38"/>
      <c r="Q116" s="38" t="str">
        <f>IF(O116&lt;3.1,"Distress Zone", " Safe Zone")</f>
        <v>Distress Zone</v>
      </c>
      <c r="R116" s="267"/>
    </row>
    <row r="117" spans="2:18" x14ac:dyDescent="0.3">
      <c r="B117" s="268">
        <v>44532</v>
      </c>
      <c r="C117" s="38"/>
      <c r="D117" s="39">
        <v>2.09550307180985E-2</v>
      </c>
      <c r="E117" s="39">
        <v>3.936071104844395E-2</v>
      </c>
      <c r="F117" s="39">
        <v>-9.7756571658777325E-2</v>
      </c>
      <c r="G117" s="39">
        <v>0.40530264880652633</v>
      </c>
      <c r="H117" s="39">
        <v>4.1965856519189417</v>
      </c>
      <c r="I117" s="38"/>
      <c r="J117" s="38"/>
      <c r="K117" s="38"/>
      <c r="L117" s="38"/>
      <c r="M117" s="38"/>
      <c r="N117" s="38"/>
      <c r="O117" s="269">
        <f>SUMPRODUCT(D117:H117,$D$114:$H$114)</f>
        <v>2.9414312229571866</v>
      </c>
      <c r="P117" s="38"/>
      <c r="Q117" s="38" t="str">
        <f>IF(O117&lt;3.1,"Distress Zone", " Safe Zone")</f>
        <v>Distress Zone</v>
      </c>
      <c r="R117" s="267"/>
    </row>
    <row r="118" spans="2:18" ht="15" thickBot="1" x14ac:dyDescent="0.35">
      <c r="B118" s="270">
        <v>44898</v>
      </c>
      <c r="C118" s="271"/>
      <c r="D118" s="274">
        <v>4.0897375529726651E-2</v>
      </c>
      <c r="E118" s="274">
        <v>4.5246710118708337E-2</v>
      </c>
      <c r="F118" s="274">
        <v>-7.8851825233575382E-2</v>
      </c>
      <c r="G118" s="274">
        <v>0.41556590914723301</v>
      </c>
      <c r="H118" s="274">
        <v>4.7355316500143649</v>
      </c>
      <c r="I118" s="271"/>
      <c r="J118" s="271"/>
      <c r="K118" s="271"/>
      <c r="L118" s="271"/>
      <c r="M118" s="271"/>
      <c r="N118" s="271"/>
      <c r="O118" s="272">
        <f>SUMPRODUCT(D118:H118,$D$114:$H$114)</f>
        <v>3.3448833378562561</v>
      </c>
      <c r="P118" s="271"/>
      <c r="Q118" s="271" t="str">
        <f>IF(O118&lt;3.1,"Distress Zone", " Safe Zone")</f>
        <v xml:space="preserve"> Safe Zone</v>
      </c>
      <c r="R118" s="273"/>
    </row>
  </sheetData>
  <sheetProtection sheet="1" objects="1" scenarios="1"/>
  <customSheetViews>
    <customSheetView guid="{157A7F57-E932-4D71-AAC5-1BA0DA6A9C96}" showGridLines="0" topLeftCell="A61">
      <selection activeCell="Q115" sqref="Q115"/>
      <pageMargins left="0.7" right="0.7" top="0.75" bottom="0.75" header="0.3" footer="0.3"/>
      <pageSetup paperSize="9" orientation="portrait" r:id="rId1"/>
    </customSheetView>
  </customSheetViews>
  <mergeCells count="18">
    <mergeCell ref="B88:R88"/>
    <mergeCell ref="B94:R94"/>
    <mergeCell ref="B2:G3"/>
    <mergeCell ref="B4:C5"/>
    <mergeCell ref="B100:R100"/>
    <mergeCell ref="B106:R106"/>
    <mergeCell ref="B112:R112"/>
    <mergeCell ref="B8:R12"/>
    <mergeCell ref="B14:R14"/>
    <mergeCell ref="B16:R16"/>
    <mergeCell ref="B22:R22"/>
    <mergeCell ref="B31:R31"/>
    <mergeCell ref="B38:R38"/>
    <mergeCell ref="B47:R47"/>
    <mergeCell ref="B54:R54"/>
    <mergeCell ref="B65:R65"/>
    <mergeCell ref="B80:R80"/>
    <mergeCell ref="B82:R82"/>
  </mergeCells>
  <conditionalFormatting sqref="O115:O117">
    <cfRule type="cellIs" dxfId="9" priority="2" operator="lessThan">
      <formula>3.1</formula>
    </cfRule>
  </conditionalFormatting>
  <conditionalFormatting sqref="O118">
    <cfRule type="cellIs" dxfId="8" priority="1" operator="greaterThan">
      <formula>3.1</formula>
    </cfRule>
  </conditionalFormatting>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5"/>
  <sheetViews>
    <sheetView showGridLines="0" workbookViewId="0">
      <selection activeCell="H23" sqref="H23"/>
    </sheetView>
  </sheetViews>
  <sheetFormatPr defaultRowHeight="14.4" x14ac:dyDescent="0.3"/>
  <cols>
    <col min="1" max="1" width="1.88671875" customWidth="1"/>
    <col min="2" max="2" width="41.21875" bestFit="1" customWidth="1"/>
    <col min="4" max="7" width="12.44140625" bestFit="1" customWidth="1"/>
  </cols>
  <sheetData>
    <row r="2" spans="2:7" ht="21" x14ac:dyDescent="0.4">
      <c r="B2" s="5" t="s">
        <v>113</v>
      </c>
    </row>
    <row r="3" spans="2:7" x14ac:dyDescent="0.3">
      <c r="B3" t="s">
        <v>0</v>
      </c>
      <c r="D3" t="s">
        <v>71</v>
      </c>
      <c r="E3" t="s">
        <v>70</v>
      </c>
      <c r="F3" t="s">
        <v>69</v>
      </c>
      <c r="G3" t="s">
        <v>68</v>
      </c>
    </row>
    <row r="4" spans="2:7" x14ac:dyDescent="0.3">
      <c r="B4" t="s">
        <v>5</v>
      </c>
      <c r="D4" s="19">
        <v>255583000</v>
      </c>
      <c r="E4" s="19">
        <v>178574000</v>
      </c>
      <c r="F4" s="19">
        <v>276692000</v>
      </c>
      <c r="G4" s="19">
        <v>398675000</v>
      </c>
    </row>
    <row r="5" spans="2:7" x14ac:dyDescent="0.3">
      <c r="B5" t="s">
        <v>6</v>
      </c>
      <c r="D5" s="19">
        <v>180627000</v>
      </c>
      <c r="E5" s="19">
        <v>124438000</v>
      </c>
      <c r="F5" s="19">
        <v>191199000</v>
      </c>
      <c r="G5" s="19">
        <v>271568000</v>
      </c>
    </row>
    <row r="6" spans="2:7" x14ac:dyDescent="0.3">
      <c r="B6" t="s">
        <v>7</v>
      </c>
      <c r="D6" s="19">
        <v>74956000</v>
      </c>
      <c r="E6" s="19">
        <v>54136000</v>
      </c>
      <c r="F6" s="19">
        <v>85493000</v>
      </c>
      <c r="G6" s="19">
        <v>127107000</v>
      </c>
    </row>
    <row r="7" spans="2:7" x14ac:dyDescent="0.3">
      <c r="B7" t="s">
        <v>8</v>
      </c>
      <c r="D7" s="19"/>
      <c r="E7" s="19"/>
      <c r="F7" s="19"/>
      <c r="G7" s="19"/>
    </row>
    <row r="8" spans="2:7" x14ac:dyDescent="0.3">
      <c r="B8" t="s">
        <v>9</v>
      </c>
      <c r="D8" s="19">
        <v>0</v>
      </c>
      <c r="E8" s="19">
        <v>0</v>
      </c>
      <c r="F8" s="19">
        <v>0</v>
      </c>
      <c r="G8" s="19">
        <v>0</v>
      </c>
    </row>
    <row r="9" spans="2:7" x14ac:dyDescent="0.3">
      <c r="B9" t="s">
        <v>10</v>
      </c>
      <c r="D9" s="19">
        <v>43158000</v>
      </c>
      <c r="E9" s="19">
        <v>37495000</v>
      </c>
      <c r="F9" s="19">
        <v>40599000</v>
      </c>
      <c r="G9" s="19">
        <v>38496000</v>
      </c>
    </row>
    <row r="10" spans="2:7" x14ac:dyDescent="0.3">
      <c r="B10" t="s">
        <v>11</v>
      </c>
      <c r="D10" s="19">
        <v>1269000</v>
      </c>
      <c r="E10" s="19">
        <v>1285000</v>
      </c>
      <c r="F10" s="19">
        <v>1054000</v>
      </c>
      <c r="G10" s="19">
        <v>1025000</v>
      </c>
    </row>
    <row r="11" spans="2:7" x14ac:dyDescent="0.3">
      <c r="B11" t="s">
        <v>13</v>
      </c>
      <c r="D11" s="19">
        <v>18998000</v>
      </c>
      <c r="E11" s="19">
        <v>46009000</v>
      </c>
      <c r="F11" s="19">
        <v>20607000</v>
      </c>
      <c r="G11" s="19">
        <v>24040000</v>
      </c>
    </row>
    <row r="12" spans="2:7" x14ac:dyDescent="0.3">
      <c r="B12" t="s">
        <v>14</v>
      </c>
      <c r="D12" s="19">
        <v>11531000</v>
      </c>
      <c r="E12" s="19">
        <v>-30653000</v>
      </c>
      <c r="F12" s="19">
        <v>23233000</v>
      </c>
      <c r="G12" s="19">
        <v>63546000</v>
      </c>
    </row>
    <row r="13" spans="2:7" x14ac:dyDescent="0.3">
      <c r="B13" t="s">
        <v>15</v>
      </c>
      <c r="D13" s="19">
        <v>3914000</v>
      </c>
      <c r="E13" s="19">
        <v>1196000</v>
      </c>
      <c r="F13" s="19">
        <v>2291000</v>
      </c>
      <c r="G13" s="19">
        <v>3542000</v>
      </c>
    </row>
    <row r="14" spans="2:7" x14ac:dyDescent="0.3">
      <c r="B14" t="s">
        <v>16</v>
      </c>
      <c r="D14" s="19">
        <v>20886000</v>
      </c>
      <c r="E14" s="19">
        <v>-27725000</v>
      </c>
      <c r="F14" s="19">
        <v>32181000</v>
      </c>
      <c r="G14" s="19">
        <v>78551000</v>
      </c>
    </row>
    <row r="15" spans="2:7" x14ac:dyDescent="0.3">
      <c r="B15" t="s">
        <v>17</v>
      </c>
      <c r="D15" s="19">
        <v>830000</v>
      </c>
      <c r="E15" s="19">
        <v>1158000</v>
      </c>
      <c r="F15" s="19">
        <v>947000</v>
      </c>
      <c r="G15" s="19">
        <v>798000</v>
      </c>
    </row>
    <row r="16" spans="2:7" x14ac:dyDescent="0.3">
      <c r="B16" t="s">
        <v>18</v>
      </c>
      <c r="D16" s="19">
        <v>20056000</v>
      </c>
      <c r="E16" s="19">
        <v>-28883000</v>
      </c>
      <c r="F16" s="19">
        <v>31234000</v>
      </c>
      <c r="G16" s="19">
        <v>77753000</v>
      </c>
    </row>
    <row r="17" spans="2:7" x14ac:dyDescent="0.3">
      <c r="B17" t="s">
        <v>19</v>
      </c>
      <c r="D17" s="19">
        <v>5282000</v>
      </c>
      <c r="E17" s="19">
        <v>-5632000</v>
      </c>
      <c r="F17" s="19">
        <v>7636000</v>
      </c>
      <c r="G17" s="19">
        <v>20176000</v>
      </c>
    </row>
    <row r="18" spans="2:7" x14ac:dyDescent="0.3">
      <c r="B18" t="s">
        <v>20</v>
      </c>
      <c r="D18" s="19">
        <v>5441000</v>
      </c>
      <c r="E18" s="19">
        <v>1732000</v>
      </c>
      <c r="F18" s="19">
        <v>6657000</v>
      </c>
      <c r="G18" s="19">
        <v>11463000</v>
      </c>
    </row>
    <row r="19" spans="2:7" x14ac:dyDescent="0.3">
      <c r="B19" t="s">
        <v>21</v>
      </c>
      <c r="D19" s="19">
        <v>-434000</v>
      </c>
      <c r="E19" s="19">
        <v>811000</v>
      </c>
      <c r="F19" s="19">
        <v>-558000</v>
      </c>
      <c r="G19" s="19">
        <v>-1837000</v>
      </c>
    </row>
    <row r="20" spans="2:7" x14ac:dyDescent="0.3">
      <c r="B20" t="s">
        <v>22</v>
      </c>
      <c r="D20" s="19">
        <v>19781000</v>
      </c>
      <c r="E20" s="19">
        <v>-20708000</v>
      </c>
      <c r="F20" s="19">
        <v>29697000</v>
      </c>
      <c r="G20" s="19">
        <v>67203000</v>
      </c>
    </row>
    <row r="21" spans="2:7" x14ac:dyDescent="0.3">
      <c r="B21" t="s">
        <v>23</v>
      </c>
      <c r="D21" s="19">
        <v>14340000</v>
      </c>
      <c r="E21" s="19">
        <v>-22440000</v>
      </c>
      <c r="F21" s="19">
        <v>23040000</v>
      </c>
      <c r="G21" s="19">
        <v>55740000</v>
      </c>
    </row>
    <row r="22" spans="2:7" x14ac:dyDescent="0.3">
      <c r="B22" t="s">
        <v>24</v>
      </c>
      <c r="D22" s="19">
        <v>14340000</v>
      </c>
      <c r="E22" s="19">
        <v>-22440000</v>
      </c>
      <c r="F22" s="19">
        <v>23040000</v>
      </c>
      <c r="G22" s="19">
        <v>55740000</v>
      </c>
    </row>
    <row r="23" spans="2:7" x14ac:dyDescent="0.3">
      <c r="B23" t="s">
        <v>160</v>
      </c>
      <c r="D23" s="19">
        <v>295440000</v>
      </c>
      <c r="E23" s="19">
        <v>174280000</v>
      </c>
      <c r="F23" s="19">
        <v>259380000</v>
      </c>
      <c r="G23" s="19">
        <v>454240000</v>
      </c>
    </row>
    <row r="24" spans="2:7" ht="18" x14ac:dyDescent="0.35">
      <c r="B24" s="2" t="s">
        <v>114</v>
      </c>
      <c r="D24" s="19"/>
      <c r="E24" s="19"/>
      <c r="F24" s="19"/>
      <c r="G24" s="19"/>
    </row>
    <row r="25" spans="2:7" x14ac:dyDescent="0.3">
      <c r="B25" t="s">
        <v>0</v>
      </c>
      <c r="D25" s="19" t="s">
        <v>71</v>
      </c>
      <c r="E25" s="19" t="s">
        <v>70</v>
      </c>
      <c r="F25" s="19" t="s">
        <v>69</v>
      </c>
      <c r="G25" s="19" t="s">
        <v>68</v>
      </c>
    </row>
    <row r="26" spans="2:7" x14ac:dyDescent="0.3">
      <c r="B26" t="s">
        <v>25</v>
      </c>
      <c r="D26" s="19"/>
      <c r="E26" s="19"/>
      <c r="F26" s="19"/>
      <c r="G26" s="19"/>
    </row>
    <row r="27" spans="2:7" x14ac:dyDescent="0.3">
      <c r="B27" t="s">
        <v>26</v>
      </c>
      <c r="D27" s="19">
        <v>3089000</v>
      </c>
      <c r="E27" s="19">
        <v>4364000</v>
      </c>
      <c r="F27" s="19">
        <v>6802000</v>
      </c>
      <c r="G27" s="19">
        <v>29665000</v>
      </c>
    </row>
    <row r="28" spans="2:7" x14ac:dyDescent="0.3">
      <c r="B28" t="s">
        <v>27</v>
      </c>
      <c r="D28" s="19">
        <v>0</v>
      </c>
      <c r="E28" s="19">
        <v>0</v>
      </c>
      <c r="F28" s="19">
        <v>0</v>
      </c>
      <c r="G28" s="19">
        <v>0</v>
      </c>
    </row>
    <row r="29" spans="2:7" x14ac:dyDescent="0.3">
      <c r="B29" t="s">
        <v>28</v>
      </c>
      <c r="D29" s="19">
        <v>26966000</v>
      </c>
      <c r="E29" s="19">
        <v>20581000</v>
      </c>
      <c r="F29" s="19">
        <v>32383000</v>
      </c>
      <c r="G29" s="19">
        <v>41749000</v>
      </c>
    </row>
    <row r="30" spans="2:7" x14ac:dyDescent="0.3">
      <c r="B30" t="s">
        <v>29</v>
      </c>
      <c r="D30" s="19">
        <v>18528000</v>
      </c>
      <c r="E30" s="19">
        <v>18850000</v>
      </c>
      <c r="F30" s="19">
        <v>18780000</v>
      </c>
      <c r="G30" s="19">
        <v>24435000</v>
      </c>
    </row>
    <row r="31" spans="2:7" x14ac:dyDescent="0.3">
      <c r="B31" t="s">
        <v>30</v>
      </c>
      <c r="D31" s="19">
        <v>1469000</v>
      </c>
      <c r="E31" s="19">
        <v>1098000</v>
      </c>
      <c r="F31" s="19">
        <v>1189000</v>
      </c>
      <c r="G31" s="19">
        <v>1782000</v>
      </c>
    </row>
    <row r="32" spans="2:7" x14ac:dyDescent="0.3">
      <c r="B32" t="s">
        <v>31</v>
      </c>
      <c r="D32" s="19">
        <v>50052000</v>
      </c>
      <c r="E32" s="19">
        <v>44893000</v>
      </c>
      <c r="F32" s="19">
        <v>59154000</v>
      </c>
      <c r="G32" s="19">
        <v>97631000</v>
      </c>
    </row>
    <row r="33" spans="2:7" x14ac:dyDescent="0.3">
      <c r="B33" t="s">
        <v>32</v>
      </c>
      <c r="D33" s="19"/>
      <c r="E33" s="19"/>
      <c r="F33" s="19"/>
      <c r="G33" s="19"/>
    </row>
    <row r="34" spans="2:7" x14ac:dyDescent="0.3">
      <c r="B34" t="s">
        <v>33</v>
      </c>
      <c r="D34" s="19">
        <v>43164000</v>
      </c>
      <c r="E34" s="19">
        <v>43515000</v>
      </c>
      <c r="F34" s="19">
        <v>45195000</v>
      </c>
      <c r="G34" s="19">
        <v>49793000</v>
      </c>
    </row>
    <row r="35" spans="2:7" x14ac:dyDescent="0.3">
      <c r="B35" t="s">
        <v>34</v>
      </c>
      <c r="D35" s="19">
        <v>253018000</v>
      </c>
      <c r="E35" s="19">
        <v>227553000</v>
      </c>
      <c r="F35" s="19">
        <v>216552000</v>
      </c>
      <c r="G35" s="19">
        <v>204692000</v>
      </c>
    </row>
    <row r="36" spans="2:7" x14ac:dyDescent="0.3">
      <c r="B36" t="s">
        <v>35</v>
      </c>
      <c r="D36" s="19">
        <v>0</v>
      </c>
      <c r="E36" s="19">
        <v>0</v>
      </c>
      <c r="F36" s="19">
        <v>0</v>
      </c>
      <c r="G36" s="19">
        <v>0</v>
      </c>
    </row>
    <row r="37" spans="2:7" x14ac:dyDescent="0.3">
      <c r="B37" t="s">
        <v>36</v>
      </c>
      <c r="D37" s="19">
        <v>0</v>
      </c>
      <c r="E37" s="19">
        <v>0</v>
      </c>
      <c r="F37" s="19">
        <v>0</v>
      </c>
      <c r="G37" s="19">
        <v>0</v>
      </c>
    </row>
    <row r="38" spans="2:7" x14ac:dyDescent="0.3">
      <c r="B38" t="s">
        <v>37</v>
      </c>
      <c r="D38" s="19">
        <v>16363000</v>
      </c>
      <c r="E38" s="19">
        <v>16789000</v>
      </c>
      <c r="F38" s="19">
        <v>18022000</v>
      </c>
      <c r="G38" s="19">
        <v>16951000</v>
      </c>
    </row>
    <row r="39" spans="2:7" x14ac:dyDescent="0.3">
      <c r="B39" t="s">
        <v>38</v>
      </c>
      <c r="D39" s="19">
        <v>0</v>
      </c>
      <c r="E39" s="19">
        <v>0</v>
      </c>
      <c r="F39" s="19">
        <v>0</v>
      </c>
      <c r="G39" s="19">
        <v>0</v>
      </c>
    </row>
    <row r="40" spans="2:7" x14ac:dyDescent="0.3">
      <c r="B40" t="s">
        <v>39</v>
      </c>
      <c r="D40" s="19">
        <v>362597000</v>
      </c>
      <c r="E40" s="19">
        <v>332750000</v>
      </c>
      <c r="F40" s="19">
        <v>338923000</v>
      </c>
      <c r="G40" s="19">
        <v>369067000</v>
      </c>
    </row>
    <row r="41" spans="2:7" x14ac:dyDescent="0.3">
      <c r="B41" t="s">
        <v>40</v>
      </c>
      <c r="D41" s="19"/>
      <c r="E41" s="19"/>
      <c r="F41" s="19"/>
      <c r="G41" s="19"/>
    </row>
    <row r="42" spans="2:7" x14ac:dyDescent="0.3">
      <c r="B42" t="s">
        <v>41</v>
      </c>
      <c r="D42" s="19">
        <v>43411000</v>
      </c>
      <c r="E42" s="19">
        <v>35905000</v>
      </c>
      <c r="F42" s="19">
        <v>52367000</v>
      </c>
      <c r="G42" s="19">
        <v>68411000</v>
      </c>
    </row>
    <row r="43" spans="2:7" x14ac:dyDescent="0.3">
      <c r="B43" t="s">
        <v>42</v>
      </c>
      <c r="D43" s="19">
        <v>20578000</v>
      </c>
      <c r="E43" s="19">
        <v>20458000</v>
      </c>
      <c r="F43" s="19">
        <v>4276000</v>
      </c>
      <c r="G43" s="19">
        <v>634000</v>
      </c>
    </row>
    <row r="44" spans="2:7" x14ac:dyDescent="0.3">
      <c r="B44" t="s">
        <v>43</v>
      </c>
      <c r="D44" s="19">
        <v>0</v>
      </c>
      <c r="E44" s="19">
        <v>0</v>
      </c>
      <c r="F44" s="19">
        <v>0</v>
      </c>
      <c r="G44" s="19">
        <v>0</v>
      </c>
    </row>
    <row r="45" spans="2:7" x14ac:dyDescent="0.3">
      <c r="B45" t="s">
        <v>44</v>
      </c>
      <c r="D45" s="19">
        <v>63989000</v>
      </c>
      <c r="E45" s="19">
        <v>56363000</v>
      </c>
      <c r="F45" s="19">
        <v>56643000</v>
      </c>
      <c r="G45" s="19">
        <v>69045000</v>
      </c>
    </row>
    <row r="46" spans="2:7" x14ac:dyDescent="0.3">
      <c r="B46" t="s">
        <v>45</v>
      </c>
      <c r="D46" s="19">
        <v>30330000</v>
      </c>
      <c r="E46" s="19">
        <v>50435000</v>
      </c>
      <c r="F46" s="19">
        <v>46285000</v>
      </c>
      <c r="G46" s="19">
        <v>42897000</v>
      </c>
    </row>
    <row r="47" spans="2:7" x14ac:dyDescent="0.3">
      <c r="B47" t="s">
        <v>46</v>
      </c>
      <c r="D47" s="19">
        <v>43720000</v>
      </c>
      <c r="E47" s="19">
        <v>43657000</v>
      </c>
      <c r="F47" s="19">
        <v>40147000</v>
      </c>
      <c r="G47" s="19">
        <v>31778000</v>
      </c>
    </row>
    <row r="48" spans="2:7" x14ac:dyDescent="0.3">
      <c r="B48" t="s">
        <v>47</v>
      </c>
      <c r="D48" s="19">
        <v>25620000</v>
      </c>
      <c r="E48" s="19">
        <v>18165000</v>
      </c>
      <c r="F48" s="19">
        <v>20165000</v>
      </c>
      <c r="G48" s="19">
        <v>22874000</v>
      </c>
    </row>
    <row r="49" spans="2:7" x14ac:dyDescent="0.3">
      <c r="B49" t="s">
        <v>48</v>
      </c>
      <c r="D49" s="19">
        <v>7288000</v>
      </c>
      <c r="E49" s="19">
        <v>6980000</v>
      </c>
      <c r="F49" s="19">
        <v>7106000</v>
      </c>
      <c r="G49" s="19">
        <v>7424000</v>
      </c>
    </row>
    <row r="50" spans="2:7" x14ac:dyDescent="0.3">
      <c r="B50" t="s">
        <v>20</v>
      </c>
      <c r="D50" s="19">
        <v>0</v>
      </c>
      <c r="E50" s="19">
        <v>0</v>
      </c>
      <c r="F50" s="19">
        <v>0</v>
      </c>
      <c r="G50" s="19">
        <v>0</v>
      </c>
    </row>
    <row r="51" spans="2:7" x14ac:dyDescent="0.3">
      <c r="B51" t="s">
        <v>49</v>
      </c>
      <c r="D51" s="19">
        <v>170947000</v>
      </c>
      <c r="E51" s="19">
        <v>175600000</v>
      </c>
      <c r="F51" s="19">
        <v>170346000</v>
      </c>
      <c r="G51" s="19">
        <v>174018000</v>
      </c>
    </row>
    <row r="52" spans="2:7" x14ac:dyDescent="0.3">
      <c r="B52" t="s">
        <v>50</v>
      </c>
      <c r="D52" s="19"/>
      <c r="E52" s="19"/>
      <c r="F52" s="19"/>
      <c r="G52" s="19"/>
    </row>
    <row r="53" spans="2:7" x14ac:dyDescent="0.3">
      <c r="B53" t="s">
        <v>51</v>
      </c>
      <c r="D53" s="19">
        <v>15637000</v>
      </c>
      <c r="E53" s="19">
        <v>15688000</v>
      </c>
      <c r="F53" s="19">
        <v>15746000</v>
      </c>
      <c r="G53" s="19">
        <v>15752000</v>
      </c>
    </row>
    <row r="54" spans="2:7" x14ac:dyDescent="0.3">
      <c r="B54" t="s">
        <v>52</v>
      </c>
      <c r="D54" s="19">
        <v>421341000</v>
      </c>
      <c r="E54" s="19">
        <v>383943000</v>
      </c>
      <c r="F54" s="19">
        <v>392059000</v>
      </c>
      <c r="G54" s="19">
        <v>432860000</v>
      </c>
    </row>
    <row r="55" spans="2:7" x14ac:dyDescent="0.3">
      <c r="B55" t="s">
        <v>53</v>
      </c>
      <c r="D55" s="19">
        <v>-225835000</v>
      </c>
      <c r="E55" s="19">
        <v>-225776000</v>
      </c>
      <c r="F55" s="19">
        <v>-225464000</v>
      </c>
      <c r="G55" s="19">
        <v>-240293000</v>
      </c>
    </row>
    <row r="56" spans="2:7" x14ac:dyDescent="0.3">
      <c r="B56" t="s">
        <v>54</v>
      </c>
      <c r="D56" s="19">
        <v>0</v>
      </c>
      <c r="E56" s="19">
        <v>0</v>
      </c>
      <c r="F56" s="19">
        <v>0</v>
      </c>
      <c r="G56" s="19">
        <v>0</v>
      </c>
    </row>
    <row r="57" spans="2:7" x14ac:dyDescent="0.3">
      <c r="B57" t="s">
        <v>55</v>
      </c>
      <c r="D57" s="19">
        <v>-19493000</v>
      </c>
      <c r="E57" s="19">
        <v>-16705000</v>
      </c>
      <c r="F57" s="19">
        <v>-13764000</v>
      </c>
      <c r="G57" s="19">
        <v>-13270000</v>
      </c>
    </row>
    <row r="58" spans="2:7" x14ac:dyDescent="0.3">
      <c r="B58" t="s">
        <v>56</v>
      </c>
      <c r="D58" s="19">
        <v>191650000</v>
      </c>
      <c r="E58" s="19">
        <v>157150000</v>
      </c>
      <c r="F58" s="19">
        <v>168577000</v>
      </c>
      <c r="G58" s="19">
        <v>195049000</v>
      </c>
    </row>
    <row r="59" spans="2:7" x14ac:dyDescent="0.3">
      <c r="B59" t="s">
        <v>57</v>
      </c>
      <c r="D59" s="19">
        <v>362597000</v>
      </c>
      <c r="E59" s="19">
        <v>332750000</v>
      </c>
      <c r="F59" s="19">
        <v>338923000</v>
      </c>
      <c r="G59" s="19">
        <v>369067000</v>
      </c>
    </row>
    <row r="60" spans="2:7" x14ac:dyDescent="0.3">
      <c r="D60" s="19"/>
      <c r="E60" s="19"/>
      <c r="F60" s="19"/>
      <c r="G60" s="19"/>
    </row>
    <row r="61" spans="2:7" ht="18" x14ac:dyDescent="0.35">
      <c r="B61" s="2" t="s">
        <v>115</v>
      </c>
      <c r="D61" s="19"/>
      <c r="E61" s="19"/>
      <c r="F61" s="19"/>
      <c r="G61" s="19"/>
    </row>
    <row r="62" spans="2:7" x14ac:dyDescent="0.3">
      <c r="B62" t="s">
        <v>0</v>
      </c>
      <c r="D62" s="19" t="s">
        <v>71</v>
      </c>
      <c r="E62" s="19" t="s">
        <v>70</v>
      </c>
      <c r="F62" s="19" t="s">
        <v>69</v>
      </c>
      <c r="G62" s="19" t="s">
        <v>68</v>
      </c>
    </row>
    <row r="63" spans="2:7" x14ac:dyDescent="0.3">
      <c r="B63" t="s">
        <v>23</v>
      </c>
      <c r="D63" s="19">
        <v>14340000</v>
      </c>
      <c r="E63" s="19">
        <v>-22440000</v>
      </c>
      <c r="F63" s="19">
        <v>23040000</v>
      </c>
      <c r="G63" s="19">
        <v>55740000</v>
      </c>
    </row>
    <row r="64" spans="2:7" x14ac:dyDescent="0.3">
      <c r="B64" t="s">
        <v>72</v>
      </c>
      <c r="D64" s="19"/>
      <c r="E64" s="19"/>
      <c r="F64" s="19"/>
      <c r="G64" s="19"/>
    </row>
    <row r="65" spans="2:7" x14ac:dyDescent="0.3">
      <c r="B65" t="s">
        <v>73</v>
      </c>
      <c r="D65" s="19">
        <v>18998000</v>
      </c>
      <c r="E65" s="19">
        <v>46009000</v>
      </c>
      <c r="F65" s="19">
        <v>20607000</v>
      </c>
      <c r="G65" s="19">
        <v>24040000</v>
      </c>
    </row>
    <row r="66" spans="2:7" x14ac:dyDescent="0.3">
      <c r="B66" t="s">
        <v>74</v>
      </c>
      <c r="D66" s="19">
        <v>-4809000</v>
      </c>
      <c r="E66" s="19">
        <v>-8648000</v>
      </c>
      <c r="F66" s="19">
        <v>439000</v>
      </c>
      <c r="G66" s="19">
        <v>-3601000</v>
      </c>
    </row>
    <row r="67" spans="2:7" x14ac:dyDescent="0.3">
      <c r="B67" t="s">
        <v>75</v>
      </c>
      <c r="D67" s="19"/>
      <c r="E67" s="19"/>
      <c r="F67" s="19"/>
      <c r="G67" s="19"/>
    </row>
    <row r="68" spans="2:7" x14ac:dyDescent="0.3">
      <c r="B68" t="s">
        <v>76</v>
      </c>
      <c r="D68" s="19">
        <v>-2640000</v>
      </c>
      <c r="E68" s="19">
        <v>5384000</v>
      </c>
      <c r="F68" s="19">
        <v>-12098000</v>
      </c>
      <c r="G68" s="19">
        <v>-11019000</v>
      </c>
    </row>
    <row r="69" spans="2:7" x14ac:dyDescent="0.3">
      <c r="B69" t="s">
        <v>77</v>
      </c>
      <c r="D69" s="19">
        <v>72000</v>
      </c>
      <c r="E69" s="19">
        <v>-315000</v>
      </c>
      <c r="F69" s="19">
        <v>-489000</v>
      </c>
      <c r="G69" s="19">
        <v>-6947000</v>
      </c>
    </row>
    <row r="70" spans="2:7" x14ac:dyDescent="0.3">
      <c r="B70" t="s">
        <v>78</v>
      </c>
      <c r="D70" s="19">
        <v>-404000</v>
      </c>
      <c r="E70" s="19">
        <v>2631000</v>
      </c>
      <c r="F70" s="19">
        <v>-748000</v>
      </c>
      <c r="G70" s="19">
        <v>-1713000</v>
      </c>
    </row>
    <row r="71" spans="2:7" x14ac:dyDescent="0.3">
      <c r="B71" t="s">
        <v>79</v>
      </c>
      <c r="D71" s="19">
        <v>3725000</v>
      </c>
      <c r="E71" s="19">
        <v>-7142000</v>
      </c>
      <c r="F71" s="19">
        <v>16820000</v>
      </c>
      <c r="G71" s="19">
        <v>18460000</v>
      </c>
    </row>
    <row r="72" spans="2:7" x14ac:dyDescent="0.3">
      <c r="B72" t="s">
        <v>80</v>
      </c>
      <c r="D72" s="19">
        <v>29716000</v>
      </c>
      <c r="E72" s="19">
        <v>14668000</v>
      </c>
      <c r="F72" s="19">
        <v>48129000</v>
      </c>
      <c r="G72" s="19">
        <v>76797000</v>
      </c>
    </row>
    <row r="73" spans="2:7" x14ac:dyDescent="0.3">
      <c r="B73" t="s">
        <v>81</v>
      </c>
      <c r="D73" s="19"/>
      <c r="E73" s="19"/>
      <c r="F73" s="19"/>
      <c r="G73" s="19"/>
    </row>
    <row r="74" spans="2:7" x14ac:dyDescent="0.3">
      <c r="B74" t="s">
        <v>82</v>
      </c>
      <c r="D74" s="19">
        <v>-24361000</v>
      </c>
      <c r="E74" s="19">
        <v>-17282000</v>
      </c>
      <c r="F74" s="19">
        <v>-12076000</v>
      </c>
      <c r="G74" s="19">
        <v>-18407000</v>
      </c>
    </row>
    <row r="75" spans="2:7" x14ac:dyDescent="0.3">
      <c r="B75" t="s">
        <v>83</v>
      </c>
      <c r="D75" s="19">
        <v>-3905000</v>
      </c>
      <c r="E75" s="19">
        <v>-4857000</v>
      </c>
      <c r="F75" s="19">
        <v>-2817000</v>
      </c>
      <c r="G75" s="19">
        <v>-3090000</v>
      </c>
    </row>
    <row r="76" spans="2:7" x14ac:dyDescent="0.3">
      <c r="B76" t="s">
        <v>84</v>
      </c>
      <c r="D76" s="19">
        <v>5182000</v>
      </c>
      <c r="E76" s="19">
        <v>3680000</v>
      </c>
      <c r="F76" s="19">
        <v>4658000</v>
      </c>
      <c r="G76" s="19">
        <v>6755000</v>
      </c>
    </row>
    <row r="77" spans="2:7" x14ac:dyDescent="0.3">
      <c r="B77" t="s">
        <v>85</v>
      </c>
      <c r="D77" s="19">
        <v>-23084000</v>
      </c>
      <c r="E77" s="19">
        <v>-18459000</v>
      </c>
      <c r="F77" s="19">
        <v>-10235000</v>
      </c>
      <c r="G77" s="19">
        <v>-14742000</v>
      </c>
    </row>
    <row r="78" spans="2:7" x14ac:dyDescent="0.3">
      <c r="B78" t="s">
        <v>86</v>
      </c>
      <c r="D78" s="19"/>
      <c r="E78" s="19"/>
      <c r="F78" s="19"/>
      <c r="G78" s="19"/>
    </row>
    <row r="79" spans="2:7" x14ac:dyDescent="0.3">
      <c r="B79" t="s">
        <v>87</v>
      </c>
      <c r="D79" s="19">
        <v>-436000</v>
      </c>
      <c r="E79" s="19">
        <v>218000</v>
      </c>
      <c r="F79" s="19">
        <v>-591000</v>
      </c>
      <c r="G79" s="19">
        <v>-16630000</v>
      </c>
    </row>
    <row r="80" spans="2:7" x14ac:dyDescent="0.3">
      <c r="B80" t="s">
        <v>88</v>
      </c>
      <c r="D80" s="19">
        <v>8662000</v>
      </c>
      <c r="E80" s="19">
        <v>20141000</v>
      </c>
      <c r="F80" s="19">
        <v>-19654000</v>
      </c>
      <c r="G80" s="19">
        <v>-7220000</v>
      </c>
    </row>
    <row r="81" spans="2:7" x14ac:dyDescent="0.3">
      <c r="B81" t="s">
        <v>89</v>
      </c>
      <c r="D81" s="19">
        <v>0</v>
      </c>
      <c r="E81" s="19">
        <v>-21000</v>
      </c>
      <c r="F81" s="19">
        <v>-30000</v>
      </c>
      <c r="G81" s="19">
        <v>-58000</v>
      </c>
    </row>
    <row r="82" spans="2:7" x14ac:dyDescent="0.3">
      <c r="B82" t="s">
        <v>90</v>
      </c>
      <c r="D82" s="19">
        <v>-6618000</v>
      </c>
      <c r="E82" s="19">
        <v>5285000</v>
      </c>
      <c r="F82" s="19">
        <v>-35423000</v>
      </c>
      <c r="G82" s="19">
        <v>-39114000</v>
      </c>
    </row>
    <row r="83" spans="2:7" x14ac:dyDescent="0.3">
      <c r="B83" t="s">
        <v>91</v>
      </c>
      <c r="D83" s="19">
        <v>33000</v>
      </c>
      <c r="E83" s="19">
        <v>-219000</v>
      </c>
      <c r="F83" s="19">
        <v>-33000</v>
      </c>
      <c r="G83" s="19">
        <v>-78000</v>
      </c>
    </row>
    <row r="84" spans="2:7" x14ac:dyDescent="0.3">
      <c r="B84" t="s">
        <v>92</v>
      </c>
      <c r="D84" s="19">
        <v>47000</v>
      </c>
      <c r="E84" s="19">
        <v>1275000</v>
      </c>
      <c r="F84" s="19">
        <v>2438000</v>
      </c>
      <c r="G84" s="19">
        <v>22863000</v>
      </c>
    </row>
    <row r="85" spans="2:7" x14ac:dyDescent="0.3">
      <c r="D85" s="19"/>
      <c r="E85" s="19"/>
      <c r="F85" s="19"/>
      <c r="G85" s="19"/>
    </row>
  </sheetData>
  <sheetProtection sheet="1" objects="1" scenarios="1"/>
  <customSheetViews>
    <customSheetView guid="{157A7F57-E932-4D71-AAC5-1BA0DA6A9C96}" showGridLines="0">
      <selection activeCell="H23" sqref="H23"/>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Q120"/>
  <sheetViews>
    <sheetView showGridLines="0" topLeftCell="A16" workbookViewId="0">
      <selection activeCell="X24" sqref="X24"/>
    </sheetView>
  </sheetViews>
  <sheetFormatPr defaultRowHeight="14.4" x14ac:dyDescent="0.3"/>
  <cols>
    <col min="1" max="1" width="1.88671875" customWidth="1"/>
    <col min="12" max="12" width="11.33203125" customWidth="1"/>
    <col min="13" max="14" width="11.33203125" bestFit="1" customWidth="1"/>
    <col min="15" max="15" width="14" customWidth="1"/>
    <col min="16" max="16" width="13.5546875" customWidth="1"/>
  </cols>
  <sheetData>
    <row r="2" spans="2:17" ht="21" x14ac:dyDescent="0.4">
      <c r="B2" s="24" t="s">
        <v>59</v>
      </c>
      <c r="C2" s="22"/>
      <c r="D2" s="22"/>
      <c r="E2" s="22"/>
      <c r="F2" s="22"/>
      <c r="G2" s="22"/>
      <c r="H2" s="22"/>
      <c r="I2" s="22"/>
      <c r="J2" s="22"/>
      <c r="K2" s="22"/>
      <c r="L2" s="22"/>
      <c r="M2" s="22"/>
      <c r="N2" s="22"/>
      <c r="O2" s="22"/>
    </row>
    <row r="3" spans="2:17" ht="15.6" x14ac:dyDescent="0.3">
      <c r="B3" s="23" t="s">
        <v>60</v>
      </c>
      <c r="C3" s="22"/>
      <c r="D3" s="22"/>
      <c r="E3" s="22"/>
      <c r="F3" s="22"/>
      <c r="G3" s="22"/>
      <c r="H3" s="22"/>
      <c r="I3" s="22"/>
      <c r="J3" s="22"/>
      <c r="K3" s="22"/>
      <c r="L3" s="22"/>
      <c r="M3" s="22"/>
      <c r="N3" s="22"/>
      <c r="O3" s="22"/>
    </row>
    <row r="4" spans="2:17" ht="15.6" x14ac:dyDescent="0.3">
      <c r="B4" s="23" t="s">
        <v>61</v>
      </c>
      <c r="C4" s="22"/>
      <c r="D4" s="22"/>
      <c r="E4" s="22"/>
      <c r="F4" s="22"/>
      <c r="G4" s="22"/>
      <c r="H4" s="22"/>
      <c r="I4" s="22"/>
      <c r="J4" s="22"/>
      <c r="K4" s="22"/>
      <c r="L4" s="22"/>
      <c r="M4" s="22"/>
      <c r="N4" s="22"/>
      <c r="O4" s="22"/>
    </row>
    <row r="6" spans="2:17" x14ac:dyDescent="0.3">
      <c r="B6" s="6" t="s">
        <v>62</v>
      </c>
      <c r="C6" s="6"/>
      <c r="D6" s="6"/>
      <c r="E6" s="6"/>
      <c r="F6" s="6"/>
      <c r="G6" s="6"/>
      <c r="H6" s="6"/>
      <c r="I6" s="6"/>
      <c r="J6" s="6"/>
      <c r="K6" s="6"/>
      <c r="L6" s="6"/>
      <c r="M6" s="6"/>
      <c r="N6" s="6"/>
      <c r="O6" s="6"/>
      <c r="P6" s="6"/>
      <c r="Q6" s="6"/>
    </row>
    <row r="7" spans="2:17" x14ac:dyDescent="0.3">
      <c r="B7" s="6" t="s">
        <v>63</v>
      </c>
      <c r="C7" s="6"/>
      <c r="D7" s="6"/>
      <c r="E7" s="6"/>
      <c r="F7" s="6"/>
      <c r="G7" s="6"/>
      <c r="H7" s="6"/>
      <c r="I7" s="6"/>
      <c r="J7" s="6"/>
      <c r="K7" s="6"/>
      <c r="L7" s="6"/>
      <c r="M7" s="6"/>
      <c r="N7" s="6"/>
      <c r="O7" s="6"/>
      <c r="P7" s="6"/>
      <c r="Q7" s="6"/>
    </row>
    <row r="8" spans="2:17" x14ac:dyDescent="0.3">
      <c r="B8" s="6" t="s">
        <v>148</v>
      </c>
      <c r="C8" s="6"/>
      <c r="D8" s="6"/>
      <c r="E8" s="6"/>
      <c r="F8" s="6"/>
      <c r="G8" s="6"/>
      <c r="H8" s="6"/>
      <c r="I8" s="6"/>
      <c r="J8" s="6"/>
      <c r="K8" s="6"/>
      <c r="L8" s="6"/>
      <c r="M8" s="6"/>
      <c r="N8" s="6"/>
      <c r="O8" s="6"/>
      <c r="P8" s="6"/>
      <c r="Q8" s="6"/>
    </row>
    <row r="9" spans="2:17" x14ac:dyDescent="0.3">
      <c r="B9" s="6" t="s">
        <v>149</v>
      </c>
      <c r="C9" s="6"/>
      <c r="D9" s="6"/>
      <c r="E9" s="6"/>
      <c r="F9" s="6"/>
      <c r="G9" s="6"/>
      <c r="H9" s="6"/>
      <c r="I9" s="6"/>
      <c r="J9" s="6"/>
      <c r="K9" s="6"/>
      <c r="L9" s="6"/>
      <c r="M9" s="6"/>
      <c r="N9" s="6"/>
      <c r="O9" s="6"/>
      <c r="P9" s="6"/>
      <c r="Q9" s="6"/>
    </row>
    <row r="10" spans="2:17" ht="15" thickBot="1" x14ac:dyDescent="0.35"/>
    <row r="11" spans="2:17" ht="15" thickTop="1" x14ac:dyDescent="0.3">
      <c r="B11" s="391" t="s">
        <v>58</v>
      </c>
      <c r="C11" s="392"/>
      <c r="D11" s="392"/>
      <c r="E11" s="392"/>
      <c r="F11" s="392"/>
      <c r="G11" s="392"/>
      <c r="H11" s="392"/>
      <c r="I11" s="392"/>
      <c r="J11" s="392"/>
      <c r="K11" s="392"/>
      <c r="L11" s="392"/>
      <c r="M11" s="392"/>
      <c r="N11" s="392"/>
      <c r="O11" s="392"/>
      <c r="P11" s="392"/>
      <c r="Q11" s="393"/>
    </row>
    <row r="12" spans="2:17" x14ac:dyDescent="0.3">
      <c r="B12" s="47"/>
      <c r="C12" s="38"/>
      <c r="D12" s="38"/>
      <c r="E12" s="38"/>
      <c r="F12" s="38"/>
      <c r="G12" s="38"/>
      <c r="H12" s="38"/>
      <c r="I12" s="38"/>
      <c r="J12" s="38"/>
      <c r="K12" s="38"/>
      <c r="L12" s="38"/>
      <c r="M12" s="38"/>
      <c r="N12" s="38"/>
      <c r="O12" s="38"/>
      <c r="P12" s="38"/>
      <c r="Q12" s="48"/>
    </row>
    <row r="13" spans="2:17" x14ac:dyDescent="0.3">
      <c r="B13" s="394" t="s">
        <v>64</v>
      </c>
      <c r="C13" s="395"/>
      <c r="D13" s="395"/>
      <c r="E13" s="395"/>
      <c r="F13" s="395"/>
      <c r="G13" s="395"/>
      <c r="H13" s="395"/>
      <c r="I13" s="395"/>
      <c r="J13" s="395"/>
      <c r="K13" s="395"/>
      <c r="L13" s="395"/>
      <c r="M13" s="395"/>
      <c r="N13" s="395"/>
      <c r="O13" s="395"/>
      <c r="P13" s="395"/>
      <c r="Q13" s="396"/>
    </row>
    <row r="14" spans="2:17" x14ac:dyDescent="0.3">
      <c r="B14" s="47"/>
      <c r="C14" s="38"/>
      <c r="D14" s="38"/>
      <c r="E14" s="38"/>
      <c r="F14" s="38"/>
      <c r="G14" s="38"/>
      <c r="H14" s="38"/>
      <c r="I14" s="38"/>
      <c r="J14" s="38"/>
      <c r="K14" s="38"/>
      <c r="L14" s="49">
        <v>43831</v>
      </c>
      <c r="M14" s="49">
        <f>L14+366</f>
        <v>44197</v>
      </c>
      <c r="N14" s="49">
        <f t="shared" ref="N14:O14" si="0">M14+366</f>
        <v>44563</v>
      </c>
      <c r="O14" s="49">
        <f t="shared" si="0"/>
        <v>44929</v>
      </c>
      <c r="P14" s="64"/>
      <c r="Q14" s="48"/>
    </row>
    <row r="15" spans="2:17" x14ac:dyDescent="0.3">
      <c r="B15" s="47"/>
      <c r="C15" s="38"/>
      <c r="D15" s="38"/>
      <c r="E15" s="38"/>
      <c r="F15" s="38"/>
      <c r="G15" s="38"/>
      <c r="H15" s="38"/>
      <c r="I15" s="38"/>
      <c r="J15" s="38"/>
      <c r="K15" s="38"/>
      <c r="L15" s="38"/>
      <c r="M15" s="38"/>
      <c r="N15" s="38"/>
      <c r="O15" s="38"/>
      <c r="P15" s="38"/>
      <c r="Q15" s="48"/>
    </row>
    <row r="16" spans="2:17" x14ac:dyDescent="0.3">
      <c r="B16" s="47" t="s">
        <v>65</v>
      </c>
      <c r="C16" s="38"/>
      <c r="D16" s="38"/>
      <c r="E16" s="38"/>
      <c r="F16" s="38"/>
      <c r="G16" s="38"/>
      <c r="H16" s="38"/>
      <c r="I16" s="38"/>
      <c r="J16" s="38"/>
      <c r="K16" s="38"/>
      <c r="L16" s="39">
        <f>'NVIDIA Financials'!C34/'NVIDIA Financials'!C47</f>
        <v>7.6737668161434973</v>
      </c>
      <c r="M16" s="39">
        <f>'NVIDIA Financials'!D34/'NVIDIA Financials'!D47</f>
        <v>4.0904458598726112</v>
      </c>
      <c r="N16" s="39">
        <f>'NVIDIA Financials'!E34/'NVIDIA Financials'!E47</f>
        <v>6.6502883506343711</v>
      </c>
      <c r="O16" s="39">
        <f>'NVIDIA Financials'!F34/'NVIDIA Financials'!F47</f>
        <v>3.5156178576870332</v>
      </c>
      <c r="P16" s="38"/>
      <c r="Q16" s="48"/>
    </row>
    <row r="17" spans="2:17" x14ac:dyDescent="0.3">
      <c r="B17" s="47" t="s">
        <v>66</v>
      </c>
      <c r="C17" s="38"/>
      <c r="D17" s="38"/>
      <c r="E17" s="38"/>
      <c r="F17" s="38"/>
      <c r="G17" s="38"/>
      <c r="H17" s="38"/>
      <c r="I17" s="38"/>
      <c r="J17" s="38"/>
      <c r="K17" s="38"/>
      <c r="L17" s="39">
        <f>('NVIDIA Financials'!C34-'NVIDIA Financials'!C32)/'NVIDIA Financials'!C47</f>
        <v>7.125</v>
      </c>
      <c r="M17" s="39">
        <f>('NVIDIA Financials'!D34-'NVIDIA Financials'!D32)/'NVIDIA Financials'!D47</f>
        <v>3.6252229299363057</v>
      </c>
      <c r="N17" s="39">
        <f>('NVIDIA Financials'!E34-'NVIDIA Financials'!E32)/'NVIDIA Financials'!E47</f>
        <v>6.0493656286043826</v>
      </c>
      <c r="O17" s="39">
        <f>('NVIDIA Financials'!F34-'NVIDIA Financials'!F32)/'NVIDIA Financials'!F47</f>
        <v>2.7295444156635686</v>
      </c>
      <c r="P17" s="38"/>
      <c r="Q17" s="48"/>
    </row>
    <row r="18" spans="2:17" x14ac:dyDescent="0.3">
      <c r="B18" s="47" t="s">
        <v>67</v>
      </c>
      <c r="C18" s="38"/>
      <c r="D18" s="38"/>
      <c r="E18" s="38"/>
      <c r="F18" s="38"/>
      <c r="G18" s="38"/>
      <c r="H18" s="38"/>
      <c r="I18" s="38"/>
      <c r="J18" s="38"/>
      <c r="K18" s="38"/>
      <c r="L18" s="39">
        <f>('NVIDIA Financials'!C29+'NVIDIA Financials'!C30)/'NVIDIA Financials'!C47</f>
        <v>6.1081838565022419</v>
      </c>
      <c r="M18" s="39">
        <f>('NVIDIA Financials'!D29+'NVIDIA Financials'!D30)/'NVIDIA Financials'!D47</f>
        <v>2.9454777070063694</v>
      </c>
      <c r="N18" s="39">
        <f>('NVIDIA Financials'!E29+'NVIDIA Financials'!E30)/'NVIDIA Financials'!E47</f>
        <v>4.8922722029988464</v>
      </c>
      <c r="O18" s="39">
        <f>('NVIDIA Financials'!F29+'NVIDIA Financials'!F30)/'NVIDIA Financials'!F47</f>
        <v>2.025902788358982</v>
      </c>
      <c r="P18" s="38"/>
      <c r="Q18" s="48"/>
    </row>
    <row r="19" spans="2:17" x14ac:dyDescent="0.3">
      <c r="B19" s="47"/>
      <c r="C19" s="38"/>
      <c r="D19" s="38"/>
      <c r="E19" s="38"/>
      <c r="F19" s="38"/>
      <c r="G19" s="38"/>
      <c r="H19" s="38"/>
      <c r="I19" s="38"/>
      <c r="J19" s="38"/>
      <c r="K19" s="38"/>
      <c r="L19" s="38"/>
      <c r="M19" s="38"/>
      <c r="N19" s="38"/>
      <c r="O19" s="38"/>
      <c r="P19" s="38"/>
      <c r="Q19" s="48"/>
    </row>
    <row r="20" spans="2:17" x14ac:dyDescent="0.3">
      <c r="B20" s="394" t="s">
        <v>116</v>
      </c>
      <c r="C20" s="395"/>
      <c r="D20" s="395"/>
      <c r="E20" s="395"/>
      <c r="F20" s="395"/>
      <c r="G20" s="395"/>
      <c r="H20" s="395"/>
      <c r="I20" s="395"/>
      <c r="J20" s="395"/>
      <c r="K20" s="395"/>
      <c r="L20" s="395"/>
      <c r="M20" s="395"/>
      <c r="N20" s="395"/>
      <c r="O20" s="395"/>
      <c r="P20" s="395"/>
      <c r="Q20" s="396"/>
    </row>
    <row r="21" spans="2:17" x14ac:dyDescent="0.3">
      <c r="B21" s="47"/>
      <c r="C21" s="38"/>
      <c r="D21" s="38"/>
      <c r="E21" s="38"/>
      <c r="F21" s="38"/>
      <c r="G21" s="38"/>
      <c r="H21" s="38"/>
      <c r="I21" s="38"/>
      <c r="J21" s="38"/>
      <c r="K21" s="38"/>
      <c r="L21" s="49">
        <f>L14</f>
        <v>43831</v>
      </c>
      <c r="M21" s="49">
        <f t="shared" ref="M21:O21" si="1">M14</f>
        <v>44197</v>
      </c>
      <c r="N21" s="49">
        <f t="shared" si="1"/>
        <v>44563</v>
      </c>
      <c r="O21" s="49">
        <f t="shared" si="1"/>
        <v>44929</v>
      </c>
      <c r="P21" s="38"/>
      <c r="Q21" s="48"/>
    </row>
    <row r="22" spans="2:17" x14ac:dyDescent="0.3">
      <c r="B22" s="47" t="s">
        <v>117</v>
      </c>
      <c r="C22" s="38"/>
      <c r="D22" s="38"/>
      <c r="E22" s="38"/>
      <c r="F22" s="38"/>
      <c r="G22" s="38"/>
      <c r="H22" s="38"/>
      <c r="I22" s="38"/>
      <c r="J22" s="38"/>
      <c r="K22" s="38"/>
      <c r="L22" s="39">
        <f>('NVIDIA Financials'!C45+'NVIDIA Financials'!C48)/'NVIDIA Financials'!C42</f>
        <v>0.11498700548657234</v>
      </c>
      <c r="M22" s="39">
        <f>('NVIDIA Financials'!D45+'NVIDIA Financials'!D48)/'NVIDIA Financials'!D42</f>
        <v>0.24184641033656351</v>
      </c>
      <c r="N22" s="39">
        <f>('NVIDIA Financials'!E45+'NVIDIA Financials'!E48)/'NVIDIA Financials'!E42</f>
        <v>0.24771991762283024</v>
      </c>
      <c r="O22" s="39">
        <f>('NVIDIA Financials'!F45+'NVIDIA Financials'!F48)/'NVIDIA Financials'!F42</f>
        <v>0.26596571317565926</v>
      </c>
      <c r="P22" s="38"/>
      <c r="Q22" s="48"/>
    </row>
    <row r="23" spans="2:17" x14ac:dyDescent="0.3">
      <c r="B23" s="47" t="s">
        <v>118</v>
      </c>
      <c r="C23" s="38"/>
      <c r="D23" s="38"/>
      <c r="E23" s="38"/>
      <c r="F23" s="38"/>
      <c r="G23" s="38"/>
      <c r="H23" s="38"/>
      <c r="I23" s="38"/>
      <c r="J23" s="38"/>
      <c r="K23" s="38"/>
      <c r="L23" s="39">
        <f>('NVIDIA Financials'!C45+'NVIDIA Financials'!C48)/'NVIDIA Financials'!C60</f>
        <v>0.16314323172730252</v>
      </c>
      <c r="M23" s="39">
        <f>('NVIDIA Financials'!D45+'NVIDIA Financials'!D48)/'NVIDIA Financials'!D60</f>
        <v>0.41218256082400995</v>
      </c>
      <c r="N23" s="39">
        <f>('NVIDIA Financials'!E45+'NVIDIA Financials'!E48)/'NVIDIA Financials'!E60</f>
        <v>0.41131820231474525</v>
      </c>
      <c r="O23" s="39">
        <f>('NVIDIA Financials'!F45+'NVIDIA Financials'!F48)/'NVIDIA Financials'!F60</f>
        <v>0.49558843491244742</v>
      </c>
      <c r="P23" s="38"/>
      <c r="Q23" s="48"/>
    </row>
    <row r="24" spans="2:17" x14ac:dyDescent="0.3">
      <c r="B24" s="47" t="s">
        <v>120</v>
      </c>
      <c r="C24" s="38"/>
      <c r="D24" s="38"/>
      <c r="E24" s="38"/>
      <c r="F24" s="38"/>
      <c r="G24" s="38"/>
      <c r="H24" s="38"/>
      <c r="I24" s="38"/>
      <c r="J24" s="38"/>
      <c r="K24" s="38"/>
      <c r="L24" s="39">
        <f>L23/(1+L23)</f>
        <v>0.1402606551602677</v>
      </c>
      <c r="M24" s="39">
        <f t="shared" ref="M24:O24" si="2">M23/(1+M23)</f>
        <v>0.29187625754527163</v>
      </c>
      <c r="N24" s="39">
        <f t="shared" si="2"/>
        <v>0.29144256882688108</v>
      </c>
      <c r="O24" s="39">
        <f t="shared" si="2"/>
        <v>0.33136685423851875</v>
      </c>
      <c r="P24" s="38"/>
      <c r="Q24" s="48"/>
    </row>
    <row r="25" spans="2:17" x14ac:dyDescent="0.3">
      <c r="B25" s="47" t="s">
        <v>121</v>
      </c>
      <c r="C25" s="38"/>
      <c r="D25" s="38"/>
      <c r="E25" s="38"/>
      <c r="F25" s="38"/>
      <c r="G25" s="38"/>
      <c r="H25" s="38"/>
      <c r="I25" s="38"/>
      <c r="J25" s="38"/>
      <c r="K25" s="38"/>
      <c r="L25" s="39">
        <f>('NVIDIA Financials'!C15+'NVIDIA Financials'!C67)/'NVIDIA Financials'!C16</f>
        <v>65.442307692307693</v>
      </c>
      <c r="M25" s="39">
        <f>('NVIDIA Financials'!D15+'NVIDIA Financials'!D67)/'NVIDIA Financials'!D16</f>
        <v>30.929347826086957</v>
      </c>
      <c r="N25" s="39">
        <f>('NVIDIA Financials'!E15+'NVIDIA Financials'!E67)/'NVIDIA Financials'!E16</f>
        <v>48.097457627118644</v>
      </c>
      <c r="O25" s="39">
        <f>('NVIDIA Financials'!F15+'NVIDIA Financials'!F67)/'NVIDIA Financials'!F16</f>
        <v>22.851145038167939</v>
      </c>
      <c r="P25" s="38"/>
      <c r="Q25" s="48"/>
    </row>
    <row r="26" spans="2:17" x14ac:dyDescent="0.3">
      <c r="B26" s="47" t="s">
        <v>119</v>
      </c>
      <c r="C26" s="38"/>
      <c r="D26" s="38"/>
      <c r="E26" s="38"/>
      <c r="F26" s="38"/>
      <c r="G26" s="38"/>
      <c r="H26" s="38"/>
      <c r="I26" s="38"/>
      <c r="J26" s="38"/>
      <c r="K26" s="38"/>
      <c r="L26" s="39">
        <f>'NVIDIA Financials'!C42/'NVIDIA Financials'!C60</f>
        <v>1.4187971156997705</v>
      </c>
      <c r="M26" s="39">
        <f>'NVIDIA Financials'!D42/'NVIDIA Financials'!D60</f>
        <v>1.7043153969099627</v>
      </c>
      <c r="N26" s="39">
        <f>'NVIDIA Financials'!E42/'NVIDIA Financials'!E60</f>
        <v>1.6604163535247256</v>
      </c>
      <c r="O26" s="39">
        <f>'NVIDIA Financials'!F42/'NVIDIA Financials'!F60</f>
        <v>1.8633545993393965</v>
      </c>
      <c r="P26" s="38"/>
      <c r="Q26" s="48"/>
    </row>
    <row r="27" spans="2:17" x14ac:dyDescent="0.3">
      <c r="B27" s="47" t="s">
        <v>193</v>
      </c>
      <c r="C27" s="38"/>
      <c r="D27" s="38"/>
      <c r="E27" s="38"/>
      <c r="F27" s="38"/>
      <c r="G27" s="38"/>
      <c r="H27" s="38"/>
      <c r="I27" s="38"/>
      <c r="J27" s="38"/>
      <c r="K27" s="38"/>
      <c r="L27" s="39">
        <f>'NVIDIA Financials'!C74/('NVIDIA Financials'!C45+'NVIDIA Financials'!C48)</f>
        <v>2.3912606730286288</v>
      </c>
      <c r="M27" s="39">
        <f>'NVIDIA Financials'!D74/('NVIDIA Financials'!D45+'NVIDIA Financials'!D48)</f>
        <v>0.83613385035185983</v>
      </c>
      <c r="N27" s="39">
        <f>'NVIDIA Financials'!E74/('NVIDIA Financials'!E45+'NVIDIA Financials'!E48)</f>
        <v>0.8320847798282478</v>
      </c>
      <c r="O27" s="39">
        <f>'NVIDIA Financials'!F74/('NVIDIA Financials'!F45+'NVIDIA Financials'!F48)</f>
        <v>0.51501871633342466</v>
      </c>
      <c r="P27" s="38"/>
      <c r="Q27" s="48"/>
    </row>
    <row r="28" spans="2:17" x14ac:dyDescent="0.3">
      <c r="B28" s="47"/>
      <c r="C28" s="38"/>
      <c r="D28" s="38"/>
      <c r="E28" s="38"/>
      <c r="F28" s="38"/>
      <c r="G28" s="38"/>
      <c r="H28" s="38"/>
      <c r="I28" s="38"/>
      <c r="J28" s="38"/>
      <c r="K28" s="38"/>
      <c r="L28" s="38"/>
      <c r="M28" s="38"/>
      <c r="N28" s="38"/>
      <c r="O28" s="38"/>
      <c r="P28" s="38"/>
      <c r="Q28" s="48"/>
    </row>
    <row r="29" spans="2:17" x14ac:dyDescent="0.3">
      <c r="B29" s="385" t="s">
        <v>122</v>
      </c>
      <c r="C29" s="386"/>
      <c r="D29" s="386"/>
      <c r="E29" s="386"/>
      <c r="F29" s="386"/>
      <c r="G29" s="386"/>
      <c r="H29" s="386"/>
      <c r="I29" s="386"/>
      <c r="J29" s="386"/>
      <c r="K29" s="386"/>
      <c r="L29" s="386"/>
      <c r="M29" s="386"/>
      <c r="N29" s="386"/>
      <c r="O29" s="386"/>
      <c r="P29" s="386"/>
      <c r="Q29" s="387"/>
    </row>
    <row r="30" spans="2:17" x14ac:dyDescent="0.3">
      <c r="B30" s="47"/>
      <c r="C30" s="38"/>
      <c r="D30" s="38"/>
      <c r="E30" s="38"/>
      <c r="F30" s="38"/>
      <c r="G30" s="38"/>
      <c r="H30" s="38"/>
      <c r="I30" s="38"/>
      <c r="J30" s="38"/>
      <c r="K30" s="38"/>
      <c r="L30" s="49">
        <f>L21</f>
        <v>43831</v>
      </c>
      <c r="M30" s="49">
        <f t="shared" ref="M30:O30" si="3">M21</f>
        <v>44197</v>
      </c>
      <c r="N30" s="49">
        <f t="shared" si="3"/>
        <v>44563</v>
      </c>
      <c r="O30" s="49">
        <f t="shared" si="3"/>
        <v>44929</v>
      </c>
      <c r="P30" s="38"/>
      <c r="Q30" s="48"/>
    </row>
    <row r="31" spans="2:17" x14ac:dyDescent="0.3">
      <c r="B31" s="47"/>
      <c r="C31" s="38"/>
      <c r="D31" s="38"/>
      <c r="E31" s="38"/>
      <c r="F31" s="38"/>
      <c r="G31" s="38"/>
      <c r="H31" s="38"/>
      <c r="I31" s="38"/>
      <c r="J31" s="38"/>
      <c r="K31" s="38"/>
      <c r="L31" s="38"/>
      <c r="M31" s="38"/>
      <c r="N31" s="38"/>
      <c r="O31" s="38"/>
      <c r="P31" s="38"/>
      <c r="Q31" s="48"/>
    </row>
    <row r="32" spans="2:17" x14ac:dyDescent="0.3">
      <c r="B32" s="47" t="s">
        <v>123</v>
      </c>
      <c r="C32" s="38"/>
      <c r="D32" s="38"/>
      <c r="E32" s="38"/>
      <c r="F32" s="38"/>
      <c r="G32" s="38"/>
      <c r="H32" s="38"/>
      <c r="I32" s="38"/>
      <c r="J32" s="38"/>
      <c r="K32" s="38"/>
      <c r="L32" s="39">
        <f>'NVIDIA Financials'!C5/'NVIDIA Financials'!C42</f>
        <v>0.63055154490326304</v>
      </c>
      <c r="M32" s="39">
        <f>'NVIDIA Financials'!D5/'NVIDIA Financials'!D42</f>
        <v>0.57917404744538226</v>
      </c>
      <c r="N32" s="39">
        <f>'NVIDIA Financials'!E5/'NVIDIA Financials'!E42</f>
        <v>0.60909317219996828</v>
      </c>
      <c r="O32" s="39">
        <f>'NVIDIA Financials'!F5/'NVIDIA Financials'!F42</f>
        <v>0.65499490068476518</v>
      </c>
      <c r="P32" s="38"/>
      <c r="Q32" s="48"/>
    </row>
    <row r="33" spans="2:17" x14ac:dyDescent="0.3">
      <c r="B33" s="47" t="s">
        <v>124</v>
      </c>
      <c r="C33" s="38"/>
      <c r="D33" s="38"/>
      <c r="E33" s="38"/>
      <c r="F33" s="38"/>
      <c r="G33" s="38"/>
      <c r="H33" s="38"/>
      <c r="I33" s="38"/>
      <c r="J33" s="38"/>
      <c r="K33" s="38"/>
      <c r="L33" s="39">
        <f>'NVIDIA Financials'!C5/('NVIDIA Financials'!C34-'NVIDIA Financials'!C47)</f>
        <v>0.91701663027045188</v>
      </c>
      <c r="M33" s="39">
        <f>'NVIDIA Financials'!D5/('NVIDIA Financials'!D34-'NVIDIA Financials'!D47)</f>
        <v>1.3746908491343777</v>
      </c>
      <c r="N33" s="39">
        <f>'NVIDIA Financials'!E5/('NVIDIA Financials'!E34-'NVIDIA Financials'!E47)</f>
        <v>1.0987997060504613</v>
      </c>
      <c r="O33" s="39">
        <f>'NVIDIA Financials'!F5/('NVIDIA Financials'!F34-'NVIDIA Financials'!F47)</f>
        <v>1.6337976983646274</v>
      </c>
      <c r="P33" s="38"/>
      <c r="Q33" s="48"/>
    </row>
    <row r="34" spans="2:17" x14ac:dyDescent="0.3">
      <c r="B34" s="47" t="s">
        <v>125</v>
      </c>
      <c r="C34" s="38"/>
      <c r="D34" s="38"/>
      <c r="E34" s="38"/>
      <c r="F34" s="38"/>
      <c r="G34" s="38"/>
      <c r="H34" s="38"/>
      <c r="I34" s="38"/>
      <c r="J34" s="38"/>
      <c r="K34" s="38"/>
      <c r="L34" s="39">
        <f>'NVIDIA Financials'!C6/'NVIDIA Financials'!C32</f>
        <v>4.2390194075587333</v>
      </c>
      <c r="M34" s="39">
        <f>'NVIDIA Financials'!D6/'NVIDIA Financials'!D32</f>
        <v>3.4386637458926614</v>
      </c>
      <c r="N34" s="39">
        <f>'NVIDIA Financials'!E6/'NVIDIA Financials'!E32</f>
        <v>3.6234165067178501</v>
      </c>
      <c r="O34" s="39">
        <f>'NVIDIA Financials'!F6/'NVIDIA Financials'!F32</f>
        <v>2.2519868191509982</v>
      </c>
      <c r="P34" s="38"/>
      <c r="Q34" s="48"/>
    </row>
    <row r="35" spans="2:17" x14ac:dyDescent="0.3">
      <c r="B35" s="47" t="s">
        <v>126</v>
      </c>
      <c r="C35" s="38"/>
      <c r="D35" s="38"/>
      <c r="E35" s="38"/>
      <c r="F35" s="38"/>
      <c r="G35" s="38"/>
      <c r="H35" s="38"/>
      <c r="I35" s="38"/>
      <c r="J35" s="38"/>
      <c r="K35" s="38"/>
      <c r="L35" s="39">
        <f>'NVIDIA Financials'!C5/'NVIDIA Financials'!C31</f>
        <v>6.5890162945081476</v>
      </c>
      <c r="M35" s="39">
        <f>'NVIDIA Financials'!D5/'NVIDIA Financials'!D31</f>
        <v>6.8649650061753809</v>
      </c>
      <c r="N35" s="39">
        <f>'NVIDIA Financials'!E5/'NVIDIA Financials'!E31</f>
        <v>5.7879569892473119</v>
      </c>
      <c r="O35" s="39">
        <f>'NVIDIA Financials'!F5/'NVIDIA Financials'!F31</f>
        <v>7.0483407368696103</v>
      </c>
      <c r="P35" s="38"/>
      <c r="Q35" s="48"/>
    </row>
    <row r="36" spans="2:17" x14ac:dyDescent="0.3">
      <c r="B36" s="47"/>
      <c r="C36" s="38"/>
      <c r="D36" s="38"/>
      <c r="E36" s="38"/>
      <c r="F36" s="38"/>
      <c r="G36" s="38"/>
      <c r="H36" s="38"/>
      <c r="I36" s="38"/>
      <c r="J36" s="38"/>
      <c r="K36" s="38"/>
      <c r="L36" s="38"/>
      <c r="M36" s="38"/>
      <c r="N36" s="38"/>
      <c r="O36" s="38"/>
      <c r="P36" s="38"/>
      <c r="Q36" s="48"/>
    </row>
    <row r="37" spans="2:17" x14ac:dyDescent="0.3">
      <c r="B37" s="385" t="s">
        <v>131</v>
      </c>
      <c r="C37" s="386"/>
      <c r="D37" s="386"/>
      <c r="E37" s="386"/>
      <c r="F37" s="386"/>
      <c r="G37" s="386"/>
      <c r="H37" s="386"/>
      <c r="I37" s="386"/>
      <c r="J37" s="386"/>
      <c r="K37" s="386"/>
      <c r="L37" s="386"/>
      <c r="M37" s="386"/>
      <c r="N37" s="386"/>
      <c r="O37" s="386"/>
      <c r="P37" s="386"/>
      <c r="Q37" s="387"/>
    </row>
    <row r="38" spans="2:17" x14ac:dyDescent="0.3">
      <c r="B38" s="47"/>
      <c r="E38" s="38"/>
      <c r="F38" s="38"/>
      <c r="G38" s="38"/>
      <c r="H38" s="38"/>
      <c r="I38" s="38"/>
      <c r="J38" s="38"/>
      <c r="K38" s="38"/>
      <c r="L38" s="49">
        <f>L30</f>
        <v>43831</v>
      </c>
      <c r="M38" s="49">
        <f>M30</f>
        <v>44197</v>
      </c>
      <c r="N38" s="49">
        <f>N30</f>
        <v>44563</v>
      </c>
      <c r="O38" s="49">
        <f>O30</f>
        <v>44929</v>
      </c>
      <c r="P38" s="38"/>
      <c r="Q38" s="48"/>
    </row>
    <row r="39" spans="2:17" x14ac:dyDescent="0.3">
      <c r="B39" s="47" t="s">
        <v>132</v>
      </c>
      <c r="C39" s="38"/>
      <c r="D39" s="38"/>
      <c r="E39" s="38"/>
      <c r="F39" s="38"/>
      <c r="G39" s="38"/>
      <c r="H39" s="38"/>
      <c r="I39" s="38"/>
      <c r="J39" s="38"/>
      <c r="K39" s="38"/>
      <c r="L39" s="67">
        <f>'NVIDIA Financials'!F23/'NVIDIA Financials'!F60</f>
        <v>0.19763811592235644</v>
      </c>
      <c r="M39" s="67">
        <f>'NVIDIA Financials'!E23/'NVIDIA Financials'!E60</f>
        <v>0.36645122501127309</v>
      </c>
      <c r="N39" s="67">
        <f>'NVIDIA Financials'!D23/'NVIDIA Financials'!D60</f>
        <v>0.25643757769490322</v>
      </c>
      <c r="O39" s="67">
        <f>'NVIDIA Financials'!C23/'NVIDIA Financials'!C60</f>
        <v>0.22910521140609635</v>
      </c>
      <c r="P39" s="38"/>
      <c r="Q39" s="48"/>
    </row>
    <row r="40" spans="2:17" x14ac:dyDescent="0.3">
      <c r="B40" s="47" t="s">
        <v>133</v>
      </c>
      <c r="C40" s="38"/>
      <c r="D40" s="38"/>
      <c r="E40" s="38"/>
      <c r="F40" s="38"/>
      <c r="G40" s="38"/>
      <c r="H40" s="38"/>
      <c r="I40" s="38"/>
      <c r="J40" s="38"/>
      <c r="K40" s="38"/>
      <c r="L40" s="67">
        <f>'NVIDIA Financials'!F23/'NVIDIA Financials'!F42</f>
        <v>0.10606575688407557</v>
      </c>
      <c r="M40" s="67">
        <f>'NVIDIA Financials'!E23/'NVIDIA Financials'!E42</f>
        <v>0.22069839545567702</v>
      </c>
      <c r="N40" s="67">
        <f>'NVIDIA Financials'!D23/'NVIDIA Financials'!D42</f>
        <v>0.15046368656871939</v>
      </c>
      <c r="O40" s="67">
        <f>'NVIDIA Financials'!C23/'NVIDIA Financials'!C42</f>
        <v>0.16147848686110308</v>
      </c>
      <c r="P40" s="38"/>
      <c r="Q40" s="48"/>
    </row>
    <row r="41" spans="2:17" x14ac:dyDescent="0.3">
      <c r="B41" s="47" t="s">
        <v>134</v>
      </c>
      <c r="C41" s="38"/>
      <c r="D41" s="38"/>
      <c r="E41" s="38"/>
      <c r="F41" s="38"/>
      <c r="G41" s="38"/>
      <c r="H41" s="38"/>
      <c r="I41" s="38"/>
      <c r="J41" s="38"/>
      <c r="K41" s="38"/>
      <c r="L41" s="67">
        <f>'NVIDIA Financials'!F23/('NVIDIA Financials'!F45+'NVIDIA Financials'!F48+'NVIDIA Financials'!F60)</f>
        <v>0.13214739517153748</v>
      </c>
      <c r="M41" s="67">
        <f>'NVIDIA Financials'!E23/('NVIDIA Financials'!E45+'NVIDIA Financials'!E48+'NVIDIA Financials'!E60)</f>
        <v>0.25965173864423025</v>
      </c>
      <c r="N41" s="67">
        <f>'NVIDIA Financials'!D23/('NVIDIA Financials'!D45+'NVIDIA Financials'!D48+'NVIDIA Financials'!D60)</f>
        <v>0.18158953722334004</v>
      </c>
      <c r="O41" s="67">
        <f>'NVIDIA Financials'!C23/('NVIDIA Financials'!C45+'NVIDIA Financials'!C48+'NVIDIA Financials'!C60)</f>
        <v>0.19697076435364566</v>
      </c>
      <c r="P41" s="38"/>
      <c r="Q41" s="48"/>
    </row>
    <row r="42" spans="2:17" x14ac:dyDescent="0.3">
      <c r="B42" s="47" t="s">
        <v>135</v>
      </c>
      <c r="C42" s="38"/>
      <c r="D42" s="38"/>
      <c r="E42" s="38"/>
      <c r="F42" s="38"/>
      <c r="G42" s="38"/>
      <c r="H42" s="38"/>
      <c r="I42" s="38"/>
      <c r="J42" s="38"/>
      <c r="K42" s="38"/>
      <c r="L42" s="67">
        <f>'NVIDIA Financials'!F23/('NVIDIA Financials'!F37+'NVIDIA Financials'!F34-'NVIDIA Financials'!F47)</f>
        <v>0.20454226176539453</v>
      </c>
      <c r="M42" s="67">
        <f>'NVIDIA Financials'!E23/('NVIDIA Financials'!E37+'NVIDIA Financials'!E34-'NVIDIA Financials'!E47)</f>
        <v>0.34703391338386536</v>
      </c>
      <c r="N42" s="67">
        <f>'NVIDIA Financials'!D23/('NVIDIA Financials'!D37+'NVIDIA Financials'!D34-'NVIDIA Financials'!D47)</f>
        <v>0.28906979847858</v>
      </c>
      <c r="O42" s="67">
        <f>'NVIDIA Financials'!C23/('NVIDIA Financials'!C37+'NVIDIA Financials'!C34-'NVIDIA Financials'!C47)</f>
        <v>0.19692914494999295</v>
      </c>
      <c r="P42" s="38"/>
      <c r="Q42" s="48"/>
    </row>
    <row r="43" spans="2:17" x14ac:dyDescent="0.3">
      <c r="B43" s="47" t="s">
        <v>136</v>
      </c>
      <c r="C43" s="38"/>
      <c r="D43" s="38"/>
      <c r="E43" s="38"/>
      <c r="F43" s="38"/>
      <c r="G43" s="38"/>
      <c r="H43" s="38"/>
      <c r="I43" s="38"/>
      <c r="J43" s="38"/>
      <c r="K43" s="38"/>
      <c r="L43" s="67">
        <f>('NVIDIA Financials'!F15+'NVIDIA Financials'!F67)/'NVIDIA Financials'!F5</f>
        <v>0.22195447467932083</v>
      </c>
      <c r="M43" s="67">
        <f>('NVIDIA Financials'!E15+'NVIDIA Financials'!E67)/'NVIDIA Financials'!E5</f>
        <v>0.42175076168536824</v>
      </c>
      <c r="N43" s="67">
        <f>('NVIDIA Financials'!D15+'NVIDIA Financials'!D67)/'NVIDIA Financials'!D5</f>
        <v>0.34128935532233884</v>
      </c>
      <c r="O43" s="67">
        <f>('NVIDIA Financials'!C15+'NVIDIA Financials'!C67)/'NVIDIA Financials'!C5</f>
        <v>0.3116871221835501</v>
      </c>
      <c r="P43" s="38"/>
      <c r="Q43" s="48"/>
    </row>
    <row r="44" spans="2:17" x14ac:dyDescent="0.3">
      <c r="B44" s="47" t="s">
        <v>137</v>
      </c>
      <c r="C44" s="38"/>
      <c r="D44" s="38"/>
      <c r="E44" s="38"/>
      <c r="F44" s="38"/>
      <c r="G44" s="38"/>
      <c r="H44" s="38"/>
      <c r="I44" s="38"/>
      <c r="J44" s="38"/>
      <c r="K44" s="38"/>
      <c r="L44" s="67">
        <f>'NVIDIA Financials'!F23/'NVIDIA Financials'!F5</f>
        <v>0.16193371394676356</v>
      </c>
      <c r="M44" s="67">
        <f>'NVIDIA Financials'!E23/'NVIDIA Financials'!E5</f>
        <v>0.36233930296499961</v>
      </c>
      <c r="N44" s="67">
        <f>'NVIDIA Financials'!D23/'NVIDIA Financials'!D5</f>
        <v>0.25979010494752625</v>
      </c>
      <c r="O44" s="67">
        <f>'NVIDIA Financials'!C23/'NVIDIA Financials'!C5</f>
        <v>0.25609085913170909</v>
      </c>
      <c r="P44" s="38"/>
      <c r="Q44" s="48"/>
    </row>
    <row r="45" spans="2:17" x14ac:dyDescent="0.3">
      <c r="B45" s="47"/>
      <c r="C45" s="38"/>
      <c r="D45" s="38"/>
      <c r="E45" s="38"/>
      <c r="F45" s="38"/>
      <c r="G45" s="38"/>
      <c r="H45" s="38"/>
      <c r="I45" s="38"/>
      <c r="J45" s="38"/>
      <c r="K45" s="38"/>
      <c r="L45" s="38"/>
      <c r="M45" s="38"/>
      <c r="N45" s="38"/>
      <c r="O45" s="38"/>
      <c r="P45" s="38"/>
      <c r="Q45" s="48"/>
    </row>
    <row r="46" spans="2:17" x14ac:dyDescent="0.3">
      <c r="B46" s="385" t="s">
        <v>127</v>
      </c>
      <c r="C46" s="386"/>
      <c r="D46" s="386"/>
      <c r="E46" s="386"/>
      <c r="F46" s="386"/>
      <c r="G46" s="386"/>
      <c r="H46" s="386"/>
      <c r="I46" s="386"/>
      <c r="J46" s="386"/>
      <c r="K46" s="386"/>
      <c r="L46" s="386"/>
      <c r="M46" s="386"/>
      <c r="N46" s="386"/>
      <c r="O46" s="386"/>
      <c r="P46" s="386"/>
      <c r="Q46" s="387"/>
    </row>
    <row r="47" spans="2:17" x14ac:dyDescent="0.3">
      <c r="B47" s="47"/>
      <c r="C47" s="38"/>
      <c r="D47" s="38"/>
      <c r="E47" s="38"/>
      <c r="F47" s="38"/>
      <c r="G47" s="38"/>
      <c r="H47" s="38"/>
      <c r="I47" s="38"/>
      <c r="J47" s="38"/>
      <c r="K47" s="38"/>
      <c r="L47" s="49">
        <f>L38</f>
        <v>43831</v>
      </c>
      <c r="M47" s="49">
        <f t="shared" ref="M47:O47" si="4">M38</f>
        <v>44197</v>
      </c>
      <c r="N47" s="49">
        <f t="shared" si="4"/>
        <v>44563</v>
      </c>
      <c r="O47" s="49">
        <f t="shared" si="4"/>
        <v>44929</v>
      </c>
      <c r="P47" s="49"/>
      <c r="Q47" s="48"/>
    </row>
    <row r="48" spans="2:17" x14ac:dyDescent="0.3">
      <c r="B48" s="47" t="s">
        <v>128</v>
      </c>
      <c r="C48" s="38"/>
      <c r="D48" s="38"/>
      <c r="E48" s="38"/>
      <c r="F48" s="38"/>
      <c r="G48" s="38"/>
      <c r="H48" s="38"/>
      <c r="I48" s="38"/>
      <c r="J48" s="38"/>
      <c r="K48" s="38"/>
      <c r="L48" s="39">
        <f>'NVIDIA Financials'!C24/'NVIDIA Financials'!C5</f>
        <v>29.606154973438358</v>
      </c>
      <c r="M48" s="39">
        <f>'NVIDIA Financials'!D24/'NVIDIA Financials'!D5</f>
        <v>44.094152923538232</v>
      </c>
      <c r="N48" s="39">
        <f>'NVIDIA Financials'!E24/'NVIDIA Financials'!E5</f>
        <v>13.531247677788512</v>
      </c>
      <c r="O48" s="39">
        <f>'NVIDIA Financials'!F24/'NVIDIA Financials'!F5</f>
        <v>38.703937124638543</v>
      </c>
      <c r="P48" s="38"/>
      <c r="Q48" s="48"/>
    </row>
    <row r="49" spans="2:17" x14ac:dyDescent="0.3">
      <c r="B49" s="47" t="s">
        <v>129</v>
      </c>
      <c r="C49" s="38"/>
      <c r="D49" s="38"/>
      <c r="E49" s="38"/>
      <c r="F49" s="38"/>
      <c r="G49" s="38"/>
      <c r="H49" s="38"/>
      <c r="I49" s="38"/>
      <c r="J49" s="38"/>
      <c r="K49" s="38"/>
      <c r="L49" s="39">
        <f>'NVIDIA Financials'!C24/'NVIDIA Financials'!C23</f>
        <v>115.60801144492132</v>
      </c>
      <c r="M49" s="39">
        <f>'NVIDIA Financials'!D24/'NVIDIA Financials'!D23</f>
        <v>169.72991689750694</v>
      </c>
      <c r="N49" s="39">
        <f>'NVIDIA Financials'!E24/'NVIDIA Financials'!E23</f>
        <v>37.344134536505329</v>
      </c>
      <c r="O49" s="39">
        <f>'NVIDIA Financials'!F24/'NVIDIA Financials'!F23</f>
        <v>239.01098901098902</v>
      </c>
      <c r="P49" s="38"/>
      <c r="Q49" s="48"/>
    </row>
    <row r="50" spans="2:17" x14ac:dyDescent="0.3">
      <c r="B50" s="47" t="s">
        <v>140</v>
      </c>
      <c r="C50" s="38"/>
      <c r="D50" s="38"/>
      <c r="E50" s="38"/>
      <c r="F50" s="38"/>
      <c r="G50" s="38"/>
      <c r="H50" s="38"/>
      <c r="I50" s="38"/>
      <c r="J50" s="38"/>
      <c r="K50" s="38"/>
      <c r="L50" s="39">
        <f>'NVIDIA Financials'!C24/'NVIDIA Financials'!C74</f>
        <v>67.893299726948115</v>
      </c>
      <c r="M50" s="39">
        <f>'NVIDIA Financials'!D24/'NVIDIA Financials'!D74</f>
        <v>126.29165235314325</v>
      </c>
      <c r="N50" s="39">
        <f>'NVIDIA Financials'!E24/'NVIDIA Financials'!E74</f>
        <v>39.984628897672373</v>
      </c>
      <c r="O50" s="39">
        <f>'NVIDIA Financials'!F24/'NVIDIA Financials'!F74</f>
        <v>185.07356851622052</v>
      </c>
      <c r="P50" s="38"/>
      <c r="Q50" s="48"/>
    </row>
    <row r="51" spans="2:17" x14ac:dyDescent="0.3">
      <c r="B51" s="47" t="s">
        <v>130</v>
      </c>
      <c r="C51" s="38"/>
      <c r="D51" s="38"/>
      <c r="E51" s="38"/>
      <c r="F51" s="38"/>
      <c r="G51" s="38"/>
      <c r="H51" s="38"/>
      <c r="I51" s="38"/>
      <c r="J51" s="38"/>
      <c r="K51" s="38"/>
      <c r="L51" s="39">
        <f>'NVIDIA Financials'!C24/'NVIDIA Financials'!C60</f>
        <v>26.486397902327106</v>
      </c>
      <c r="M51" s="39">
        <f>'NVIDIA Financials'!D24/'NVIDIA Financials'!D60</f>
        <v>43.5251287515539</v>
      </c>
      <c r="N51" s="39">
        <f>'NVIDIA Financials'!E24/'NVIDIA Financials'!E60</f>
        <v>13.684803847888171</v>
      </c>
      <c r="O51" s="39">
        <f>'NVIDIA Financials'!F24/'NVIDIA Financials'!F60</f>
        <v>47.23768155287091</v>
      </c>
      <c r="P51" s="38"/>
      <c r="Q51" s="48"/>
    </row>
    <row r="52" spans="2:17" x14ac:dyDescent="0.3">
      <c r="B52" s="47"/>
      <c r="C52" s="38"/>
      <c r="D52" s="38"/>
      <c r="E52" s="38"/>
      <c r="F52" s="38"/>
      <c r="G52" s="38"/>
      <c r="H52" s="38"/>
      <c r="I52" s="38"/>
      <c r="J52" s="38"/>
      <c r="K52" s="38"/>
      <c r="L52" s="38"/>
      <c r="M52" s="38"/>
      <c r="N52" s="38"/>
      <c r="O52" s="38"/>
      <c r="P52" s="38"/>
      <c r="Q52" s="48"/>
    </row>
    <row r="53" spans="2:17" x14ac:dyDescent="0.3">
      <c r="B53" s="385" t="s">
        <v>138</v>
      </c>
      <c r="C53" s="386"/>
      <c r="D53" s="386"/>
      <c r="E53" s="386"/>
      <c r="F53" s="386"/>
      <c r="G53" s="386"/>
      <c r="H53" s="386"/>
      <c r="I53" s="386"/>
      <c r="J53" s="386"/>
      <c r="K53" s="386"/>
      <c r="L53" s="386"/>
      <c r="M53" s="386"/>
      <c r="N53" s="386"/>
      <c r="O53" s="386"/>
      <c r="P53" s="386"/>
      <c r="Q53" s="387"/>
    </row>
    <row r="54" spans="2:17" x14ac:dyDescent="0.3">
      <c r="B54" s="47"/>
      <c r="C54" s="38"/>
      <c r="D54" s="38"/>
      <c r="E54" s="38"/>
      <c r="F54" s="38"/>
      <c r="G54" s="38"/>
      <c r="H54" s="38"/>
      <c r="I54" s="38"/>
      <c r="J54" s="38"/>
      <c r="K54" s="38"/>
      <c r="L54" s="49">
        <f>L47</f>
        <v>43831</v>
      </c>
      <c r="M54" s="49">
        <f t="shared" ref="M54:O54" si="5">M47</f>
        <v>44197</v>
      </c>
      <c r="N54" s="49">
        <f t="shared" si="5"/>
        <v>44563</v>
      </c>
      <c r="O54" s="49">
        <f t="shared" si="5"/>
        <v>44929</v>
      </c>
      <c r="P54" s="38"/>
      <c r="Q54" s="48"/>
    </row>
    <row r="55" spans="2:17" x14ac:dyDescent="0.3">
      <c r="B55" s="47" t="s">
        <v>23</v>
      </c>
      <c r="C55" s="38"/>
      <c r="D55" s="38"/>
      <c r="E55" s="38"/>
      <c r="F55" s="38"/>
      <c r="G55" s="38"/>
      <c r="H55" s="38"/>
      <c r="I55" s="38"/>
      <c r="J55" s="38"/>
      <c r="K55" s="38"/>
      <c r="L55" s="50">
        <f>'NVIDIA Financials'!F23</f>
        <v>4368000</v>
      </c>
      <c r="M55" s="50">
        <f>'NVIDIA Financials'!E23</f>
        <v>9752000</v>
      </c>
      <c r="N55" s="50">
        <f>'NVIDIA Financials'!D23</f>
        <v>4332000</v>
      </c>
      <c r="O55" s="50">
        <f>'NVIDIA Financials'!C23</f>
        <v>2796000</v>
      </c>
      <c r="P55" s="38"/>
      <c r="Q55" s="48"/>
    </row>
    <row r="56" spans="2:17" x14ac:dyDescent="0.3">
      <c r="B56" s="47" t="s">
        <v>139</v>
      </c>
      <c r="C56" s="38"/>
      <c r="D56" s="38"/>
      <c r="E56" s="38"/>
      <c r="F56" s="38"/>
      <c r="G56" s="38"/>
      <c r="H56" s="38"/>
      <c r="I56" s="38"/>
      <c r="J56" s="38"/>
      <c r="K56" s="38"/>
      <c r="L56" s="68">
        <f>'NVIDIA Financials'!F5</f>
        <v>26974000</v>
      </c>
      <c r="M56" s="68">
        <f>'NVIDIA Financials'!E5</f>
        <v>26914000</v>
      </c>
      <c r="N56" s="68">
        <f>'NVIDIA Financials'!D5</f>
        <v>16675000</v>
      </c>
      <c r="O56" s="68">
        <f>'NVIDIA Financials'!C5</f>
        <v>10918000</v>
      </c>
      <c r="P56" s="38"/>
      <c r="Q56" s="48"/>
    </row>
    <row r="57" spans="2:17" x14ac:dyDescent="0.3">
      <c r="B57" s="47" t="s">
        <v>39</v>
      </c>
      <c r="C57" s="38"/>
      <c r="D57" s="38"/>
      <c r="E57" s="38"/>
      <c r="F57" s="38"/>
      <c r="G57" s="38"/>
      <c r="H57" s="38"/>
      <c r="I57" s="38"/>
      <c r="J57" s="38"/>
      <c r="K57" s="38"/>
      <c r="L57" s="50">
        <f>'NVIDIA Financials'!F42</f>
        <v>41182000</v>
      </c>
      <c r="M57" s="50">
        <f>'NVIDIA Financials'!E42</f>
        <v>44187000</v>
      </c>
      <c r="N57" s="50">
        <f>'NVIDIA Financials'!D42</f>
        <v>28791000</v>
      </c>
      <c r="O57" s="50">
        <f>'NVIDIA Financials'!C42</f>
        <v>17315000</v>
      </c>
      <c r="P57" s="38"/>
      <c r="Q57" s="48"/>
    </row>
    <row r="58" spans="2:17" x14ac:dyDescent="0.3">
      <c r="B58" s="47" t="s">
        <v>141</v>
      </c>
      <c r="C58" s="38"/>
      <c r="D58" s="38"/>
      <c r="E58" s="38"/>
      <c r="F58" s="38"/>
      <c r="G58" s="38"/>
      <c r="H58" s="38"/>
      <c r="I58" s="38"/>
      <c r="J58" s="38"/>
      <c r="K58" s="38"/>
      <c r="L58" s="50">
        <f>'NVIDIA Financials'!F60</f>
        <v>22101000</v>
      </c>
      <c r="M58" s="50">
        <f>'NVIDIA Financials'!E60</f>
        <v>26612000</v>
      </c>
      <c r="N58" s="50">
        <f>'NVIDIA Financials'!D60</f>
        <v>16893000</v>
      </c>
      <c r="O58" s="50">
        <f>'NVIDIA Financials'!C60</f>
        <v>12204000</v>
      </c>
      <c r="P58" s="38"/>
      <c r="Q58" s="48"/>
    </row>
    <row r="59" spans="2:17" x14ac:dyDescent="0.3">
      <c r="B59" s="47" t="s">
        <v>142</v>
      </c>
      <c r="C59" s="38"/>
      <c r="D59" s="38"/>
      <c r="E59" s="38"/>
      <c r="F59" s="38"/>
      <c r="G59" s="38"/>
      <c r="H59" s="38"/>
      <c r="I59" s="38"/>
      <c r="J59" s="38"/>
      <c r="K59" s="38"/>
      <c r="L59" s="67">
        <f>L55/L56</f>
        <v>0.16193371394676356</v>
      </c>
      <c r="M59" s="67">
        <f t="shared" ref="M59:O59" si="6">M55/M56</f>
        <v>0.36233930296499961</v>
      </c>
      <c r="N59" s="67">
        <f t="shared" si="6"/>
        <v>0.25979010494752625</v>
      </c>
      <c r="O59" s="67">
        <f t="shared" si="6"/>
        <v>0.25609085913170909</v>
      </c>
      <c r="P59" s="38"/>
      <c r="Q59" s="48"/>
    </row>
    <row r="60" spans="2:17" x14ac:dyDescent="0.3">
      <c r="B60" s="47" t="s">
        <v>143</v>
      </c>
      <c r="C60" s="38"/>
      <c r="D60" s="38"/>
      <c r="E60" s="38"/>
      <c r="F60" s="38"/>
      <c r="G60" s="38"/>
      <c r="H60" s="38"/>
      <c r="I60" s="38"/>
      <c r="J60" s="38"/>
      <c r="K60" s="38"/>
      <c r="L60" s="69">
        <f>L56/L57</f>
        <v>0.65499490068476518</v>
      </c>
      <c r="M60" s="69">
        <f t="shared" ref="M60:O60" si="7">M56/M57</f>
        <v>0.60909317219996828</v>
      </c>
      <c r="N60" s="69">
        <f t="shared" si="7"/>
        <v>0.57917404744538226</v>
      </c>
      <c r="O60" s="69">
        <f t="shared" si="7"/>
        <v>0.63055154490326304</v>
      </c>
      <c r="P60" s="38"/>
      <c r="Q60" s="48"/>
    </row>
    <row r="61" spans="2:17" x14ac:dyDescent="0.3">
      <c r="B61" s="47" t="s">
        <v>144</v>
      </c>
      <c r="C61" s="38"/>
      <c r="D61" s="38"/>
      <c r="E61" s="38"/>
      <c r="F61" s="38"/>
      <c r="G61" s="38"/>
      <c r="H61" s="38"/>
      <c r="I61" s="38"/>
      <c r="J61" s="38"/>
      <c r="K61" s="38"/>
      <c r="L61" s="69">
        <f>L57/L58</f>
        <v>1.8633545993393965</v>
      </c>
      <c r="M61" s="69">
        <f t="shared" ref="M61:O61" si="8">M57/M58</f>
        <v>1.6604163535247256</v>
      </c>
      <c r="N61" s="69">
        <f t="shared" si="8"/>
        <v>1.7043153969099627</v>
      </c>
      <c r="O61" s="69">
        <f t="shared" si="8"/>
        <v>1.4187971156997705</v>
      </c>
      <c r="P61" s="38"/>
      <c r="Q61" s="48"/>
    </row>
    <row r="62" spans="2:17" x14ac:dyDescent="0.3">
      <c r="B62" s="70" t="s">
        <v>145</v>
      </c>
      <c r="C62" s="71"/>
      <c r="D62" s="71"/>
      <c r="E62" s="71"/>
      <c r="F62" s="71"/>
      <c r="G62" s="71"/>
      <c r="H62" s="71"/>
      <c r="I62" s="71"/>
      <c r="J62" s="71"/>
      <c r="K62" s="71"/>
      <c r="L62" s="72">
        <f>L59*L60*L61</f>
        <v>0.19763811592235647</v>
      </c>
      <c r="M62" s="72">
        <f t="shared" ref="M62:O62" si="9">M59*M60*M61</f>
        <v>0.36645122501127303</v>
      </c>
      <c r="N62" s="72">
        <f t="shared" si="9"/>
        <v>0.25643757769490322</v>
      </c>
      <c r="O62" s="72">
        <f t="shared" si="9"/>
        <v>0.22910521140609635</v>
      </c>
      <c r="P62" s="71"/>
      <c r="Q62" s="73"/>
    </row>
    <row r="63" spans="2:17" x14ac:dyDescent="0.3">
      <c r="B63" s="47"/>
      <c r="C63" s="38"/>
      <c r="D63" s="38"/>
      <c r="E63" s="38"/>
      <c r="F63" s="38"/>
      <c r="G63" s="38"/>
      <c r="H63" s="38"/>
      <c r="I63" s="38"/>
      <c r="J63" s="38"/>
      <c r="K63" s="38"/>
      <c r="L63" s="38"/>
      <c r="M63" s="38"/>
      <c r="N63" s="38"/>
      <c r="O63" s="38"/>
      <c r="P63" s="38"/>
      <c r="Q63" s="48"/>
    </row>
    <row r="64" spans="2:17" x14ac:dyDescent="0.3">
      <c r="B64" s="47"/>
      <c r="C64" s="38"/>
      <c r="D64" s="38"/>
      <c r="E64" s="38"/>
      <c r="F64" s="38"/>
      <c r="G64" s="38"/>
      <c r="H64" s="38"/>
      <c r="I64" s="38"/>
      <c r="J64" s="38"/>
      <c r="K64" s="38"/>
      <c r="L64" s="38"/>
      <c r="M64" s="38"/>
      <c r="N64" s="38"/>
      <c r="O64" s="38"/>
      <c r="P64" s="38"/>
      <c r="Q64" s="48"/>
    </row>
    <row r="65" spans="2:17" x14ac:dyDescent="0.3">
      <c r="B65" s="385" t="s">
        <v>146</v>
      </c>
      <c r="C65" s="386"/>
      <c r="D65" s="386"/>
      <c r="E65" s="386"/>
      <c r="F65" s="386"/>
      <c r="G65" s="386"/>
      <c r="H65" s="386"/>
      <c r="I65" s="386"/>
      <c r="J65" s="386"/>
      <c r="K65" s="386"/>
      <c r="L65" s="386"/>
      <c r="M65" s="386"/>
      <c r="N65" s="386"/>
      <c r="O65" s="386"/>
      <c r="P65" s="386"/>
      <c r="Q65" s="387"/>
    </row>
    <row r="66" spans="2:17" x14ac:dyDescent="0.3">
      <c r="B66" s="47"/>
      <c r="C66" s="38"/>
      <c r="D66" s="38"/>
      <c r="E66" s="38"/>
      <c r="F66" s="38"/>
      <c r="G66" s="38"/>
      <c r="H66" s="38"/>
      <c r="I66" s="38"/>
      <c r="J66" s="38"/>
      <c r="K66" s="38"/>
      <c r="L66" s="49">
        <f>L54</f>
        <v>43831</v>
      </c>
      <c r="M66" s="49">
        <f t="shared" ref="M66:O66" si="10">M54</f>
        <v>44197</v>
      </c>
      <c r="N66" s="49">
        <f t="shared" si="10"/>
        <v>44563</v>
      </c>
      <c r="O66" s="49">
        <f t="shared" si="10"/>
        <v>44929</v>
      </c>
      <c r="P66" s="38"/>
      <c r="Q66" s="48"/>
    </row>
    <row r="67" spans="2:17" x14ac:dyDescent="0.3">
      <c r="B67" s="47" t="s">
        <v>23</v>
      </c>
      <c r="C67" s="38"/>
      <c r="D67" s="38"/>
      <c r="E67" s="38"/>
      <c r="F67" s="38"/>
      <c r="G67" s="38"/>
      <c r="H67" s="38"/>
      <c r="I67" s="38"/>
      <c r="J67" s="38"/>
      <c r="K67" s="38"/>
      <c r="L67" s="50">
        <f>L55</f>
        <v>4368000</v>
      </c>
      <c r="M67" s="50">
        <f t="shared" ref="M67:O67" si="11">M55</f>
        <v>9752000</v>
      </c>
      <c r="N67" s="50">
        <f t="shared" si="11"/>
        <v>4332000</v>
      </c>
      <c r="O67" s="50">
        <f t="shared" si="11"/>
        <v>2796000</v>
      </c>
      <c r="P67" s="38"/>
      <c r="Q67" s="48"/>
    </row>
    <row r="68" spans="2:17" x14ac:dyDescent="0.3">
      <c r="B68" s="47" t="s">
        <v>139</v>
      </c>
      <c r="C68" s="38"/>
      <c r="D68" s="38"/>
      <c r="E68" s="38"/>
      <c r="F68" s="38"/>
      <c r="G68" s="38"/>
      <c r="H68" s="38"/>
      <c r="I68" s="38"/>
      <c r="J68" s="38"/>
      <c r="K68" s="38"/>
      <c r="L68" s="50">
        <f t="shared" ref="L68:O68" si="12">L56</f>
        <v>26974000</v>
      </c>
      <c r="M68" s="50">
        <f t="shared" si="12"/>
        <v>26914000</v>
      </c>
      <c r="N68" s="50">
        <f t="shared" si="12"/>
        <v>16675000</v>
      </c>
      <c r="O68" s="50">
        <f t="shared" si="12"/>
        <v>10918000</v>
      </c>
      <c r="P68" s="38"/>
      <c r="Q68" s="48"/>
    </row>
    <row r="69" spans="2:17" x14ac:dyDescent="0.3">
      <c r="B69" s="47" t="s">
        <v>39</v>
      </c>
      <c r="C69" s="38"/>
      <c r="D69" s="38"/>
      <c r="E69" s="38"/>
      <c r="F69" s="38"/>
      <c r="G69" s="38"/>
      <c r="H69" s="38"/>
      <c r="I69" s="38"/>
      <c r="J69" s="38"/>
      <c r="K69" s="38"/>
      <c r="L69" s="50">
        <f t="shared" ref="L69:O69" si="13">L57</f>
        <v>41182000</v>
      </c>
      <c r="M69" s="50">
        <f t="shared" si="13"/>
        <v>44187000</v>
      </c>
      <c r="N69" s="50">
        <f t="shared" si="13"/>
        <v>28791000</v>
      </c>
      <c r="O69" s="50">
        <f t="shared" si="13"/>
        <v>17315000</v>
      </c>
      <c r="P69" s="38"/>
      <c r="Q69" s="48"/>
    </row>
    <row r="70" spans="2:17" x14ac:dyDescent="0.3">
      <c r="B70" s="47" t="s">
        <v>142</v>
      </c>
      <c r="C70" s="38"/>
      <c r="D70" s="38"/>
      <c r="E70" s="38"/>
      <c r="F70" s="38"/>
      <c r="G70" s="38"/>
      <c r="H70" s="38"/>
      <c r="I70" s="38"/>
      <c r="J70" s="38"/>
      <c r="K70" s="38"/>
      <c r="L70" s="67">
        <f>L67/L68</f>
        <v>0.16193371394676356</v>
      </c>
      <c r="M70" s="67">
        <f t="shared" ref="M70:O70" si="14">M67/M68</f>
        <v>0.36233930296499961</v>
      </c>
      <c r="N70" s="67">
        <f t="shared" si="14"/>
        <v>0.25979010494752625</v>
      </c>
      <c r="O70" s="67">
        <f t="shared" si="14"/>
        <v>0.25609085913170909</v>
      </c>
      <c r="P70" s="38"/>
      <c r="Q70" s="48"/>
    </row>
    <row r="71" spans="2:17" x14ac:dyDescent="0.3">
      <c r="B71" s="47" t="s">
        <v>143</v>
      </c>
      <c r="C71" s="38"/>
      <c r="D71" s="38"/>
      <c r="E71" s="38"/>
      <c r="F71" s="38"/>
      <c r="G71" s="38"/>
      <c r="H71" s="38"/>
      <c r="I71" s="38"/>
      <c r="J71" s="38"/>
      <c r="K71" s="38"/>
      <c r="L71" s="39">
        <f>L68/L69</f>
        <v>0.65499490068476518</v>
      </c>
      <c r="M71" s="39">
        <f t="shared" ref="M71:O71" si="15">M68/M69</f>
        <v>0.60909317219996828</v>
      </c>
      <c r="N71" s="39">
        <f t="shared" si="15"/>
        <v>0.57917404744538226</v>
      </c>
      <c r="O71" s="39">
        <f t="shared" si="15"/>
        <v>0.63055154490326304</v>
      </c>
      <c r="P71" s="38"/>
      <c r="Q71" s="48"/>
    </row>
    <row r="72" spans="2:17" x14ac:dyDescent="0.3">
      <c r="B72" s="70" t="s">
        <v>147</v>
      </c>
      <c r="C72" s="71"/>
      <c r="D72" s="71"/>
      <c r="E72" s="71"/>
      <c r="F72" s="71"/>
      <c r="G72" s="71"/>
      <c r="H72" s="71"/>
      <c r="I72" s="71"/>
      <c r="J72" s="71"/>
      <c r="K72" s="71"/>
      <c r="L72" s="74">
        <f>L70*L71</f>
        <v>0.10606575688407557</v>
      </c>
      <c r="M72" s="74">
        <f t="shared" ref="M72:O72" si="16">M70*M71</f>
        <v>0.22069839545567699</v>
      </c>
      <c r="N72" s="74">
        <f t="shared" si="16"/>
        <v>0.15046368656871939</v>
      </c>
      <c r="O72" s="74">
        <f t="shared" si="16"/>
        <v>0.16147848686110308</v>
      </c>
      <c r="P72" s="71"/>
      <c r="Q72" s="73"/>
    </row>
    <row r="73" spans="2:17" x14ac:dyDescent="0.3">
      <c r="B73" s="364"/>
      <c r="C73" s="365"/>
      <c r="D73" s="365"/>
      <c r="E73" s="365"/>
      <c r="F73" s="365"/>
      <c r="G73" s="365"/>
      <c r="H73" s="365"/>
      <c r="I73" s="365"/>
      <c r="J73" s="365"/>
      <c r="K73" s="365"/>
      <c r="L73" s="366"/>
      <c r="M73" s="366"/>
      <c r="N73" s="366"/>
      <c r="O73" s="366"/>
      <c r="P73" s="365"/>
      <c r="Q73" s="367"/>
    </row>
    <row r="74" spans="2:17" x14ac:dyDescent="0.3">
      <c r="B74" s="364" t="s">
        <v>194</v>
      </c>
      <c r="C74" s="365"/>
      <c r="D74" s="365"/>
      <c r="E74" s="365"/>
      <c r="F74" s="365"/>
      <c r="G74" s="365"/>
      <c r="H74" s="365"/>
      <c r="I74" s="365"/>
      <c r="J74" s="365"/>
      <c r="K74" s="365"/>
      <c r="L74" s="366"/>
      <c r="M74" s="366"/>
      <c r="N74" s="366"/>
      <c r="O74" s="366"/>
      <c r="P74" s="365"/>
      <c r="Q74" s="367"/>
    </row>
    <row r="75" spans="2:17" x14ac:dyDescent="0.3">
      <c r="B75" s="364"/>
      <c r="C75" s="365"/>
      <c r="D75" s="365"/>
      <c r="E75" s="365"/>
      <c r="F75" s="365"/>
      <c r="G75" s="365"/>
      <c r="H75" s="365"/>
      <c r="I75" s="365"/>
      <c r="J75" s="365"/>
      <c r="K75" s="365"/>
      <c r="L75" s="366"/>
      <c r="M75" s="366"/>
      <c r="N75" s="366"/>
      <c r="O75" s="366"/>
      <c r="P75" s="365"/>
      <c r="Q75" s="367"/>
    </row>
    <row r="76" spans="2:17" x14ac:dyDescent="0.3">
      <c r="B76" s="364"/>
      <c r="C76" s="365"/>
      <c r="D76" s="365"/>
      <c r="E76" s="365"/>
      <c r="F76" s="365"/>
      <c r="G76" s="365"/>
      <c r="H76" s="365"/>
      <c r="I76" s="365"/>
      <c r="J76" s="365"/>
      <c r="K76" s="365"/>
      <c r="L76" s="366"/>
      <c r="M76" s="366"/>
      <c r="N76" s="366"/>
      <c r="O76" s="366"/>
      <c r="P76" s="365"/>
      <c r="Q76" s="367"/>
    </row>
    <row r="77" spans="2:17" x14ac:dyDescent="0.3">
      <c r="B77" s="364"/>
      <c r="C77" s="365"/>
      <c r="D77" s="365"/>
      <c r="E77" s="365"/>
      <c r="F77" s="365"/>
      <c r="G77" s="365"/>
      <c r="H77" s="365"/>
      <c r="I77" s="365"/>
      <c r="J77" s="365"/>
      <c r="K77" s="365"/>
      <c r="L77" s="366"/>
      <c r="M77" s="366"/>
      <c r="N77" s="366"/>
      <c r="O77" s="366"/>
      <c r="P77" s="365"/>
      <c r="Q77" s="367"/>
    </row>
    <row r="78" spans="2:17" ht="15" thickBot="1" x14ac:dyDescent="0.35">
      <c r="B78" s="47"/>
      <c r="C78" s="38"/>
      <c r="D78" s="38"/>
      <c r="E78" s="38"/>
      <c r="F78" s="38"/>
      <c r="G78" s="38"/>
      <c r="H78" s="38"/>
      <c r="I78" s="38"/>
      <c r="J78" s="38"/>
      <c r="K78" s="38"/>
      <c r="L78" s="38"/>
      <c r="M78" s="38"/>
      <c r="N78" s="38"/>
      <c r="O78" s="38"/>
      <c r="P78" s="38"/>
      <c r="Q78" s="48"/>
    </row>
    <row r="79" spans="2:17" ht="15" thickTop="1" x14ac:dyDescent="0.3">
      <c r="B79" s="388" t="s">
        <v>150</v>
      </c>
      <c r="C79" s="389"/>
      <c r="D79" s="389"/>
      <c r="E79" s="389"/>
      <c r="F79" s="389"/>
      <c r="G79" s="389"/>
      <c r="H79" s="389"/>
      <c r="I79" s="389"/>
      <c r="J79" s="389"/>
      <c r="K79" s="389"/>
      <c r="L79" s="389"/>
      <c r="M79" s="389"/>
      <c r="N79" s="389"/>
      <c r="O79" s="389"/>
      <c r="P79" s="389"/>
      <c r="Q79" s="390"/>
    </row>
    <row r="80" spans="2:17" x14ac:dyDescent="0.3">
      <c r="B80" s="47"/>
      <c r="C80" s="38"/>
      <c r="D80" s="38"/>
      <c r="E80" s="38"/>
      <c r="F80" s="38"/>
      <c r="G80" s="38"/>
      <c r="H80" s="38"/>
      <c r="I80" s="38"/>
      <c r="J80" s="38"/>
      <c r="K80" s="38"/>
      <c r="L80" s="38"/>
      <c r="M80" s="38"/>
      <c r="N80" s="38"/>
      <c r="O80" s="38"/>
      <c r="P80" s="38"/>
      <c r="Q80" s="48"/>
    </row>
    <row r="81" spans="2:17" x14ac:dyDescent="0.3">
      <c r="B81" s="379" t="s">
        <v>151</v>
      </c>
      <c r="C81" s="380"/>
      <c r="D81" s="380"/>
      <c r="E81" s="380"/>
      <c r="F81" s="380"/>
      <c r="G81" s="380"/>
      <c r="H81" s="380"/>
      <c r="I81" s="380"/>
      <c r="J81" s="380"/>
      <c r="K81" s="380"/>
      <c r="L81" s="380"/>
      <c r="M81" s="380"/>
      <c r="N81" s="380"/>
      <c r="O81" s="380"/>
      <c r="P81" s="380"/>
      <c r="Q81" s="381"/>
    </row>
    <row r="82" spans="2:17" x14ac:dyDescent="0.3">
      <c r="B82" s="47"/>
      <c r="C82" s="38"/>
      <c r="D82" s="38"/>
      <c r="E82" s="38"/>
      <c r="F82" s="38"/>
      <c r="G82" s="38"/>
      <c r="H82" s="38"/>
      <c r="I82" s="38"/>
      <c r="J82" s="38"/>
      <c r="K82" s="38"/>
      <c r="L82" s="49">
        <f>L66</f>
        <v>43831</v>
      </c>
      <c r="M82" s="49">
        <f t="shared" ref="M82:O82" si="17">M66</f>
        <v>44197</v>
      </c>
      <c r="N82" s="49">
        <f t="shared" si="17"/>
        <v>44563</v>
      </c>
      <c r="O82" s="49">
        <f t="shared" si="17"/>
        <v>44929</v>
      </c>
      <c r="P82" s="38"/>
      <c r="Q82" s="48"/>
    </row>
    <row r="83" spans="2:17" x14ac:dyDescent="0.3">
      <c r="B83" s="47" t="s">
        <v>152</v>
      </c>
      <c r="C83" s="38"/>
      <c r="D83" s="38"/>
      <c r="E83" s="38"/>
      <c r="F83" s="38"/>
      <c r="G83" s="38"/>
      <c r="H83" s="38"/>
      <c r="I83" s="38"/>
      <c r="J83" s="38"/>
      <c r="K83" s="38"/>
      <c r="L83" s="50">
        <f>'NVIDIA Financials'!C34-'NVIDIA Financials'!C47</f>
        <v>11906000</v>
      </c>
      <c r="M83" s="50">
        <f>'NVIDIA Financials'!D34-'NVIDIA Financials'!D47</f>
        <v>12130000</v>
      </c>
      <c r="N83" s="50">
        <f>'NVIDIA Financials'!E34-'NVIDIA Financials'!E47</f>
        <v>24494000</v>
      </c>
      <c r="O83" s="50">
        <f>'NVIDIA Financials'!F34-'NVIDIA Financials'!F47</f>
        <v>16510000</v>
      </c>
      <c r="P83" s="38"/>
      <c r="Q83" s="48"/>
    </row>
    <row r="84" spans="2:17" x14ac:dyDescent="0.3">
      <c r="B84" s="47" t="s">
        <v>39</v>
      </c>
      <c r="C84" s="38"/>
      <c r="D84" s="38"/>
      <c r="E84" s="38"/>
      <c r="F84" s="38"/>
      <c r="G84" s="38"/>
      <c r="H84" s="38"/>
      <c r="I84" s="38"/>
      <c r="J84" s="38"/>
      <c r="K84" s="38"/>
      <c r="L84" s="50">
        <f>L69</f>
        <v>41182000</v>
      </c>
      <c r="M84" s="50">
        <f t="shared" ref="M84:O84" si="18">M69</f>
        <v>44187000</v>
      </c>
      <c r="N84" s="50">
        <f t="shared" si="18"/>
        <v>28791000</v>
      </c>
      <c r="O84" s="50">
        <f t="shared" si="18"/>
        <v>17315000</v>
      </c>
      <c r="P84" s="38"/>
      <c r="Q84" s="48"/>
    </row>
    <row r="85" spans="2:17" x14ac:dyDescent="0.3">
      <c r="B85" s="47" t="s">
        <v>161</v>
      </c>
      <c r="C85" s="38"/>
      <c r="D85" s="38"/>
      <c r="E85" s="38"/>
      <c r="F85" s="38"/>
      <c r="G85" s="38"/>
      <c r="H85" s="38"/>
      <c r="I85" s="38"/>
      <c r="J85" s="38"/>
      <c r="K85" s="38"/>
      <c r="L85" s="39">
        <f>L83/L84</f>
        <v>0.28910689136030304</v>
      </c>
      <c r="M85" s="39">
        <f t="shared" ref="M85:O85" si="19">M83/M84</f>
        <v>0.27451512888406093</v>
      </c>
      <c r="N85" s="39">
        <f t="shared" si="19"/>
        <v>0.85075197110208056</v>
      </c>
      <c r="O85" s="39">
        <f t="shared" si="19"/>
        <v>0.95350851862546926</v>
      </c>
      <c r="P85" s="38"/>
      <c r="Q85" s="48"/>
    </row>
    <row r="86" spans="2:17" x14ac:dyDescent="0.3">
      <c r="B86" s="47"/>
      <c r="C86" s="38"/>
      <c r="D86" s="38"/>
      <c r="E86" s="38"/>
      <c r="F86" s="38"/>
      <c r="G86" s="38"/>
      <c r="H86" s="38"/>
      <c r="I86" s="38"/>
      <c r="J86" s="38"/>
      <c r="K86" s="38"/>
      <c r="L86" s="38"/>
      <c r="M86" s="38"/>
      <c r="N86" s="38"/>
      <c r="O86" s="38"/>
      <c r="P86" s="38"/>
      <c r="Q86" s="48"/>
    </row>
    <row r="87" spans="2:17" x14ac:dyDescent="0.3">
      <c r="B87" s="379" t="s">
        <v>154</v>
      </c>
      <c r="C87" s="380"/>
      <c r="D87" s="380"/>
      <c r="E87" s="380"/>
      <c r="F87" s="380"/>
      <c r="G87" s="380"/>
      <c r="H87" s="380"/>
      <c r="I87" s="380"/>
      <c r="J87" s="380"/>
      <c r="K87" s="380"/>
      <c r="L87" s="380"/>
      <c r="M87" s="380"/>
      <c r="N87" s="380"/>
      <c r="O87" s="380"/>
      <c r="P87" s="380"/>
      <c r="Q87" s="381"/>
    </row>
    <row r="88" spans="2:17" x14ac:dyDescent="0.3">
      <c r="B88" s="47"/>
      <c r="C88" s="38"/>
      <c r="D88" s="38"/>
      <c r="E88" s="38"/>
      <c r="F88" s="38"/>
      <c r="G88" s="38"/>
      <c r="H88" s="38"/>
      <c r="I88" s="38"/>
      <c r="J88" s="38"/>
      <c r="K88" s="38"/>
      <c r="L88" s="49">
        <f>L82</f>
        <v>43831</v>
      </c>
      <c r="M88" s="49">
        <f t="shared" ref="M88:O88" si="20">M82</f>
        <v>44197</v>
      </c>
      <c r="N88" s="49">
        <f t="shared" si="20"/>
        <v>44563</v>
      </c>
      <c r="O88" s="49">
        <f t="shared" si="20"/>
        <v>44929</v>
      </c>
      <c r="P88" s="38"/>
      <c r="Q88" s="48"/>
    </row>
    <row r="89" spans="2:17" x14ac:dyDescent="0.3">
      <c r="B89" s="47" t="s">
        <v>53</v>
      </c>
      <c r="C89" s="38"/>
      <c r="D89" s="38"/>
      <c r="E89" s="38"/>
      <c r="F89" s="38"/>
      <c r="G89" s="38"/>
      <c r="H89" s="38"/>
      <c r="I89" s="38"/>
      <c r="J89" s="38"/>
      <c r="K89" s="38"/>
      <c r="L89" s="51">
        <f>'NVIDIA Financials'!C57</f>
        <v>-9814000</v>
      </c>
      <c r="M89" s="51">
        <f>'NVIDIA Financials'!D57</f>
        <v>-10756000</v>
      </c>
      <c r="N89" s="51">
        <f>'NVIDIA Financials'!E57</f>
        <v>0</v>
      </c>
      <c r="O89" s="51">
        <f>'NVIDIA Financials'!F57</f>
        <v>0</v>
      </c>
      <c r="P89" s="38"/>
      <c r="Q89" s="48"/>
    </row>
    <row r="90" spans="2:17" x14ac:dyDescent="0.3">
      <c r="B90" s="47" t="s">
        <v>39</v>
      </c>
      <c r="C90" s="38"/>
      <c r="D90" s="38"/>
      <c r="E90" s="38"/>
      <c r="F90" s="38"/>
      <c r="G90" s="38"/>
      <c r="H90" s="38"/>
      <c r="I90" s="38"/>
      <c r="J90" s="38"/>
      <c r="K90" s="38"/>
      <c r="L90" s="50">
        <f>L69</f>
        <v>41182000</v>
      </c>
      <c r="M90" s="50">
        <f>M69</f>
        <v>44187000</v>
      </c>
      <c r="N90" s="50">
        <f>N69</f>
        <v>28791000</v>
      </c>
      <c r="O90" s="50">
        <f>O69</f>
        <v>17315000</v>
      </c>
      <c r="P90" s="38"/>
      <c r="Q90" s="48"/>
    </row>
    <row r="91" spans="2:17" x14ac:dyDescent="0.3">
      <c r="B91" s="47" t="s">
        <v>162</v>
      </c>
      <c r="C91" s="38"/>
      <c r="D91" s="38"/>
      <c r="E91" s="38"/>
      <c r="F91" s="38"/>
      <c r="G91" s="38"/>
      <c r="H91" s="38"/>
      <c r="I91" s="38"/>
      <c r="J91" s="38"/>
      <c r="K91" s="38"/>
      <c r="L91" s="39">
        <f>L89/L90</f>
        <v>-0.23830799864018259</v>
      </c>
      <c r="M91" s="39">
        <f t="shared" ref="M91:O91" si="21">M89/M90</f>
        <v>-0.24342001041030167</v>
      </c>
      <c r="N91" s="39">
        <f t="shared" si="21"/>
        <v>0</v>
      </c>
      <c r="O91" s="39">
        <f t="shared" si="21"/>
        <v>0</v>
      </c>
      <c r="P91" s="38"/>
      <c r="Q91" s="48"/>
    </row>
    <row r="92" spans="2:17" x14ac:dyDescent="0.3">
      <c r="B92" s="47"/>
      <c r="C92" s="38"/>
      <c r="D92" s="38"/>
      <c r="E92" s="38"/>
      <c r="F92" s="38"/>
      <c r="G92" s="38"/>
      <c r="H92" s="38"/>
      <c r="I92" s="38"/>
      <c r="J92" s="38"/>
      <c r="K92" s="38"/>
      <c r="L92" s="38"/>
      <c r="M92" s="38"/>
      <c r="N92" s="38"/>
      <c r="O92" s="38"/>
      <c r="P92" s="38"/>
      <c r="Q92" s="48"/>
    </row>
    <row r="93" spans="2:17" x14ac:dyDescent="0.3">
      <c r="B93" s="379" t="s">
        <v>153</v>
      </c>
      <c r="C93" s="380"/>
      <c r="D93" s="380"/>
      <c r="E93" s="380"/>
      <c r="F93" s="380"/>
      <c r="G93" s="380"/>
      <c r="H93" s="380"/>
      <c r="I93" s="380"/>
      <c r="J93" s="380"/>
      <c r="K93" s="380"/>
      <c r="L93" s="380"/>
      <c r="M93" s="380"/>
      <c r="N93" s="380"/>
      <c r="O93" s="380"/>
      <c r="P93" s="380"/>
      <c r="Q93" s="381"/>
    </row>
    <row r="94" spans="2:17" x14ac:dyDescent="0.3">
      <c r="B94" s="47"/>
      <c r="C94" s="38"/>
      <c r="D94" s="38"/>
      <c r="E94" s="38"/>
      <c r="F94" s="38"/>
      <c r="G94" s="38"/>
      <c r="H94" s="38"/>
      <c r="I94" s="38"/>
      <c r="J94" s="38"/>
      <c r="K94" s="38"/>
      <c r="L94" s="49">
        <f>L88</f>
        <v>43831</v>
      </c>
      <c r="M94" s="49">
        <f>M88</f>
        <v>44197</v>
      </c>
      <c r="N94" s="49">
        <f>N88</f>
        <v>44563</v>
      </c>
      <c r="O94" s="49">
        <f>O88</f>
        <v>44929</v>
      </c>
      <c r="P94" s="38"/>
      <c r="Q94" s="48"/>
    </row>
    <row r="95" spans="2:17" x14ac:dyDescent="0.3">
      <c r="B95" s="47" t="s">
        <v>155</v>
      </c>
      <c r="C95" s="38"/>
      <c r="D95" s="38"/>
      <c r="E95" s="38"/>
      <c r="F95" s="38"/>
      <c r="G95" s="38"/>
      <c r="H95" s="38"/>
      <c r="I95" s="38"/>
      <c r="J95" s="38"/>
      <c r="K95" s="38"/>
      <c r="L95" s="50">
        <f>'NVIDIA Financials'!C15</f>
        <v>3022000</v>
      </c>
      <c r="M95" s="50">
        <f>'NVIDIA Financials'!D15</f>
        <v>4593000</v>
      </c>
      <c r="N95" s="50">
        <f>'NVIDIA Financials'!E15</f>
        <v>10177000</v>
      </c>
      <c r="O95" s="50">
        <f>'NVIDIA Financials'!F15</f>
        <v>4443000</v>
      </c>
      <c r="P95" s="38"/>
      <c r="Q95" s="48"/>
    </row>
    <row r="96" spans="2:17" x14ac:dyDescent="0.3">
      <c r="B96" s="47" t="s">
        <v>39</v>
      </c>
      <c r="C96" s="38"/>
      <c r="D96" s="38"/>
      <c r="E96" s="38"/>
      <c r="F96" s="38"/>
      <c r="G96" s="38"/>
      <c r="H96" s="38"/>
      <c r="I96" s="38"/>
      <c r="J96" s="38"/>
      <c r="K96" s="38"/>
      <c r="L96" s="50">
        <f>L84</f>
        <v>41182000</v>
      </c>
      <c r="M96" s="50">
        <f>M84</f>
        <v>44187000</v>
      </c>
      <c r="N96" s="50">
        <f>N84</f>
        <v>28791000</v>
      </c>
      <c r="O96" s="50">
        <f>O84</f>
        <v>17315000</v>
      </c>
      <c r="P96" s="38"/>
      <c r="Q96" s="48"/>
    </row>
    <row r="97" spans="2:17" x14ac:dyDescent="0.3">
      <c r="B97" s="47" t="s">
        <v>163</v>
      </c>
      <c r="C97" s="38"/>
      <c r="D97" s="38"/>
      <c r="E97" s="38"/>
      <c r="F97" s="38"/>
      <c r="G97" s="38"/>
      <c r="H97" s="38"/>
      <c r="I97" s="38"/>
      <c r="J97" s="38"/>
      <c r="K97" s="38"/>
      <c r="L97" s="39">
        <f>L95/L96</f>
        <v>7.338157447428488E-2</v>
      </c>
      <c r="M97" s="39">
        <f t="shared" ref="M97:O97" si="22">M95/M96</f>
        <v>0.10394459909023016</v>
      </c>
      <c r="N97" s="39">
        <f t="shared" si="22"/>
        <v>0.35347851759230314</v>
      </c>
      <c r="O97" s="39">
        <f t="shared" si="22"/>
        <v>0.25659832515160264</v>
      </c>
      <c r="P97" s="38"/>
      <c r="Q97" s="48"/>
    </row>
    <row r="98" spans="2:17" x14ac:dyDescent="0.3">
      <c r="B98" s="47"/>
      <c r="C98" s="38"/>
      <c r="D98" s="38"/>
      <c r="E98" s="38"/>
      <c r="F98" s="38"/>
      <c r="G98" s="38"/>
      <c r="H98" s="38"/>
      <c r="I98" s="38"/>
      <c r="J98" s="38"/>
      <c r="K98" s="38"/>
      <c r="L98" s="38"/>
      <c r="M98" s="38"/>
      <c r="N98" s="38"/>
      <c r="O98" s="38"/>
      <c r="P98" s="38"/>
      <c r="Q98" s="48"/>
    </row>
    <row r="99" spans="2:17" x14ac:dyDescent="0.3">
      <c r="B99" s="379" t="s">
        <v>156</v>
      </c>
      <c r="C99" s="380"/>
      <c r="D99" s="380"/>
      <c r="E99" s="380"/>
      <c r="F99" s="380"/>
      <c r="G99" s="380"/>
      <c r="H99" s="380"/>
      <c r="I99" s="380"/>
      <c r="J99" s="380"/>
      <c r="K99" s="380"/>
      <c r="L99" s="380"/>
      <c r="M99" s="380"/>
      <c r="N99" s="380"/>
      <c r="O99" s="380"/>
      <c r="P99" s="380"/>
      <c r="Q99" s="381"/>
    </row>
    <row r="100" spans="2:17" x14ac:dyDescent="0.3">
      <c r="B100" s="47"/>
      <c r="C100" s="38"/>
      <c r="D100" s="38"/>
      <c r="E100" s="38"/>
      <c r="F100" s="38"/>
      <c r="G100" s="38"/>
      <c r="H100" s="38"/>
      <c r="I100" s="38"/>
      <c r="J100" s="38"/>
      <c r="K100" s="38"/>
      <c r="L100" s="49">
        <f>L94</f>
        <v>43831</v>
      </c>
      <c r="M100" s="49">
        <f t="shared" ref="M100:O100" si="23">M94</f>
        <v>44197</v>
      </c>
      <c r="N100" s="49">
        <f t="shared" si="23"/>
        <v>44563</v>
      </c>
      <c r="O100" s="49">
        <f t="shared" si="23"/>
        <v>44929</v>
      </c>
      <c r="P100" s="38"/>
      <c r="Q100" s="48"/>
    </row>
    <row r="101" spans="2:17" x14ac:dyDescent="0.3">
      <c r="B101" s="47" t="s">
        <v>139</v>
      </c>
      <c r="C101" s="38"/>
      <c r="D101" s="38"/>
      <c r="E101" s="38"/>
      <c r="F101" s="38"/>
      <c r="G101" s="38"/>
      <c r="H101" s="38"/>
      <c r="I101" s="38"/>
      <c r="J101" s="38"/>
      <c r="K101" s="38"/>
      <c r="L101" s="50">
        <f>L68</f>
        <v>26974000</v>
      </c>
      <c r="M101" s="50">
        <f>M68</f>
        <v>26914000</v>
      </c>
      <c r="N101" s="50">
        <f>N68</f>
        <v>16675000</v>
      </c>
      <c r="O101" s="50">
        <f>O68</f>
        <v>10918000</v>
      </c>
      <c r="P101" s="38"/>
      <c r="Q101" s="48"/>
    </row>
    <row r="102" spans="2:17" x14ac:dyDescent="0.3">
      <c r="B102" s="47" t="s">
        <v>39</v>
      </c>
      <c r="C102" s="38"/>
      <c r="D102" s="38"/>
      <c r="E102" s="38"/>
      <c r="F102" s="38"/>
      <c r="G102" s="38"/>
      <c r="H102" s="38"/>
      <c r="I102" s="38"/>
      <c r="J102" s="38"/>
      <c r="K102" s="38"/>
      <c r="L102" s="50">
        <f>L84</f>
        <v>41182000</v>
      </c>
      <c r="M102" s="50">
        <f>M84</f>
        <v>44187000</v>
      </c>
      <c r="N102" s="50">
        <f>N84</f>
        <v>28791000</v>
      </c>
      <c r="O102" s="50">
        <f>O84</f>
        <v>17315000</v>
      </c>
      <c r="P102" s="38"/>
      <c r="Q102" s="48"/>
    </row>
    <row r="103" spans="2:17" x14ac:dyDescent="0.3">
      <c r="B103" s="47" t="s">
        <v>164</v>
      </c>
      <c r="C103" s="38"/>
      <c r="D103" s="38"/>
      <c r="E103" s="38"/>
      <c r="F103" s="38"/>
      <c r="G103" s="38"/>
      <c r="H103" s="38"/>
      <c r="I103" s="38"/>
      <c r="J103" s="38"/>
      <c r="K103" s="38"/>
      <c r="L103" s="39">
        <f>L101/L102</f>
        <v>0.65499490068476518</v>
      </c>
      <c r="M103" s="39">
        <f t="shared" ref="M103:O103" si="24">M101/M102</f>
        <v>0.60909317219996828</v>
      </c>
      <c r="N103" s="39">
        <f t="shared" si="24"/>
        <v>0.57917404744538226</v>
      </c>
      <c r="O103" s="39">
        <f t="shared" si="24"/>
        <v>0.63055154490326304</v>
      </c>
      <c r="P103" s="38"/>
      <c r="Q103" s="48"/>
    </row>
    <row r="104" spans="2:17" x14ac:dyDescent="0.3">
      <c r="B104" s="47"/>
      <c r="C104" s="38"/>
      <c r="D104" s="38"/>
      <c r="E104" s="38"/>
      <c r="F104" s="38"/>
      <c r="G104" s="38"/>
      <c r="H104" s="38"/>
      <c r="I104" s="38"/>
      <c r="J104" s="38"/>
      <c r="K104" s="38"/>
      <c r="L104" s="38"/>
      <c r="M104" s="38"/>
      <c r="N104" s="38"/>
      <c r="O104" s="38"/>
      <c r="P104" s="38"/>
      <c r="Q104" s="48"/>
    </row>
    <row r="105" spans="2:17" x14ac:dyDescent="0.3">
      <c r="B105" s="379" t="s">
        <v>157</v>
      </c>
      <c r="C105" s="380"/>
      <c r="D105" s="380"/>
      <c r="E105" s="380"/>
      <c r="F105" s="380"/>
      <c r="G105" s="380"/>
      <c r="H105" s="380"/>
      <c r="I105" s="380"/>
      <c r="J105" s="380"/>
      <c r="K105" s="380"/>
      <c r="L105" s="380"/>
      <c r="M105" s="380"/>
      <c r="N105" s="380"/>
      <c r="O105" s="380"/>
      <c r="P105" s="380"/>
      <c r="Q105" s="381"/>
    </row>
    <row r="106" spans="2:17" x14ac:dyDescent="0.3">
      <c r="B106" s="47"/>
      <c r="C106" s="38"/>
      <c r="D106" s="38"/>
      <c r="E106" s="38"/>
      <c r="F106" s="38"/>
      <c r="G106" s="38"/>
      <c r="H106" s="38"/>
      <c r="I106" s="38"/>
      <c r="J106" s="38"/>
      <c r="K106" s="38"/>
      <c r="L106" s="49">
        <f>L100</f>
        <v>43831</v>
      </c>
      <c r="M106" s="49">
        <f t="shared" ref="M106:O106" si="25">M100</f>
        <v>44197</v>
      </c>
      <c r="N106" s="49">
        <f t="shared" si="25"/>
        <v>44563</v>
      </c>
      <c r="O106" s="49">
        <f t="shared" si="25"/>
        <v>44929</v>
      </c>
      <c r="P106" s="38"/>
      <c r="Q106" s="48"/>
    </row>
    <row r="107" spans="2:17" x14ac:dyDescent="0.3">
      <c r="B107" s="47" t="s">
        <v>158</v>
      </c>
      <c r="C107" s="38"/>
      <c r="D107" s="38"/>
      <c r="E107" s="38"/>
      <c r="F107" s="38"/>
      <c r="G107" s="38"/>
      <c r="H107" s="38"/>
      <c r="I107" s="38"/>
      <c r="J107" s="38"/>
      <c r="K107" s="38"/>
      <c r="L107" s="50">
        <f>'NVIDIA Financials'!C24</f>
        <v>323240000</v>
      </c>
      <c r="M107" s="50">
        <f>'NVIDIA Financials'!D24</f>
        <v>735270000</v>
      </c>
      <c r="N107" s="50">
        <f>'NVIDIA Financials'!E24</f>
        <v>364180000</v>
      </c>
      <c r="O107" s="50">
        <f>'NVIDIA Financials'!F24</f>
        <v>1044000000</v>
      </c>
      <c r="P107" s="38"/>
      <c r="Q107" s="48"/>
    </row>
    <row r="108" spans="2:17" x14ac:dyDescent="0.3">
      <c r="B108" s="47" t="s">
        <v>159</v>
      </c>
      <c r="C108" s="38"/>
      <c r="D108" s="38"/>
      <c r="E108" s="38"/>
      <c r="F108" s="38"/>
      <c r="G108" s="38"/>
      <c r="H108" s="38"/>
      <c r="I108" s="38"/>
      <c r="J108" s="38"/>
      <c r="K108" s="38"/>
      <c r="L108" s="50">
        <f>'NVIDIA Financials'!C48</f>
        <v>1991000</v>
      </c>
      <c r="M108" s="50">
        <f>'NVIDIA Financials'!D48</f>
        <v>5964000</v>
      </c>
      <c r="N108" s="50">
        <f>'NVIDIA Financials'!E48</f>
        <v>10946000</v>
      </c>
      <c r="O108" s="50">
        <f>'NVIDIA Financials'!F48</f>
        <v>9703000</v>
      </c>
      <c r="P108" s="38"/>
      <c r="Q108" s="48"/>
    </row>
    <row r="109" spans="2:17" ht="15" thickBot="1" x14ac:dyDescent="0.35">
      <c r="B109" s="61" t="s">
        <v>165</v>
      </c>
      <c r="C109" s="62"/>
      <c r="D109" s="62"/>
      <c r="E109" s="62"/>
      <c r="F109" s="62"/>
      <c r="G109" s="62"/>
      <c r="H109" s="62"/>
      <c r="I109" s="62"/>
      <c r="J109" s="62"/>
      <c r="K109" s="62"/>
      <c r="L109" s="75">
        <f>L107/L108</f>
        <v>162.35057759919638</v>
      </c>
      <c r="M109" s="75">
        <f t="shared" ref="M109:O109" si="26">M107/M108</f>
        <v>123.28470824949699</v>
      </c>
      <c r="N109" s="75">
        <f t="shared" si="26"/>
        <v>33.27060113283391</v>
      </c>
      <c r="O109" s="75">
        <f t="shared" si="26"/>
        <v>107.59558899309492</v>
      </c>
      <c r="P109" s="62"/>
      <c r="Q109" s="63"/>
    </row>
    <row r="110" spans="2:17" ht="15" thickTop="1" x14ac:dyDescent="0.3">
      <c r="B110" s="47"/>
      <c r="C110" s="38"/>
      <c r="D110" s="38"/>
      <c r="E110" s="38"/>
      <c r="F110" s="38"/>
      <c r="G110" s="38"/>
      <c r="H110" s="38"/>
      <c r="I110" s="38"/>
      <c r="J110" s="38"/>
      <c r="K110" s="38"/>
      <c r="L110" s="38"/>
      <c r="M110" s="38"/>
      <c r="N110" s="38"/>
      <c r="O110" s="38"/>
      <c r="P110" s="38"/>
      <c r="Q110" s="48"/>
    </row>
    <row r="111" spans="2:17" x14ac:dyDescent="0.3">
      <c r="B111" s="382" t="s">
        <v>166</v>
      </c>
      <c r="C111" s="383"/>
      <c r="D111" s="383"/>
      <c r="E111" s="383"/>
      <c r="F111" s="383"/>
      <c r="G111" s="383"/>
      <c r="H111" s="383"/>
      <c r="I111" s="383"/>
      <c r="J111" s="383"/>
      <c r="K111" s="383"/>
      <c r="L111" s="383"/>
      <c r="M111" s="383"/>
      <c r="N111" s="383"/>
      <c r="O111" s="383"/>
      <c r="P111" s="383"/>
      <c r="Q111" s="384"/>
    </row>
    <row r="112" spans="2:17" ht="15" thickBot="1" x14ac:dyDescent="0.35">
      <c r="B112" s="52"/>
      <c r="C112" s="53"/>
      <c r="D112" s="53"/>
      <c r="E112" s="53"/>
      <c r="F112" s="53"/>
      <c r="G112" s="53"/>
      <c r="H112" s="53"/>
      <c r="I112" s="53"/>
      <c r="J112" s="53"/>
      <c r="K112" s="53"/>
      <c r="L112" s="53"/>
      <c r="M112" s="53"/>
      <c r="N112" s="53"/>
      <c r="O112" s="53"/>
      <c r="P112" s="53"/>
      <c r="Q112" s="54"/>
    </row>
    <row r="113" spans="2:17" x14ac:dyDescent="0.3">
      <c r="B113" s="55"/>
      <c r="C113" s="41"/>
      <c r="D113" s="41"/>
      <c r="E113" s="41" t="s">
        <v>169</v>
      </c>
      <c r="F113" s="41" t="s">
        <v>170</v>
      </c>
      <c r="G113" s="41" t="s">
        <v>171</v>
      </c>
      <c r="H113" s="41" t="s">
        <v>172</v>
      </c>
      <c r="I113" s="41" t="s">
        <v>173</v>
      </c>
      <c r="J113" s="41"/>
      <c r="K113" s="41"/>
      <c r="L113" s="41"/>
      <c r="M113" s="41"/>
      <c r="N113" s="41"/>
      <c r="O113" s="42" t="s">
        <v>166</v>
      </c>
      <c r="P113" s="46" t="s">
        <v>174</v>
      </c>
      <c r="Q113" s="56"/>
    </row>
    <row r="114" spans="2:17" s="36" customFormat="1" x14ac:dyDescent="0.3">
      <c r="B114" s="57" t="s">
        <v>167</v>
      </c>
      <c r="C114" s="37" t="s">
        <v>168</v>
      </c>
      <c r="D114" s="38"/>
      <c r="E114" s="37">
        <v>1.2</v>
      </c>
      <c r="F114" s="37">
        <v>1.4</v>
      </c>
      <c r="G114" s="37">
        <v>3.3</v>
      </c>
      <c r="H114" s="37">
        <v>1</v>
      </c>
      <c r="I114" s="37">
        <v>0.6</v>
      </c>
      <c r="J114" s="38"/>
      <c r="K114" s="38"/>
      <c r="L114" s="38"/>
      <c r="M114" s="38"/>
      <c r="N114" s="38"/>
      <c r="O114" s="38"/>
      <c r="P114" s="38"/>
      <c r="Q114" s="48"/>
    </row>
    <row r="115" spans="2:17" x14ac:dyDescent="0.3">
      <c r="B115" s="58">
        <f t="array" ref="B115:B118">TRANSPOSE(L106:O106)</f>
        <v>43831</v>
      </c>
      <c r="C115" s="38"/>
      <c r="D115" s="38"/>
      <c r="E115" s="39">
        <f t="array" ref="E115:E118">TRANSPOSE(L85:O85)</f>
        <v>0.28910689136030304</v>
      </c>
      <c r="F115" s="39">
        <f t="array" ref="F115:F118">TRANSPOSE(L91:O91)</f>
        <v>-0.23830799864018259</v>
      </c>
      <c r="G115" s="39">
        <f t="array" ref="G115:G118">TRANSPOSE(L97:O97)</f>
        <v>7.338157447428488E-2</v>
      </c>
      <c r="H115" s="39">
        <f t="array" ref="H115:H118">TRANSPOSE(L103:O103)</f>
        <v>0.65499490068476518</v>
      </c>
      <c r="I115" s="39">
        <f t="array" ref="I115:I118">TRANSPOSE(L109:O109)</f>
        <v>162.35057759919638</v>
      </c>
      <c r="J115" s="38"/>
      <c r="K115" s="38"/>
      <c r="L115" s="38"/>
      <c r="M115" s="38"/>
      <c r="N115" s="38"/>
      <c r="O115" s="40">
        <f>SUMPRODUCT(E115:I115,$E$114:$I$114)</f>
        <v>98.320797727503844</v>
      </c>
      <c r="P115" s="38" t="str">
        <f>IF(O115&gt;3.1,"Safe Zone")</f>
        <v>Safe Zone</v>
      </c>
      <c r="Q115" s="48"/>
    </row>
    <row r="116" spans="2:17" x14ac:dyDescent="0.3">
      <c r="B116" s="58">
        <v>44197</v>
      </c>
      <c r="C116" s="38"/>
      <c r="D116" s="38"/>
      <c r="E116" s="39">
        <v>0.27451512888406093</v>
      </c>
      <c r="F116" s="39">
        <v>-0.24342001041030167</v>
      </c>
      <c r="G116" s="39">
        <v>0.10394459909023016</v>
      </c>
      <c r="H116" s="39">
        <v>0.60909317219996828</v>
      </c>
      <c r="I116" s="39">
        <v>123.28470824949699</v>
      </c>
      <c r="J116" s="38"/>
      <c r="K116" s="38"/>
      <c r="L116" s="38"/>
      <c r="M116" s="38"/>
      <c r="N116" s="38"/>
      <c r="O116" s="40">
        <f t="shared" ref="O116:O118" si="27">SUMPRODUCT(E116:I116,$E$114:$I$114)</f>
        <v>74.911565438982365</v>
      </c>
      <c r="P116" s="38" t="str">
        <f t="shared" ref="P116:P118" si="28">IF(O116&gt;3.1,"Safe Zone")</f>
        <v>Safe Zone</v>
      </c>
      <c r="Q116" s="48"/>
    </row>
    <row r="117" spans="2:17" x14ac:dyDescent="0.3">
      <c r="B117" s="58">
        <v>44563</v>
      </c>
      <c r="C117" s="38"/>
      <c r="D117" s="38"/>
      <c r="E117" s="39">
        <v>0.85075197110208056</v>
      </c>
      <c r="F117" s="39">
        <v>0</v>
      </c>
      <c r="G117" s="39">
        <v>0.35347851759230314</v>
      </c>
      <c r="H117" s="39">
        <v>0.57917404744538226</v>
      </c>
      <c r="I117" s="39">
        <v>33.27060113283391</v>
      </c>
      <c r="J117" s="38"/>
      <c r="K117" s="38"/>
      <c r="L117" s="38"/>
      <c r="M117" s="38"/>
      <c r="N117" s="38"/>
      <c r="O117" s="40">
        <f t="shared" si="27"/>
        <v>22.728916200522825</v>
      </c>
      <c r="P117" s="38" t="str">
        <f t="shared" si="28"/>
        <v>Safe Zone</v>
      </c>
      <c r="Q117" s="48"/>
    </row>
    <row r="118" spans="2:17" ht="15" thickBot="1" x14ac:dyDescent="0.35">
      <c r="B118" s="59">
        <v>44929</v>
      </c>
      <c r="C118" s="43"/>
      <c r="D118" s="43"/>
      <c r="E118" s="44">
        <v>0.95350851862546926</v>
      </c>
      <c r="F118" s="44">
        <v>0</v>
      </c>
      <c r="G118" s="44">
        <v>0.25659832515160264</v>
      </c>
      <c r="H118" s="44">
        <v>0.63055154490326304</v>
      </c>
      <c r="I118" s="44">
        <v>107.59558899309492</v>
      </c>
      <c r="J118" s="43"/>
      <c r="K118" s="43"/>
      <c r="L118" s="43"/>
      <c r="M118" s="43"/>
      <c r="N118" s="43"/>
      <c r="O118" s="45">
        <f t="shared" si="27"/>
        <v>67.178889636111066</v>
      </c>
      <c r="P118" s="43" t="str">
        <f t="shared" si="28"/>
        <v>Safe Zone</v>
      </c>
      <c r="Q118" s="60"/>
    </row>
    <row r="119" spans="2:17" ht="15" thickBot="1" x14ac:dyDescent="0.35">
      <c r="B119" s="61"/>
      <c r="C119" s="62"/>
      <c r="D119" s="62"/>
      <c r="E119" s="62"/>
      <c r="F119" s="62"/>
      <c r="G119" s="62"/>
      <c r="H119" s="62"/>
      <c r="I119" s="62"/>
      <c r="J119" s="62"/>
      <c r="K119" s="62"/>
      <c r="L119" s="62"/>
      <c r="M119" s="62"/>
      <c r="N119" s="62"/>
      <c r="O119" s="62"/>
      <c r="P119" s="62"/>
      <c r="Q119" s="63"/>
    </row>
    <row r="120" spans="2:17" ht="15" thickTop="1" x14ac:dyDescent="0.3"/>
  </sheetData>
  <sheetProtection sheet="1" objects="1" scenarios="1"/>
  <customSheetViews>
    <customSheetView guid="{157A7F57-E932-4D71-AAC5-1BA0DA6A9C96}" showGridLines="0" topLeftCell="A16">
      <selection activeCell="X24" sqref="X24"/>
      <pageMargins left="0.7" right="0.7" top="0.75" bottom="0.75" header="0.3" footer="0.3"/>
      <pageSetup paperSize="9" orientation="portrait" r:id="rId1"/>
    </customSheetView>
  </customSheetViews>
  <mergeCells count="15">
    <mergeCell ref="B11:Q11"/>
    <mergeCell ref="B20:Q20"/>
    <mergeCell ref="B13:Q13"/>
    <mergeCell ref="B93:Q93"/>
    <mergeCell ref="B99:Q99"/>
    <mergeCell ref="B105:Q105"/>
    <mergeCell ref="B111:Q111"/>
    <mergeCell ref="B29:Q29"/>
    <mergeCell ref="B37:Q37"/>
    <mergeCell ref="B65:Q65"/>
    <mergeCell ref="B79:Q79"/>
    <mergeCell ref="B81:Q81"/>
    <mergeCell ref="B87:Q87"/>
    <mergeCell ref="B53:Q53"/>
    <mergeCell ref="B46:Q46"/>
  </mergeCells>
  <conditionalFormatting sqref="O115:O118">
    <cfRule type="cellIs" dxfId="17" priority="1" operator="greaterThan">
      <formula>3.1</formula>
    </cfRule>
  </conditionalFormatting>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displayEmptyCellsAs="span" markers="1">
          <x14:colorSeries theme="9" tint="-0.499984740745262"/>
          <x14:colorNegative rgb="FFD00000"/>
          <x14:colorAxis rgb="FF000000"/>
          <x14:colorMarkers rgb="FFFF0000"/>
          <x14:colorFirst rgb="FFD00000"/>
          <x14:colorLast rgb="FFD00000"/>
          <x14:colorHigh rgb="FFD00000"/>
          <x14:colorLow rgb="FFD00000"/>
          <x14:sparklines>
            <x14:sparkline>
              <xm:f>'Analysis-NVIDIA'!L39:O39</xm:f>
              <xm:sqref>P39</xm:sqref>
            </x14:sparkline>
            <x14:sparkline>
              <xm:f>'Analysis-NVIDIA'!L40:O40</xm:f>
              <xm:sqref>P40</xm:sqref>
            </x14:sparkline>
            <x14:sparkline>
              <xm:f>'Analysis-NVIDIA'!L41:O41</xm:f>
              <xm:sqref>P41</xm:sqref>
            </x14:sparkline>
            <x14:sparkline>
              <xm:f>'Analysis-NVIDIA'!L42:O42</xm:f>
              <xm:sqref>P42</xm:sqref>
            </x14:sparkline>
            <x14:sparkline>
              <xm:f>'Analysis-NVIDIA'!L43:O43</xm:f>
              <xm:sqref>P43</xm:sqref>
            </x14:sparkline>
            <x14:sparkline>
              <xm:f>'Analysis-NVIDIA'!L44:O44</xm:f>
              <xm:sqref>P44</xm:sqref>
            </x14:sparkline>
          </x14:sparklines>
        </x14:sparklineGroup>
        <x14:sparklineGroup displayEmptyCellsAs="span" markers="1">
          <x14:colorSeries theme="9" tint="-0.499984740745262"/>
          <x14:colorNegative rgb="FFD00000"/>
          <x14:colorAxis rgb="FF000000"/>
          <x14:colorMarkers rgb="FFFF0000"/>
          <x14:colorFirst rgb="FFD00000"/>
          <x14:colorLast rgb="FFD00000"/>
          <x14:colorHigh rgb="FFD00000"/>
          <x14:colorLow rgb="FFD00000"/>
          <x14:sparklines>
            <x14:sparkline>
              <xm:f>'Analysis-NVIDIA'!L59:O59</xm:f>
              <xm:sqref>P59</xm:sqref>
            </x14:sparkline>
            <x14:sparkline>
              <xm:f>'Analysis-NVIDIA'!L60:O60</xm:f>
              <xm:sqref>P60</xm:sqref>
            </x14:sparkline>
            <x14:sparkline>
              <xm:f>'Analysis-NVIDIA'!L61:O61</xm:f>
              <xm:sqref>P61</xm:sqref>
            </x14:sparkline>
            <x14:sparkline>
              <xm:f>'Analysis-NVIDIA'!L62:O62</xm:f>
              <xm:sqref>P62</xm:sqref>
            </x14:sparkline>
          </x14:sparklines>
        </x14:sparklineGroup>
        <x14:sparklineGroup displayEmptyCellsAs="span" markers="1">
          <x14:colorSeries theme="9" tint="-0.499984740745262"/>
          <x14:colorNegative rgb="FFD00000"/>
          <x14:colorAxis rgb="FF000000"/>
          <x14:colorMarkers rgb="FFFF0000"/>
          <x14:colorFirst rgb="FFD00000"/>
          <x14:colorLast rgb="FFD00000"/>
          <x14:colorHigh rgb="FFD00000"/>
          <x14:colorLow rgb="FFD00000"/>
          <x14:sparklines>
            <x14:sparkline>
              <xm:f>'Analysis-NVIDIA'!L67:O67</xm:f>
              <xm:sqref>P67</xm:sqref>
            </x14:sparkline>
            <x14:sparkline>
              <xm:f>'Analysis-NVIDIA'!L68:O68</xm:f>
              <xm:sqref>P68</xm:sqref>
            </x14:sparkline>
            <x14:sparkline>
              <xm:f>'Analysis-NVIDIA'!L69:O69</xm:f>
              <xm:sqref>P69</xm:sqref>
            </x14:sparkline>
          </x14:sparklines>
        </x14:sparklineGroup>
        <x14:sparklineGroup displayEmptyCellsAs="span" markers="1">
          <x14:colorSeries theme="9" tint="-0.499984740745262"/>
          <x14:colorNegative rgb="FFD00000"/>
          <x14:colorAxis rgb="FF000000"/>
          <x14:colorMarkers rgb="FFFF0000"/>
          <x14:colorFirst rgb="FFD00000"/>
          <x14:colorLast rgb="FFD00000"/>
          <x14:colorHigh rgb="FFD00000"/>
          <x14:colorLow rgb="FFD00000"/>
          <x14:sparklines>
            <x14:sparkline>
              <xm:f>'Analysis-NVIDIA'!L32:O32</xm:f>
              <xm:sqref>P32</xm:sqref>
            </x14:sparkline>
            <x14:sparkline>
              <xm:f>'Analysis-NVIDIA'!L33:O33</xm:f>
              <xm:sqref>P33</xm:sqref>
            </x14:sparkline>
            <x14:sparkline>
              <xm:f>'Analysis-NVIDIA'!L34:O34</xm:f>
              <xm:sqref>P34</xm:sqref>
            </x14:sparkline>
            <x14:sparkline>
              <xm:f>'Analysis-NVIDIA'!L35:O35</xm:f>
              <xm:sqref>P35</xm:sqref>
            </x14:sparkline>
          </x14:sparklines>
        </x14:sparklineGroup>
        <x14:sparklineGroup displayEmptyCellsAs="span" markers="1">
          <x14:colorSeries theme="9" tint="-0.499984740745262"/>
          <x14:colorNegative rgb="FFD00000"/>
          <x14:colorAxis rgb="FF000000"/>
          <x14:colorMarkers rgb="FFFF0000"/>
          <x14:colorFirst rgb="FFD00000"/>
          <x14:colorLast rgb="FFD00000"/>
          <x14:colorHigh rgb="FFD00000"/>
          <x14:colorLow rgb="FFD00000"/>
          <x14:sparklines>
            <x14:sparkline>
              <xm:f>'Analysis-NVIDIA'!L22:O22</xm:f>
              <xm:sqref>P22</xm:sqref>
            </x14:sparkline>
            <x14:sparkline>
              <xm:f>'Analysis-NVIDIA'!L23:O23</xm:f>
              <xm:sqref>P23</xm:sqref>
            </x14:sparkline>
            <x14:sparkline>
              <xm:f>'Analysis-NVIDIA'!L24:O24</xm:f>
              <xm:sqref>P24</xm:sqref>
            </x14:sparkline>
            <x14:sparkline>
              <xm:f>'Analysis-NVIDIA'!L25:O25</xm:f>
              <xm:sqref>P25</xm:sqref>
            </x14:sparkline>
            <x14:sparkline>
              <xm:f>'Analysis-NVIDIA'!L26:O26</xm:f>
              <xm:sqref>P26</xm:sqref>
            </x14:sparkline>
            <x14:sparkline>
              <xm:f>'Analysis-NVIDIA'!L27:O27</xm:f>
              <xm:sqref>P27</xm:sqref>
            </x14:sparkline>
          </x14:sparklines>
        </x14:sparklineGroup>
        <x14:sparklineGroup displayEmptyCellsAs="span" markers="1">
          <x14:colorSeries theme="9" tint="-0.499984740745262"/>
          <x14:colorNegative rgb="FFD00000"/>
          <x14:colorAxis rgb="FF000000"/>
          <x14:colorMarkers rgb="FFFF0000"/>
          <x14:colorFirst rgb="FFD00000"/>
          <x14:colorLast rgb="FFD00000"/>
          <x14:colorHigh rgb="FFD00000"/>
          <x14:colorLow rgb="FFD00000"/>
          <x14:sparklines>
            <x14:sparkline>
              <xm:f>'Analysis-NVIDIA'!L16:O16</xm:f>
              <xm:sqref>P16</xm:sqref>
            </x14:sparkline>
            <x14:sparkline>
              <xm:f>'Analysis-NVIDIA'!L17:O17</xm:f>
              <xm:sqref>P17</xm:sqref>
            </x14:sparkline>
            <x14:sparkline>
              <xm:f>'Analysis-NVIDIA'!L18:O18</xm:f>
              <xm:sqref>P18</xm:sqref>
            </x14:sparkline>
          </x14:sparklines>
        </x14:sparklineGroup>
      </x14:sparklineGroup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19"/>
  <sheetViews>
    <sheetView showGridLines="0" zoomScale="99" zoomScaleNormal="99" workbookViewId="0">
      <selection activeCell="Q116" sqref="Q116"/>
    </sheetView>
  </sheetViews>
  <sheetFormatPr defaultRowHeight="14.4" x14ac:dyDescent="0.3"/>
  <cols>
    <col min="1" max="1" width="1.88671875" customWidth="1"/>
    <col min="2" max="2" width="9.5546875" bestFit="1" customWidth="1"/>
    <col min="13" max="13" width="12.5546875" bestFit="1" customWidth="1"/>
    <col min="14" max="14" width="12.5546875" customWidth="1"/>
    <col min="15" max="16" width="12.5546875" bestFit="1" customWidth="1"/>
  </cols>
  <sheetData>
    <row r="2" spans="2:18" x14ac:dyDescent="0.3">
      <c r="B2" s="487" t="s">
        <v>282</v>
      </c>
      <c r="C2" s="487"/>
      <c r="D2" s="487"/>
      <c r="E2" s="487"/>
      <c r="F2" s="487"/>
      <c r="G2" s="287"/>
      <c r="H2" s="287"/>
      <c r="I2" s="287"/>
      <c r="J2" s="287"/>
      <c r="K2" s="287"/>
      <c r="L2" s="287"/>
      <c r="M2" s="287"/>
      <c r="N2" s="287"/>
      <c r="O2" s="287"/>
      <c r="P2" s="287"/>
      <c r="Q2" s="287"/>
    </row>
    <row r="3" spans="2:18" x14ac:dyDescent="0.3">
      <c r="B3" s="487"/>
      <c r="C3" s="487"/>
      <c r="D3" s="487"/>
      <c r="E3" s="487"/>
      <c r="F3" s="487"/>
      <c r="G3" s="287"/>
      <c r="H3" s="287"/>
      <c r="I3" s="287"/>
      <c r="J3" s="287"/>
      <c r="K3" s="287"/>
      <c r="L3" s="287"/>
      <c r="M3" s="287"/>
      <c r="N3" s="287"/>
      <c r="O3" s="287"/>
      <c r="P3" s="287"/>
      <c r="Q3" s="287"/>
    </row>
    <row r="4" spans="2:18" x14ac:dyDescent="0.3">
      <c r="B4" s="487"/>
      <c r="C4" s="487"/>
      <c r="D4" s="487"/>
      <c r="E4" s="487"/>
      <c r="F4" s="487"/>
      <c r="G4" s="287"/>
      <c r="H4" s="287"/>
      <c r="I4" s="287"/>
      <c r="J4" s="287"/>
      <c r="K4" s="287"/>
      <c r="L4" s="287"/>
      <c r="M4" s="287"/>
      <c r="N4" s="287"/>
      <c r="O4" s="287"/>
      <c r="P4" s="287"/>
      <c r="Q4" s="287"/>
    </row>
    <row r="5" spans="2:18" x14ac:dyDescent="0.3">
      <c r="B5" s="288" t="s">
        <v>283</v>
      </c>
      <c r="C5" s="287"/>
      <c r="D5" s="287"/>
      <c r="E5" s="287"/>
      <c r="F5" s="287"/>
      <c r="G5" s="287"/>
      <c r="H5" s="287"/>
      <c r="I5" s="287"/>
      <c r="J5" s="287"/>
      <c r="K5" s="287"/>
      <c r="L5" s="287"/>
      <c r="M5" s="287"/>
      <c r="N5" s="287"/>
      <c r="O5" s="287"/>
      <c r="P5" s="287"/>
      <c r="Q5" s="287"/>
    </row>
    <row r="6" spans="2:18" x14ac:dyDescent="0.3">
      <c r="B6" s="288" t="s">
        <v>284</v>
      </c>
      <c r="C6" s="287"/>
      <c r="D6" s="287"/>
      <c r="E6" s="287"/>
      <c r="F6" s="287"/>
      <c r="G6" s="287"/>
      <c r="H6" s="287"/>
      <c r="I6" s="287"/>
      <c r="J6" s="287"/>
      <c r="K6" s="287"/>
      <c r="L6" s="287"/>
      <c r="M6" s="287"/>
      <c r="N6" s="287"/>
      <c r="O6" s="287"/>
      <c r="P6" s="287"/>
      <c r="Q6" s="287"/>
    </row>
    <row r="8" spans="2:18" ht="14.4" customHeight="1" x14ac:dyDescent="0.3">
      <c r="B8" s="480" t="s">
        <v>285</v>
      </c>
      <c r="C8" s="480"/>
      <c r="D8" s="480"/>
      <c r="E8" s="480"/>
      <c r="F8" s="480"/>
      <c r="G8" s="480"/>
      <c r="H8" s="480"/>
      <c r="I8" s="480"/>
      <c r="J8" s="480"/>
      <c r="K8" s="480"/>
      <c r="L8" s="480"/>
      <c r="M8" s="480"/>
      <c r="N8" s="480"/>
      <c r="O8" s="480"/>
      <c r="P8" s="480"/>
      <c r="Q8" s="480"/>
      <c r="R8" s="480"/>
    </row>
    <row r="9" spans="2:18" x14ac:dyDescent="0.3">
      <c r="B9" s="480"/>
      <c r="C9" s="480"/>
      <c r="D9" s="480"/>
      <c r="E9" s="480"/>
      <c r="F9" s="480"/>
      <c r="G9" s="480"/>
      <c r="H9" s="480"/>
      <c r="I9" s="480"/>
      <c r="J9" s="480"/>
      <c r="K9" s="480"/>
      <c r="L9" s="480"/>
      <c r="M9" s="480"/>
      <c r="N9" s="480"/>
      <c r="O9" s="480"/>
      <c r="P9" s="480"/>
      <c r="Q9" s="480"/>
      <c r="R9" s="480"/>
    </row>
    <row r="10" spans="2:18" x14ac:dyDescent="0.3">
      <c r="B10" s="480"/>
      <c r="C10" s="480"/>
      <c r="D10" s="480"/>
      <c r="E10" s="480"/>
      <c r="F10" s="480"/>
      <c r="G10" s="480"/>
      <c r="H10" s="480"/>
      <c r="I10" s="480"/>
      <c r="J10" s="480"/>
      <c r="K10" s="480"/>
      <c r="L10" s="480"/>
      <c r="M10" s="480"/>
      <c r="N10" s="480"/>
      <c r="O10" s="480"/>
      <c r="P10" s="480"/>
      <c r="Q10" s="480"/>
      <c r="R10" s="480"/>
    </row>
    <row r="11" spans="2:18" x14ac:dyDescent="0.3">
      <c r="B11" s="480"/>
      <c r="C11" s="480"/>
      <c r="D11" s="480"/>
      <c r="E11" s="480"/>
      <c r="F11" s="480"/>
      <c r="G11" s="480"/>
      <c r="H11" s="480"/>
      <c r="I11" s="480"/>
      <c r="J11" s="480"/>
      <c r="K11" s="480"/>
      <c r="L11" s="480"/>
      <c r="M11" s="480"/>
      <c r="N11" s="480"/>
      <c r="O11" s="480"/>
      <c r="P11" s="480"/>
      <c r="Q11" s="480"/>
      <c r="R11" s="480"/>
    </row>
    <row r="12" spans="2:18" x14ac:dyDescent="0.3">
      <c r="B12" s="480"/>
      <c r="C12" s="480"/>
      <c r="D12" s="480"/>
      <c r="E12" s="480"/>
      <c r="F12" s="480"/>
      <c r="G12" s="480"/>
      <c r="H12" s="480"/>
      <c r="I12" s="480"/>
      <c r="J12" s="480"/>
      <c r="K12" s="480"/>
      <c r="L12" s="480"/>
      <c r="M12" s="480"/>
      <c r="N12" s="480"/>
      <c r="O12" s="480"/>
      <c r="P12" s="480"/>
      <c r="Q12" s="480"/>
      <c r="R12" s="480"/>
    </row>
    <row r="13" spans="2:18" x14ac:dyDescent="0.3">
      <c r="B13" s="480"/>
      <c r="C13" s="480"/>
      <c r="D13" s="480"/>
      <c r="E13" s="480"/>
      <c r="F13" s="480"/>
      <c r="G13" s="480"/>
      <c r="H13" s="480"/>
      <c r="I13" s="480"/>
      <c r="J13" s="480"/>
      <c r="K13" s="480"/>
      <c r="L13" s="480"/>
      <c r="M13" s="480"/>
      <c r="N13" s="480"/>
      <c r="O13" s="480"/>
      <c r="P13" s="480"/>
      <c r="Q13" s="480"/>
      <c r="R13" s="480"/>
    </row>
    <row r="15" spans="2:18" x14ac:dyDescent="0.3">
      <c r="B15" s="484" t="s">
        <v>58</v>
      </c>
      <c r="C15" s="485"/>
      <c r="D15" s="485"/>
      <c r="E15" s="485"/>
      <c r="F15" s="485"/>
      <c r="G15" s="485"/>
      <c r="H15" s="485"/>
      <c r="I15" s="485"/>
      <c r="J15" s="485"/>
      <c r="K15" s="485"/>
      <c r="L15" s="485"/>
      <c r="M15" s="485"/>
      <c r="N15" s="485"/>
      <c r="O15" s="485"/>
      <c r="P15" s="485"/>
      <c r="Q15" s="485"/>
      <c r="R15" s="486"/>
    </row>
    <row r="16" spans="2:18" x14ac:dyDescent="0.3">
      <c r="B16" s="266"/>
      <c r="C16" s="38"/>
      <c r="D16" s="38"/>
      <c r="E16" s="38"/>
      <c r="F16" s="38"/>
      <c r="G16" s="38"/>
      <c r="H16" s="38"/>
      <c r="I16" s="38"/>
      <c r="J16" s="38"/>
      <c r="K16" s="38"/>
      <c r="L16" s="38"/>
      <c r="M16" s="38"/>
      <c r="N16" s="38"/>
      <c r="O16" s="38"/>
      <c r="P16" s="38"/>
      <c r="Q16" s="38"/>
      <c r="R16" s="267"/>
    </row>
    <row r="17" spans="2:18" x14ac:dyDescent="0.3">
      <c r="B17" s="484" t="s">
        <v>58</v>
      </c>
      <c r="C17" s="485"/>
      <c r="D17" s="485"/>
      <c r="E17" s="485"/>
      <c r="F17" s="485"/>
      <c r="G17" s="485"/>
      <c r="H17" s="485"/>
      <c r="I17" s="485"/>
      <c r="J17" s="485"/>
      <c r="K17" s="485"/>
      <c r="L17" s="485"/>
      <c r="M17" s="485"/>
      <c r="N17" s="485"/>
      <c r="O17" s="485"/>
      <c r="P17" s="485"/>
      <c r="Q17" s="485"/>
      <c r="R17" s="486"/>
    </row>
    <row r="18" spans="2:18" x14ac:dyDescent="0.3">
      <c r="B18" s="266"/>
      <c r="C18" s="38"/>
      <c r="D18" s="38"/>
      <c r="E18" s="38"/>
      <c r="F18" s="38"/>
      <c r="G18" s="38"/>
      <c r="H18" s="38"/>
      <c r="I18" s="38"/>
      <c r="J18" s="38"/>
      <c r="K18" s="38"/>
      <c r="L18" s="38"/>
      <c r="M18" s="49">
        <v>43800</v>
      </c>
      <c r="N18" s="49">
        <f>M18+366</f>
        <v>44166</v>
      </c>
      <c r="O18" s="49">
        <f t="shared" ref="O18:P18" si="0">N18+366</f>
        <v>44532</v>
      </c>
      <c r="P18" s="49">
        <f t="shared" si="0"/>
        <v>44898</v>
      </c>
      <c r="Q18" s="38"/>
      <c r="R18" s="267"/>
    </row>
    <row r="19" spans="2:18" x14ac:dyDescent="0.3">
      <c r="B19" s="266" t="s">
        <v>179</v>
      </c>
      <c r="C19" s="38"/>
      <c r="D19" s="38"/>
      <c r="E19" s="38"/>
      <c r="F19" s="38"/>
      <c r="G19" s="38"/>
      <c r="H19" s="38"/>
      <c r="I19" s="38"/>
      <c r="J19" s="38"/>
      <c r="K19" s="38"/>
      <c r="L19" s="38"/>
      <c r="M19" s="39">
        <f>'Exxon Mobil- Financials'!D32/'Exxon Mobil- Financials'!D45</f>
        <v>0.78219694009907947</v>
      </c>
      <c r="N19" s="39">
        <f>'Exxon Mobil- Financials'!E32/'Exxon Mobil- Financials'!E45</f>
        <v>0.79649770239341411</v>
      </c>
      <c r="O19" s="39">
        <f>'Exxon Mobil- Financials'!F32/'Exxon Mobil- Financials'!F45</f>
        <v>1.0443302791165723</v>
      </c>
      <c r="P19" s="39">
        <f>'Exxon Mobil- Financials'!G32/'Exxon Mobil- Financials'!G45</f>
        <v>1.414019842131943</v>
      </c>
      <c r="Q19" s="38"/>
      <c r="R19" s="267"/>
    </row>
    <row r="20" spans="2:18" x14ac:dyDescent="0.3">
      <c r="B20" s="266" t="s">
        <v>180</v>
      </c>
      <c r="C20" s="38"/>
      <c r="D20" s="38"/>
      <c r="E20" s="38"/>
      <c r="F20" s="38"/>
      <c r="G20" s="38"/>
      <c r="H20" s="38"/>
      <c r="I20" s="38"/>
      <c r="J20" s="38"/>
      <c r="K20" s="38"/>
      <c r="L20" s="38"/>
      <c r="M20" s="39">
        <f>('Exxon Mobil- Financials'!D32-'Exxon Mobil- Financials'!D30)/'Exxon Mobil- Financials'!D45</f>
        <v>0.49264717373298533</v>
      </c>
      <c r="N20" s="39">
        <f>('Exxon Mobil- Financials'!E32-'Exxon Mobil- Financials'!E30)/'Exxon Mobil- Financials'!E45</f>
        <v>0.46205844259531964</v>
      </c>
      <c r="O20" s="39">
        <f>('Exxon Mobil- Financials'!F32-'Exxon Mobil- Financials'!F30)/'Exxon Mobil- Financials'!F45</f>
        <v>0.71278004342990309</v>
      </c>
      <c r="P20" s="39">
        <f>('Exxon Mobil- Financials'!G32-'Exxon Mobil- Financials'!G30)/'Exxon Mobil- Financials'!G45</f>
        <v>1.0601202114562966</v>
      </c>
      <c r="Q20" s="38"/>
      <c r="R20" s="267"/>
    </row>
    <row r="21" spans="2:18" x14ac:dyDescent="0.3">
      <c r="B21" s="266" t="s">
        <v>67</v>
      </c>
      <c r="C21" s="38"/>
      <c r="D21" s="38"/>
      <c r="E21" s="38"/>
      <c r="F21" s="38"/>
      <c r="G21" s="38"/>
      <c r="H21" s="38"/>
      <c r="I21" s="38"/>
      <c r="J21" s="38"/>
      <c r="K21" s="38"/>
      <c r="L21" s="38"/>
      <c r="M21" s="39">
        <f>('Exxon Mobil- Financials'!D27+'Exxon Mobil- Financials'!D28)/'Exxon Mobil- Financials'!D45</f>
        <v>4.8273922080357565E-2</v>
      </c>
      <c r="N21" s="39">
        <f>('Exxon Mobil- Financials'!E27+'Exxon Mobil- Financials'!E28)/'Exxon Mobil- Financials'!E45</f>
        <v>7.7426680623813499E-2</v>
      </c>
      <c r="O21" s="39">
        <f>('Exxon Mobil- Financials'!F27+'Exxon Mobil- Financials'!F28)/'Exxon Mobil- Financials'!F45</f>
        <v>0.12008544745158271</v>
      </c>
      <c r="P21" s="39">
        <f>('Exxon Mobil- Financials'!G27+'Exxon Mobil- Financials'!G28)/'Exxon Mobil- Financials'!G45</f>
        <v>0.42964733145050332</v>
      </c>
      <c r="Q21" s="38"/>
      <c r="R21" s="267"/>
    </row>
    <row r="22" spans="2:18" x14ac:dyDescent="0.3">
      <c r="B22" s="266"/>
      <c r="C22" s="38"/>
      <c r="D22" s="38"/>
      <c r="E22" s="38"/>
      <c r="F22" s="38"/>
      <c r="G22" s="38"/>
      <c r="H22" s="38"/>
      <c r="I22" s="38"/>
      <c r="J22" s="38"/>
      <c r="K22" s="38"/>
      <c r="L22" s="38"/>
      <c r="M22" s="38"/>
      <c r="N22" s="38"/>
      <c r="O22" s="38"/>
      <c r="P22" s="38"/>
      <c r="Q22" s="38"/>
      <c r="R22" s="267"/>
    </row>
    <row r="23" spans="2:18" x14ac:dyDescent="0.3">
      <c r="B23" s="484" t="s">
        <v>116</v>
      </c>
      <c r="C23" s="485"/>
      <c r="D23" s="485"/>
      <c r="E23" s="485"/>
      <c r="F23" s="485"/>
      <c r="G23" s="485"/>
      <c r="H23" s="485"/>
      <c r="I23" s="485"/>
      <c r="J23" s="485"/>
      <c r="K23" s="485"/>
      <c r="L23" s="485"/>
      <c r="M23" s="485"/>
      <c r="N23" s="485"/>
      <c r="O23" s="485"/>
      <c r="P23" s="485"/>
      <c r="Q23" s="485"/>
      <c r="R23" s="486"/>
    </row>
    <row r="24" spans="2:18" x14ac:dyDescent="0.3">
      <c r="B24" s="266"/>
      <c r="C24" s="38"/>
      <c r="D24" s="38"/>
      <c r="E24" s="38"/>
      <c r="F24" s="38"/>
      <c r="G24" s="38"/>
      <c r="H24" s="38"/>
      <c r="I24" s="38"/>
      <c r="J24" s="38"/>
      <c r="K24" s="38"/>
      <c r="L24" s="38"/>
      <c r="M24" s="49">
        <f>M18</f>
        <v>43800</v>
      </c>
      <c r="N24" s="49">
        <f t="shared" ref="N24:P24" si="1">N18</f>
        <v>44166</v>
      </c>
      <c r="O24" s="49">
        <f t="shared" si="1"/>
        <v>44532</v>
      </c>
      <c r="P24" s="49">
        <f t="shared" si="1"/>
        <v>44898</v>
      </c>
      <c r="Q24" s="38"/>
      <c r="R24" s="267"/>
    </row>
    <row r="25" spans="2:18" x14ac:dyDescent="0.3">
      <c r="B25" s="266" t="s">
        <v>117</v>
      </c>
      <c r="C25" s="38"/>
      <c r="D25" s="38"/>
      <c r="E25" s="38"/>
      <c r="F25" s="38"/>
      <c r="G25" s="38"/>
      <c r="H25" s="38"/>
      <c r="I25" s="38"/>
      <c r="J25" s="38"/>
      <c r="K25" s="38"/>
      <c r="L25" s="38"/>
      <c r="M25" s="39">
        <f>('Exxon Mobil- Financials'!D46+'Exxon Mobil- Financials'!D43)/'Exxon Mobil- Financials'!D40</f>
        <v>0.14039829342217394</v>
      </c>
      <c r="N25" s="39">
        <f>('Exxon Mobil- Financials'!E46+'Exxon Mobil- Financials'!E43)/'Exxon Mobil- Financials'!E40</f>
        <v>0.21305184072126221</v>
      </c>
      <c r="O25" s="39">
        <f>('Exxon Mobil- Financials'!F46+'Exxon Mobil- Financials'!F43)/'Exxon Mobil- Financials'!F40</f>
        <v>0.14918137748102075</v>
      </c>
      <c r="P25" s="39">
        <f>('Exxon Mobil- Financials'!G46+'Exxon Mobil- Financials'!G43)/'Exxon Mobil- Financials'!G40</f>
        <v>0.11794877352892565</v>
      </c>
      <c r="Q25" s="38"/>
      <c r="R25" s="267"/>
    </row>
    <row r="26" spans="2:18" x14ac:dyDescent="0.3">
      <c r="B26" s="266" t="s">
        <v>118</v>
      </c>
      <c r="C26" s="38"/>
      <c r="D26" s="38"/>
      <c r="E26" s="38"/>
      <c r="F26" s="38"/>
      <c r="G26" s="38"/>
      <c r="H26" s="38"/>
      <c r="I26" s="38"/>
      <c r="J26" s="38"/>
      <c r="K26" s="38"/>
      <c r="L26" s="38"/>
      <c r="M26" s="39">
        <f>('Exxon Mobil- Financials'!D46+'Exxon Mobil- Financials'!D43)/'Exxon Mobil- Financials'!D58</f>
        <v>0.26563005478737284</v>
      </c>
      <c r="N26" s="39">
        <f>('Exxon Mobil- Financials'!E46+'Exxon Mobil- Financials'!E43)/'Exxon Mobil- Financials'!E58</f>
        <v>0.45111676741966272</v>
      </c>
      <c r="O26" s="39">
        <f>('Exxon Mobil- Financials'!F46+'Exxon Mobil- Financials'!F43)/'Exxon Mobil- Financials'!F58</f>
        <v>0.29992822271128328</v>
      </c>
      <c r="P26" s="39">
        <f>('Exxon Mobil- Financials'!G46+'Exxon Mobil- Financials'!G43)/'Exxon Mobil- Financials'!G58</f>
        <v>0.22317981635383929</v>
      </c>
      <c r="Q26" s="38"/>
      <c r="R26" s="267"/>
    </row>
    <row r="27" spans="2:18" x14ac:dyDescent="0.3">
      <c r="B27" s="266" t="s">
        <v>120</v>
      </c>
      <c r="C27" s="38"/>
      <c r="D27" s="38"/>
      <c r="E27" s="38"/>
      <c r="F27" s="38"/>
      <c r="G27" s="38"/>
      <c r="H27" s="38"/>
      <c r="I27" s="38"/>
      <c r="J27" s="38"/>
      <c r="K27" s="38"/>
      <c r="L27" s="38"/>
      <c r="M27" s="39">
        <f>M26/(1+M26)</f>
        <v>0.2098796988761451</v>
      </c>
      <c r="N27" s="39">
        <f t="shared" ref="N27:P27" si="2">N26/(1+N26)</f>
        <v>0.31087558048262826</v>
      </c>
      <c r="O27" s="39">
        <f t="shared" si="2"/>
        <v>0.23072675665562342</v>
      </c>
      <c r="P27" s="39">
        <f t="shared" si="2"/>
        <v>0.18245871405817757</v>
      </c>
      <c r="Q27" s="38"/>
      <c r="R27" s="267"/>
    </row>
    <row r="28" spans="2:18" x14ac:dyDescent="0.3">
      <c r="B28" s="266" t="s">
        <v>121</v>
      </c>
      <c r="C28" s="38"/>
      <c r="D28" s="38"/>
      <c r="E28" s="38"/>
      <c r="F28" s="38"/>
      <c r="G28" s="38"/>
      <c r="H28" s="38"/>
      <c r="I28" s="38"/>
      <c r="J28" s="38"/>
      <c r="K28" s="38"/>
      <c r="L28" s="38"/>
      <c r="M28" s="39">
        <f>('Exxon Mobil- Financials'!D14+'Exxon Mobil- Financials'!D65)/'Exxon Mobil- Financials'!D15</f>
        <v>48.05301204819277</v>
      </c>
      <c r="N28" s="39">
        <f>('Exxon Mobil- Financials'!E14+'Exxon Mobil- Financials'!E65)/'Exxon Mobil- Financials'!E15</f>
        <v>15.789291882556132</v>
      </c>
      <c r="O28" s="39">
        <f>('Exxon Mobil- Financials'!F14+'Exxon Mobil- Financials'!F65)/'Exxon Mobil- Financials'!F15</f>
        <v>55.74234424498416</v>
      </c>
      <c r="P28" s="39">
        <f>('Exxon Mobil- Financials'!G14+'Exxon Mobil- Financials'!G65)/'Exxon Mobil- Financials'!G15</f>
        <v>128.56015037593986</v>
      </c>
      <c r="Q28" s="38"/>
      <c r="R28" s="267"/>
    </row>
    <row r="29" spans="2:18" x14ac:dyDescent="0.3">
      <c r="B29" s="266" t="s">
        <v>119</v>
      </c>
      <c r="C29" s="38"/>
      <c r="D29" s="38"/>
      <c r="E29" s="38"/>
      <c r="F29" s="38"/>
      <c r="G29" s="38"/>
      <c r="H29" s="38"/>
      <c r="I29" s="38"/>
      <c r="J29" s="38"/>
      <c r="K29" s="38"/>
      <c r="L29" s="38"/>
      <c r="M29" s="39">
        <f>'Exxon Mobil- Financials'!D40/'Exxon Mobil- Financials'!D58</f>
        <v>1.891974954343856</v>
      </c>
      <c r="N29" s="39">
        <f>'Exxon Mobil- Financials'!E40/'Exxon Mobil- Financials'!E58</f>
        <v>2.1174037543748012</v>
      </c>
      <c r="O29" s="39">
        <f>'Exxon Mobil- Financials'!F40/'Exxon Mobil- Financials'!F58</f>
        <v>2.0104937209702389</v>
      </c>
      <c r="P29" s="39">
        <f>'Exxon Mobil- Financials'!G40/'Exxon Mobil- Financials'!G58</f>
        <v>1.8921758122317982</v>
      </c>
      <c r="Q29" s="38"/>
      <c r="R29" s="267"/>
    </row>
    <row r="30" spans="2:18" x14ac:dyDescent="0.3">
      <c r="B30" s="266" t="s">
        <v>193</v>
      </c>
      <c r="C30" s="38"/>
      <c r="D30" s="38"/>
      <c r="E30" s="38"/>
      <c r="F30" s="38"/>
      <c r="G30" s="38"/>
      <c r="H30" s="38"/>
      <c r="I30" s="38"/>
      <c r="J30" s="38"/>
      <c r="K30" s="38"/>
      <c r="L30" s="38"/>
      <c r="M30" s="39">
        <f>'Exxon Mobil- Financials'!D72/('Exxon Mobil- Financials'!D46+'Exxon Mobil- Financials'!D43)</f>
        <v>0.58371965113538149</v>
      </c>
      <c r="N30" s="39">
        <f>'Exxon Mobil- Financials'!E72/('Exxon Mobil- Financials'!E46+'Exxon Mobil- Financials'!E43)</f>
        <v>0.20690336140380575</v>
      </c>
      <c r="O30" s="39">
        <f>'Exxon Mobil- Financials'!F72/('Exxon Mobil- Financials'!F46+'Exxon Mobil- Financials'!F43)</f>
        <v>0.95189968552837168</v>
      </c>
      <c r="P30" s="39">
        <f>'Exxon Mobil- Financials'!G72/('Exxon Mobil- Financials'!G46+'Exxon Mobil- Financials'!G43)</f>
        <v>1.7641910362730009</v>
      </c>
      <c r="Q30" s="38"/>
      <c r="R30" s="267"/>
    </row>
    <row r="31" spans="2:18" x14ac:dyDescent="0.3">
      <c r="B31" s="266"/>
      <c r="C31" s="38"/>
      <c r="D31" s="38"/>
      <c r="E31" s="38"/>
      <c r="F31" s="38"/>
      <c r="G31" s="38"/>
      <c r="H31" s="38"/>
      <c r="I31" s="38"/>
      <c r="J31" s="38"/>
      <c r="K31" s="38"/>
      <c r="L31" s="38"/>
      <c r="M31" s="38"/>
      <c r="N31" s="38"/>
      <c r="O31" s="38"/>
      <c r="P31" s="38"/>
      <c r="Q31" s="38"/>
      <c r="R31" s="267"/>
    </row>
    <row r="32" spans="2:18" x14ac:dyDescent="0.3">
      <c r="B32" s="484" t="s">
        <v>122</v>
      </c>
      <c r="C32" s="485"/>
      <c r="D32" s="485"/>
      <c r="E32" s="485"/>
      <c r="F32" s="485"/>
      <c r="G32" s="485"/>
      <c r="H32" s="485"/>
      <c r="I32" s="485"/>
      <c r="J32" s="485"/>
      <c r="K32" s="485"/>
      <c r="L32" s="485"/>
      <c r="M32" s="485"/>
      <c r="N32" s="485"/>
      <c r="O32" s="485"/>
      <c r="P32" s="485"/>
      <c r="Q32" s="485"/>
      <c r="R32" s="486"/>
    </row>
    <row r="33" spans="2:18" x14ac:dyDescent="0.3">
      <c r="B33" s="266"/>
      <c r="C33" s="38"/>
      <c r="D33" s="38"/>
      <c r="E33" s="38"/>
      <c r="F33" s="38"/>
      <c r="G33" s="38"/>
      <c r="H33" s="38"/>
      <c r="I33" s="38"/>
      <c r="J33" s="38"/>
      <c r="K33" s="38"/>
      <c r="L33" s="38"/>
      <c r="M33" s="49">
        <f>M24</f>
        <v>43800</v>
      </c>
      <c r="N33" s="49">
        <f t="shared" ref="N33:P33" si="3">N24</f>
        <v>44166</v>
      </c>
      <c r="O33" s="49">
        <f t="shared" si="3"/>
        <v>44532</v>
      </c>
      <c r="P33" s="49">
        <f t="shared" si="3"/>
        <v>44898</v>
      </c>
      <c r="Q33" s="38"/>
      <c r="R33" s="267"/>
    </row>
    <row r="34" spans="2:18" x14ac:dyDescent="0.3">
      <c r="B34" s="266" t="s">
        <v>123</v>
      </c>
      <c r="C34" s="38"/>
      <c r="D34" s="38"/>
      <c r="E34" s="38"/>
      <c r="F34" s="38"/>
      <c r="G34" s="38"/>
      <c r="H34" s="38"/>
      <c r="I34" s="38"/>
      <c r="J34" s="38"/>
      <c r="K34" s="38"/>
      <c r="L34" s="38"/>
      <c r="M34" s="39">
        <f>'Exxon Mobil- Financials'!D4/'Exxon Mobil- Financials'!D40</f>
        <v>0.70486793878603515</v>
      </c>
      <c r="N34" s="39">
        <f>'Exxon Mobil- Financials'!E4/'Exxon Mobil- Financials'!E40</f>
        <v>0.53666115702479333</v>
      </c>
      <c r="O34" s="39">
        <f>'Exxon Mobil- Financials'!F4/'Exxon Mobil- Financials'!F40</f>
        <v>0.81638602278393613</v>
      </c>
      <c r="P34" s="39">
        <f>'Exxon Mobil- Financials'!G4/'Exxon Mobil- Financials'!G40</f>
        <v>1.0802239159827349</v>
      </c>
      <c r="Q34" s="38"/>
      <c r="R34" s="267"/>
    </row>
    <row r="35" spans="2:18" x14ac:dyDescent="0.3">
      <c r="B35" s="266" t="s">
        <v>124</v>
      </c>
      <c r="C35" s="38"/>
      <c r="D35" s="38"/>
      <c r="E35" s="38"/>
      <c r="F35" s="38"/>
      <c r="G35" s="38"/>
      <c r="H35" s="38"/>
      <c r="I35" s="38"/>
      <c r="J35" s="38"/>
      <c r="K35" s="38"/>
      <c r="L35" s="38"/>
      <c r="M35" s="39">
        <f>'Exxon Mobil- Financials'!D4/'Analysis- ExxonMobil'!M85</f>
        <v>-18.338451603644973</v>
      </c>
      <c r="N35" s="39">
        <f>'Exxon Mobil- Financials'!E4/'Analysis- ExxonMobil'!N85</f>
        <v>-15.568788142981692</v>
      </c>
      <c r="O35" s="39">
        <f>'Exxon Mobil- Financials'!F4/'Analysis- ExxonMobil'!O85</f>
        <v>110.19195539625647</v>
      </c>
      <c r="P35" s="39">
        <f>'Exxon Mobil- Financials'!G4/'Analysis- ExxonMobil'!P85</f>
        <v>13.946512278737844</v>
      </c>
      <c r="Q35" s="38"/>
      <c r="R35" s="267"/>
    </row>
    <row r="36" spans="2:18" x14ac:dyDescent="0.3">
      <c r="B36" s="266" t="s">
        <v>125</v>
      </c>
      <c r="C36" s="38"/>
      <c r="D36" s="38"/>
      <c r="E36" s="38"/>
      <c r="F36" s="38"/>
      <c r="G36" s="38"/>
      <c r="H36" s="38"/>
      <c r="I36" s="38"/>
      <c r="J36" s="38"/>
      <c r="K36" s="38"/>
      <c r="L36" s="38"/>
      <c r="M36" s="39">
        <f>'Exxon Mobil- Financials'!D5/'Exxon Mobil- Financials'!D30</f>
        <v>9.7488665803108816</v>
      </c>
      <c r="N36" s="39">
        <f>'Exxon Mobil- Financials'!E5/'Exxon Mobil- Financials'!E30</f>
        <v>6.6014854111405832</v>
      </c>
      <c r="O36" s="39">
        <f>'Exxon Mobil- Financials'!F5/'Exxon Mobil- Financials'!F30</f>
        <v>10.180990415335463</v>
      </c>
      <c r="P36" s="39">
        <f>'Exxon Mobil- Financials'!G5/'Exxon Mobil- Financials'!G30</f>
        <v>11.11389400450174</v>
      </c>
      <c r="Q36" s="38"/>
      <c r="R36" s="267"/>
    </row>
    <row r="37" spans="2:18" x14ac:dyDescent="0.3">
      <c r="B37" s="266" t="s">
        <v>126</v>
      </c>
      <c r="C37" s="38"/>
      <c r="D37" s="38"/>
      <c r="E37" s="38"/>
      <c r="F37" s="38"/>
      <c r="G37" s="38"/>
      <c r="H37" s="38"/>
      <c r="I37" s="38"/>
      <c r="J37" s="38"/>
      <c r="K37" s="38"/>
      <c r="L37" s="38"/>
      <c r="M37" s="39">
        <f>'Exxon Mobil- Financials'!D4/'Exxon Mobil- Financials'!D29</f>
        <v>9.4779722613661654</v>
      </c>
      <c r="N37" s="39">
        <f>'Exxon Mobil- Financials'!E4/'Exxon Mobil- Financials'!E29</f>
        <v>8.676643506146446</v>
      </c>
      <c r="O37" s="39">
        <f>'Exxon Mobil- Financials'!F4/'Exxon Mobil- Financials'!F29</f>
        <v>8.5443596949016456</v>
      </c>
      <c r="P37" s="39">
        <f>'Exxon Mobil- Financials'!G4/'Exxon Mobil- Financials'!G29</f>
        <v>9.5493305228867751</v>
      </c>
      <c r="Q37" s="38"/>
      <c r="R37" s="267"/>
    </row>
    <row r="38" spans="2:18" x14ac:dyDescent="0.3">
      <c r="B38" s="266"/>
      <c r="C38" s="38"/>
      <c r="D38" s="38"/>
      <c r="E38" s="38"/>
      <c r="F38" s="38"/>
      <c r="G38" s="38"/>
      <c r="H38" s="38"/>
      <c r="I38" s="38"/>
      <c r="J38" s="38"/>
      <c r="K38" s="38"/>
      <c r="L38" s="38"/>
      <c r="M38" s="38"/>
      <c r="N38" s="38"/>
      <c r="O38" s="38"/>
      <c r="P38" s="38"/>
      <c r="Q38" s="38"/>
      <c r="R38" s="267"/>
    </row>
    <row r="39" spans="2:18" x14ac:dyDescent="0.3">
      <c r="B39" s="484" t="s">
        <v>131</v>
      </c>
      <c r="C39" s="485"/>
      <c r="D39" s="485"/>
      <c r="E39" s="485"/>
      <c r="F39" s="485"/>
      <c r="G39" s="485"/>
      <c r="H39" s="485"/>
      <c r="I39" s="485"/>
      <c r="J39" s="485"/>
      <c r="K39" s="485"/>
      <c r="L39" s="485"/>
      <c r="M39" s="485"/>
      <c r="N39" s="485"/>
      <c r="O39" s="485"/>
      <c r="P39" s="485"/>
      <c r="Q39" s="485"/>
      <c r="R39" s="486"/>
    </row>
    <row r="40" spans="2:18" x14ac:dyDescent="0.3">
      <c r="B40" s="266"/>
      <c r="C40" s="38"/>
      <c r="D40" s="38"/>
      <c r="E40" s="38"/>
      <c r="F40" s="38"/>
      <c r="G40" s="38"/>
      <c r="H40" s="38"/>
      <c r="I40" s="38"/>
      <c r="J40" s="38"/>
      <c r="K40" s="38"/>
      <c r="L40" s="38"/>
      <c r="M40" s="49">
        <f>M33</f>
        <v>43800</v>
      </c>
      <c r="N40" s="49">
        <f t="shared" ref="N40:P40" si="4">N33</f>
        <v>44166</v>
      </c>
      <c r="O40" s="49">
        <f t="shared" si="4"/>
        <v>44532</v>
      </c>
      <c r="P40" s="49">
        <f t="shared" si="4"/>
        <v>44898</v>
      </c>
      <c r="Q40" s="38"/>
      <c r="R40" s="267"/>
    </row>
    <row r="41" spans="2:18" x14ac:dyDescent="0.3">
      <c r="B41" s="266" t="s">
        <v>132</v>
      </c>
      <c r="C41" s="38"/>
      <c r="D41" s="38"/>
      <c r="E41" s="38"/>
      <c r="F41" s="38"/>
      <c r="G41" s="38"/>
      <c r="H41" s="38"/>
      <c r="I41" s="38"/>
      <c r="J41" s="38"/>
      <c r="K41" s="38"/>
      <c r="L41" s="38"/>
      <c r="M41" s="67">
        <f>'Exxon Mobil- Financials'!D22/'Exxon Mobil- Financials'!D58</f>
        <v>7.4823897730237413E-2</v>
      </c>
      <c r="N41" s="67">
        <f>'Exxon Mobil- Financials'!E22/'Exxon Mobil- Financials'!E58</f>
        <v>-0.14279350938593699</v>
      </c>
      <c r="O41" s="67">
        <f>'Exxon Mobil- Financials'!F22/'Exxon Mobil- Financials'!F58</f>
        <v>0.13667344892838287</v>
      </c>
      <c r="P41" s="67">
        <f>'Exxon Mobil- Financials'!G22/'Exxon Mobil- Financials'!G58</f>
        <v>0.28577434388281919</v>
      </c>
      <c r="Q41" s="38"/>
      <c r="R41" s="267"/>
    </row>
    <row r="42" spans="2:18" x14ac:dyDescent="0.3">
      <c r="B42" s="266" t="s">
        <v>133</v>
      </c>
      <c r="C42" s="38"/>
      <c r="D42" s="38"/>
      <c r="E42" s="38"/>
      <c r="F42" s="38"/>
      <c r="G42" s="38"/>
      <c r="H42" s="38"/>
      <c r="I42" s="38"/>
      <c r="J42" s="38"/>
      <c r="K42" s="38"/>
      <c r="L42" s="38"/>
      <c r="M42" s="67">
        <f>'Exxon Mobil- Financials'!D22/'Exxon Mobil- Financials'!D40</f>
        <v>3.954803818012835E-2</v>
      </c>
      <c r="N42" s="67">
        <f>'Exxon Mobil- Financials'!E22/'Exxon Mobil- Financials'!E40</f>
        <v>-6.7438016528925615E-2</v>
      </c>
      <c r="O42" s="67">
        <f>'Exxon Mobil- Financials'!F22/'Exxon Mobil- Financials'!F40</f>
        <v>6.7980042664558024E-2</v>
      </c>
      <c r="P42" s="67">
        <f>'Exxon Mobil- Financials'!G22/'Exxon Mobil- Financials'!G40</f>
        <v>0.151029487870766</v>
      </c>
      <c r="Q42" s="38"/>
      <c r="R42" s="267"/>
    </row>
    <row r="43" spans="2:18" x14ac:dyDescent="0.3">
      <c r="B43" s="266" t="s">
        <v>134</v>
      </c>
      <c r="C43" s="38"/>
      <c r="D43" s="38"/>
      <c r="E43" s="38"/>
      <c r="F43" s="38"/>
      <c r="G43" s="38"/>
      <c r="H43" s="38"/>
      <c r="I43" s="38"/>
      <c r="J43" s="38"/>
      <c r="K43" s="38"/>
      <c r="L43" s="38"/>
      <c r="M43" s="67">
        <f>'Exxon Mobil- Financials'!D22/('Exxon Mobil- Financials'!D46+'Exxon Mobil- Financials'!D43+'Exxon Mobil- Financials'!D58)</f>
        <v>5.911988060587571E-2</v>
      </c>
      <c r="N43" s="67">
        <f>'Exxon Mobil- Financials'!E22/('Exxon Mobil- Financials'!E46+'Exxon Mobil- Financials'!E43+'Exxon Mobil- Financials'!E58)</f>
        <v>-9.8402494266432203E-2</v>
      </c>
      <c r="O43" s="67">
        <f>'Exxon Mobil- Financials'!F22/('Exxon Mobil- Financials'!F46+'Exxon Mobil- Financials'!F43+'Exxon Mobil- Financials'!F58)</f>
        <v>0.10513922733619911</v>
      </c>
      <c r="P43" s="67">
        <f>'Exxon Mobil- Financials'!G22/('Exxon Mobil- Financials'!G46+'Exxon Mobil- Financials'!G43+'Exxon Mobil- Financials'!G58)</f>
        <v>0.23363232458714059</v>
      </c>
      <c r="Q43" s="38"/>
      <c r="R43" s="267"/>
    </row>
    <row r="44" spans="2:18" x14ac:dyDescent="0.3">
      <c r="B44" s="266" t="s">
        <v>135</v>
      </c>
      <c r="C44" s="38"/>
      <c r="D44" s="38"/>
      <c r="E44" s="38"/>
      <c r="F44" s="38"/>
      <c r="G44" s="38"/>
      <c r="H44" s="38"/>
      <c r="I44" s="38"/>
      <c r="J44" s="38"/>
      <c r="K44" s="38"/>
      <c r="L44" s="38"/>
      <c r="M44" s="67">
        <f>'Exxon Mobil- Financials'!D22/('Exxon Mobil- Financials'!D35+'Analysis- ExxonMobil'!M85)</f>
        <v>5.9979672161317714E-2</v>
      </c>
      <c r="N44" s="67">
        <f>'Exxon Mobil- Financials'!E22/('Exxon Mobil- Financials'!E35+'Analysis- ExxonMobil'!N85)</f>
        <v>-0.10384898395523942</v>
      </c>
      <c r="O44" s="67">
        <f>'Exxon Mobil- Financials'!F22/('Exxon Mobil- Financials'!F35+'Analysis- ExxonMobil'!O85)</f>
        <v>0.10517522356582353</v>
      </c>
      <c r="P44" s="67">
        <f>'Exxon Mobil- Financials'!G22/('Exxon Mobil- Financials'!G35+'Analysis- ExxonMobil'!P85)</f>
        <v>0.23894237776386973</v>
      </c>
      <c r="Q44" s="38"/>
      <c r="R44" s="267"/>
    </row>
    <row r="45" spans="2:18" x14ac:dyDescent="0.3">
      <c r="B45" s="266" t="s">
        <v>136</v>
      </c>
      <c r="C45" s="38"/>
      <c r="D45" s="38"/>
      <c r="E45" s="38"/>
      <c r="F45" s="38"/>
      <c r="G45" s="38"/>
      <c r="H45" s="38"/>
      <c r="I45" s="38"/>
      <c r="J45" s="38"/>
      <c r="K45" s="38"/>
      <c r="L45" s="38"/>
      <c r="M45" s="67">
        <f>('Exxon Mobil- Financials'!D14+'Exxon Mobil- Financials'!D65)/'Exxon Mobil- Financials'!D4</f>
        <v>0.15605106755926645</v>
      </c>
      <c r="N45" s="67">
        <f>('Exxon Mobil- Financials'!E14+'Exxon Mobil- Financials'!E65)/'Exxon Mobil- Financials'!E4</f>
        <v>0.10238892559947137</v>
      </c>
      <c r="O45" s="67">
        <f>('Exxon Mobil- Financials'!F14+'Exxon Mobil- Financials'!F65)/'Exxon Mobil- Financials'!F4</f>
        <v>0.19078253075621993</v>
      </c>
      <c r="P45" s="67">
        <f>('Exxon Mobil- Financials'!G14+'Exxon Mobil- Financials'!G65)/'Exxon Mobil- Financials'!G4</f>
        <v>0.25732990531134381</v>
      </c>
      <c r="Q45" s="38"/>
      <c r="R45" s="267"/>
    </row>
    <row r="46" spans="2:18" x14ac:dyDescent="0.3">
      <c r="B46" s="266" t="s">
        <v>137</v>
      </c>
      <c r="C46" s="38"/>
      <c r="D46" s="38"/>
      <c r="E46" s="38"/>
      <c r="F46" s="38"/>
      <c r="G46" s="38"/>
      <c r="H46" s="38"/>
      <c r="I46" s="38"/>
      <c r="J46" s="38"/>
      <c r="K46" s="38"/>
      <c r="L46" s="38"/>
      <c r="M46" s="67">
        <f>'Exxon Mobil- Financials'!D22/'Exxon Mobil- Financials'!D4</f>
        <v>5.6107018072407006E-2</v>
      </c>
      <c r="N46" s="67">
        <f>'Exxon Mobil- Financials'!E22/'Exxon Mobil- Financials'!E4</f>
        <v>-0.12566219046445731</v>
      </c>
      <c r="O46" s="67">
        <f>'Exxon Mobil- Financials'!F22/'Exxon Mobil- Financials'!F4</f>
        <v>8.3269483758113716E-2</v>
      </c>
      <c r="P46" s="67">
        <f>'Exxon Mobil- Financials'!G22/'Exxon Mobil- Financials'!G4</f>
        <v>0.13981313099642567</v>
      </c>
      <c r="Q46" s="38"/>
      <c r="R46" s="267"/>
    </row>
    <row r="47" spans="2:18" x14ac:dyDescent="0.3">
      <c r="B47" s="266"/>
      <c r="C47" s="38"/>
      <c r="D47" s="38"/>
      <c r="E47" s="38"/>
      <c r="F47" s="38"/>
      <c r="G47" s="38"/>
      <c r="H47" s="38"/>
      <c r="I47" s="38"/>
      <c r="J47" s="38"/>
      <c r="K47" s="38"/>
      <c r="L47" s="38"/>
      <c r="M47" s="38"/>
      <c r="N47" s="38"/>
      <c r="O47" s="38"/>
      <c r="P47" s="38"/>
      <c r="Q47" s="38"/>
      <c r="R47" s="267"/>
    </row>
    <row r="48" spans="2:18" x14ac:dyDescent="0.3">
      <c r="B48" s="484" t="s">
        <v>127</v>
      </c>
      <c r="C48" s="485"/>
      <c r="D48" s="485"/>
      <c r="E48" s="485"/>
      <c r="F48" s="485"/>
      <c r="G48" s="485"/>
      <c r="H48" s="485"/>
      <c r="I48" s="485"/>
      <c r="J48" s="485"/>
      <c r="K48" s="485"/>
      <c r="L48" s="485"/>
      <c r="M48" s="485"/>
      <c r="N48" s="485"/>
      <c r="O48" s="485"/>
      <c r="P48" s="485"/>
      <c r="Q48" s="485"/>
      <c r="R48" s="486"/>
    </row>
    <row r="49" spans="2:18" x14ac:dyDescent="0.3">
      <c r="B49" s="266"/>
      <c r="C49" s="38"/>
      <c r="D49" s="38"/>
      <c r="E49" s="38"/>
      <c r="F49" s="38"/>
      <c r="G49" s="38"/>
      <c r="H49" s="38"/>
      <c r="I49" s="38"/>
      <c r="J49" s="38"/>
      <c r="K49" s="38"/>
      <c r="L49" s="38"/>
      <c r="M49" s="49">
        <f>M40</f>
        <v>43800</v>
      </c>
      <c r="N49" s="49">
        <f t="shared" ref="N49:P49" si="5">N40</f>
        <v>44166</v>
      </c>
      <c r="O49" s="49">
        <f t="shared" si="5"/>
        <v>44532</v>
      </c>
      <c r="P49" s="49">
        <f t="shared" si="5"/>
        <v>44898</v>
      </c>
      <c r="Q49" s="38"/>
      <c r="R49" s="267"/>
    </row>
    <row r="50" spans="2:18" x14ac:dyDescent="0.3">
      <c r="B50" s="266" t="s">
        <v>128</v>
      </c>
      <c r="C50" s="38"/>
      <c r="D50" s="38"/>
      <c r="E50" s="38"/>
      <c r="F50" s="38"/>
      <c r="G50" s="38"/>
      <c r="H50" s="38"/>
      <c r="I50" s="38"/>
      <c r="J50" s="38"/>
      <c r="K50" s="38"/>
      <c r="L50" s="38"/>
      <c r="M50" s="39">
        <f>'Exxon Mobil- Financials'!D23/'Exxon Mobil- Financials'!D4</f>
        <v>1.1559454267302598</v>
      </c>
      <c r="N50" s="39">
        <f>'Exxon Mobil- Financials'!E23/'Exxon Mobil- Financials'!E4</f>
        <v>0.97595394626317378</v>
      </c>
      <c r="O50" s="39">
        <f>'Exxon Mobil- Financials'!F23/'Exxon Mobil- Financials'!F4</f>
        <v>0.93743223512063956</v>
      </c>
      <c r="P50" s="39">
        <f>'Exxon Mobil- Financials'!G23/'Exxon Mobil- Financials'!G4</f>
        <v>1.1393741769611838</v>
      </c>
      <c r="Q50" s="38"/>
      <c r="R50" s="267"/>
    </row>
    <row r="51" spans="2:18" x14ac:dyDescent="0.3">
      <c r="B51" s="266" t="s">
        <v>129</v>
      </c>
      <c r="C51" s="38"/>
      <c r="D51" s="38"/>
      <c r="E51" s="38"/>
      <c r="F51" s="38"/>
      <c r="G51" s="38"/>
      <c r="H51" s="38"/>
      <c r="I51" s="38"/>
      <c r="J51" s="38"/>
      <c r="K51" s="38"/>
      <c r="L51" s="38"/>
      <c r="M51" s="39">
        <f>'Exxon Mobil- Financials'!D23/'Exxon Mobil- Financials'!D22</f>
        <v>20.602510460251047</v>
      </c>
      <c r="N51" s="39">
        <f>'Exxon Mobil- Financials'!E23/'Exxon Mobil- Financials'!E22</f>
        <v>-7.7664884135472372</v>
      </c>
      <c r="O51" s="39">
        <f>'Exxon Mobil- Financials'!F23/'Exxon Mobil- Financials'!F22</f>
        <v>11.2578125</v>
      </c>
      <c r="P51" s="39">
        <f>'Exxon Mobil- Financials'!G23/'Exxon Mobil- Financials'!G22</f>
        <v>8.1492644420523863</v>
      </c>
      <c r="Q51" s="38"/>
      <c r="R51" s="267"/>
    </row>
    <row r="52" spans="2:18" x14ac:dyDescent="0.3">
      <c r="B52" s="266" t="s">
        <v>140</v>
      </c>
      <c r="C52" s="38"/>
      <c r="D52" s="38"/>
      <c r="E52" s="38"/>
      <c r="F52" s="38"/>
      <c r="G52" s="38"/>
      <c r="H52" s="38"/>
      <c r="I52" s="38"/>
      <c r="J52" s="38"/>
      <c r="K52" s="38"/>
      <c r="L52" s="38"/>
      <c r="M52" s="39">
        <f>'Exxon Mobil- Financials'!D23/'Exxon Mobil- Financials'!D72</f>
        <v>9.9421187239197746</v>
      </c>
      <c r="N52" s="39">
        <f>'Exxon Mobil- Financials'!E23/'Exxon Mobil- Financials'!E72</f>
        <v>11.88164712298882</v>
      </c>
      <c r="O52" s="39">
        <f>'Exxon Mobil- Financials'!F23/'Exxon Mobil- Financials'!F72</f>
        <v>5.3892663466932618</v>
      </c>
      <c r="P52" s="39">
        <f>'Exxon Mobil- Financials'!G23/'Exxon Mobil- Financials'!G72</f>
        <v>5.9148143807700819</v>
      </c>
      <c r="Q52" s="38"/>
      <c r="R52" s="267"/>
    </row>
    <row r="53" spans="2:18" x14ac:dyDescent="0.3">
      <c r="B53" s="266" t="s">
        <v>130</v>
      </c>
      <c r="C53" s="38"/>
      <c r="D53" s="38"/>
      <c r="E53" s="38"/>
      <c r="F53" s="38"/>
      <c r="G53" s="38"/>
      <c r="H53" s="38"/>
      <c r="I53" s="38"/>
      <c r="J53" s="38"/>
      <c r="K53" s="38"/>
      <c r="L53" s="38"/>
      <c r="M53" s="39">
        <f>'Exxon Mobil- Financials'!D23/'Exxon Mobil- Financials'!D58</f>
        <v>1.5415601356639708</v>
      </c>
      <c r="N53" s="39">
        <f>'Exxon Mobil- Financials'!E23/'Exxon Mobil- Financials'!E58</f>
        <v>1.1090041361756284</v>
      </c>
      <c r="O53" s="39">
        <f>'Exxon Mobil- Financials'!F23/'Exxon Mobil- Financials'!F58</f>
        <v>1.5386440617640604</v>
      </c>
      <c r="P53" s="39">
        <f>'Exxon Mobil- Financials'!G23/'Exxon Mobil- Financials'!G58</f>
        <v>2.3288506990551094</v>
      </c>
      <c r="Q53" s="38"/>
      <c r="R53" s="267"/>
    </row>
    <row r="54" spans="2:18" x14ac:dyDescent="0.3">
      <c r="B54" s="266"/>
      <c r="C54" s="38"/>
      <c r="D54" s="38"/>
      <c r="E54" s="38"/>
      <c r="F54" s="38"/>
      <c r="G54" s="38"/>
      <c r="H54" s="38"/>
      <c r="I54" s="38"/>
      <c r="J54" s="38"/>
      <c r="K54" s="38"/>
      <c r="L54" s="38"/>
      <c r="M54" s="38"/>
      <c r="N54" s="38"/>
      <c r="O54" s="38"/>
      <c r="P54" s="38"/>
      <c r="Q54" s="38"/>
      <c r="R54" s="267"/>
    </row>
    <row r="55" spans="2:18" x14ac:dyDescent="0.3">
      <c r="B55" s="484" t="s">
        <v>138</v>
      </c>
      <c r="C55" s="485"/>
      <c r="D55" s="485"/>
      <c r="E55" s="485"/>
      <c r="F55" s="485"/>
      <c r="G55" s="485"/>
      <c r="H55" s="485"/>
      <c r="I55" s="485"/>
      <c r="J55" s="485"/>
      <c r="K55" s="485"/>
      <c r="L55" s="485"/>
      <c r="M55" s="485"/>
      <c r="N55" s="485"/>
      <c r="O55" s="485"/>
      <c r="P55" s="485"/>
      <c r="Q55" s="485"/>
      <c r="R55" s="486"/>
    </row>
    <row r="56" spans="2:18" x14ac:dyDescent="0.3">
      <c r="B56" s="266"/>
      <c r="C56" s="38"/>
      <c r="D56" s="38"/>
      <c r="E56" s="38"/>
      <c r="F56" s="38"/>
      <c r="G56" s="38"/>
      <c r="H56" s="38"/>
      <c r="I56" s="38"/>
      <c r="J56" s="38"/>
      <c r="K56" s="38"/>
      <c r="L56" s="38"/>
      <c r="M56" s="49">
        <f>M49</f>
        <v>43800</v>
      </c>
      <c r="N56" s="49">
        <f t="shared" ref="N56:P56" si="6">N49</f>
        <v>44166</v>
      </c>
      <c r="O56" s="49">
        <f t="shared" si="6"/>
        <v>44532</v>
      </c>
      <c r="P56" s="49">
        <f t="shared" si="6"/>
        <v>44898</v>
      </c>
      <c r="Q56" s="38"/>
      <c r="R56" s="267"/>
    </row>
    <row r="57" spans="2:18" x14ac:dyDescent="0.3">
      <c r="B57" s="266" t="s">
        <v>23</v>
      </c>
      <c r="C57" s="38"/>
      <c r="D57" s="38"/>
      <c r="E57" s="38"/>
      <c r="F57" s="38"/>
      <c r="G57" s="38"/>
      <c r="H57" s="38"/>
      <c r="I57" s="38"/>
      <c r="J57" s="38"/>
      <c r="K57" s="38"/>
      <c r="L57" s="38"/>
      <c r="M57" s="51">
        <f>'Exxon Mobil- Financials'!D22</f>
        <v>14340000</v>
      </c>
      <c r="N57" s="51">
        <f>'Exxon Mobil- Financials'!E22</f>
        <v>-22440000</v>
      </c>
      <c r="O57" s="51">
        <f>'Exxon Mobil- Financials'!F22</f>
        <v>23040000</v>
      </c>
      <c r="P57" s="51">
        <f>'Exxon Mobil- Financials'!G22</f>
        <v>55740000</v>
      </c>
      <c r="Q57" s="38"/>
      <c r="R57" s="267"/>
    </row>
    <row r="58" spans="2:18" x14ac:dyDescent="0.3">
      <c r="B58" s="266" t="s">
        <v>139</v>
      </c>
      <c r="C58" s="38"/>
      <c r="D58" s="38"/>
      <c r="E58" s="38"/>
      <c r="F58" s="38"/>
      <c r="G58" s="38"/>
      <c r="H58" s="38"/>
      <c r="I58" s="38"/>
      <c r="J58" s="38"/>
      <c r="K58" s="38"/>
      <c r="L58" s="38"/>
      <c r="M58" s="51">
        <f>'Exxon Mobil- Financials'!D4</f>
        <v>255583000</v>
      </c>
      <c r="N58" s="51">
        <f>'Exxon Mobil- Financials'!E4</f>
        <v>178574000</v>
      </c>
      <c r="O58" s="51">
        <f>'Exxon Mobil- Financials'!F4</f>
        <v>276692000</v>
      </c>
      <c r="P58" s="51">
        <f>'Exxon Mobil- Financials'!G4</f>
        <v>398675000</v>
      </c>
      <c r="Q58" s="38"/>
      <c r="R58" s="267"/>
    </row>
    <row r="59" spans="2:18" x14ac:dyDescent="0.3">
      <c r="B59" s="266" t="s">
        <v>39</v>
      </c>
      <c r="C59" s="38"/>
      <c r="D59" s="38"/>
      <c r="E59" s="38"/>
      <c r="F59" s="38"/>
      <c r="G59" s="38"/>
      <c r="H59" s="38"/>
      <c r="I59" s="38"/>
      <c r="J59" s="38"/>
      <c r="K59" s="38"/>
      <c r="L59" s="38"/>
      <c r="M59" s="51">
        <f>'Exxon Mobil- Financials'!D40</f>
        <v>362597000</v>
      </c>
      <c r="N59" s="51">
        <f>'Exxon Mobil- Financials'!E40</f>
        <v>332750000</v>
      </c>
      <c r="O59" s="51">
        <f>'Exxon Mobil- Financials'!F40</f>
        <v>338923000</v>
      </c>
      <c r="P59" s="51">
        <f>'Exxon Mobil- Financials'!G40</f>
        <v>369067000</v>
      </c>
      <c r="Q59" s="38"/>
      <c r="R59" s="267"/>
    </row>
    <row r="60" spans="2:18" x14ac:dyDescent="0.3">
      <c r="B60" s="266" t="s">
        <v>141</v>
      </c>
      <c r="C60" s="38"/>
      <c r="D60" s="38"/>
      <c r="E60" s="38"/>
      <c r="F60" s="38"/>
      <c r="G60" s="38"/>
      <c r="H60" s="38"/>
      <c r="I60" s="38"/>
      <c r="J60" s="38"/>
      <c r="K60" s="38"/>
      <c r="L60" s="38"/>
      <c r="M60" s="51">
        <f>'Exxon Mobil- Financials'!D58</f>
        <v>191650000</v>
      </c>
      <c r="N60" s="51">
        <f>'Exxon Mobil- Financials'!E58</f>
        <v>157150000</v>
      </c>
      <c r="O60" s="51">
        <f>'Exxon Mobil- Financials'!F58</f>
        <v>168577000</v>
      </c>
      <c r="P60" s="51">
        <f>'Exxon Mobil- Financials'!G58</f>
        <v>195049000</v>
      </c>
      <c r="Q60" s="38"/>
      <c r="R60" s="267"/>
    </row>
    <row r="61" spans="2:18" x14ac:dyDescent="0.3">
      <c r="B61" s="266" t="s">
        <v>142</v>
      </c>
      <c r="C61" s="38"/>
      <c r="D61" s="38"/>
      <c r="E61" s="38"/>
      <c r="F61" s="38"/>
      <c r="G61" s="38"/>
      <c r="H61" s="38"/>
      <c r="I61" s="38"/>
      <c r="J61" s="38"/>
      <c r="K61" s="38"/>
      <c r="L61" s="38"/>
      <c r="M61" s="67">
        <f>M57/M58</f>
        <v>5.6107018072407006E-2</v>
      </c>
      <c r="N61" s="67">
        <f t="shared" ref="N61:P61" si="7">N57/N58</f>
        <v>-0.12566219046445731</v>
      </c>
      <c r="O61" s="67">
        <f t="shared" si="7"/>
        <v>8.3269483758113716E-2</v>
      </c>
      <c r="P61" s="67">
        <f t="shared" si="7"/>
        <v>0.13981313099642567</v>
      </c>
      <c r="Q61" s="38"/>
      <c r="R61" s="267"/>
    </row>
    <row r="62" spans="2:18" x14ac:dyDescent="0.3">
      <c r="B62" s="266" t="s">
        <v>143</v>
      </c>
      <c r="C62" s="38"/>
      <c r="D62" s="38"/>
      <c r="E62" s="38"/>
      <c r="F62" s="38"/>
      <c r="G62" s="38"/>
      <c r="H62" s="38"/>
      <c r="I62" s="38"/>
      <c r="J62" s="38"/>
      <c r="K62" s="38"/>
      <c r="L62" s="38"/>
      <c r="M62" s="39">
        <f>M58/M59</f>
        <v>0.70486793878603515</v>
      </c>
      <c r="N62" s="39">
        <f t="shared" ref="N62:P62" si="8">N58/N59</f>
        <v>0.53666115702479333</v>
      </c>
      <c r="O62" s="39">
        <f t="shared" si="8"/>
        <v>0.81638602278393613</v>
      </c>
      <c r="P62" s="39">
        <f t="shared" si="8"/>
        <v>1.0802239159827349</v>
      </c>
      <c r="Q62" s="38"/>
      <c r="R62" s="267"/>
    </row>
    <row r="63" spans="2:18" x14ac:dyDescent="0.3">
      <c r="B63" s="266" t="s">
        <v>144</v>
      </c>
      <c r="C63" s="38"/>
      <c r="D63" s="38"/>
      <c r="E63" s="38"/>
      <c r="F63" s="38"/>
      <c r="G63" s="38"/>
      <c r="H63" s="38"/>
      <c r="I63" s="38"/>
      <c r="J63" s="38"/>
      <c r="K63" s="38"/>
      <c r="L63" s="38"/>
      <c r="M63" s="39">
        <f>M59/M60</f>
        <v>1.891974954343856</v>
      </c>
      <c r="N63" s="39">
        <f t="shared" ref="N63:P63" si="9">N59/N60</f>
        <v>2.1174037543748012</v>
      </c>
      <c r="O63" s="39">
        <f t="shared" si="9"/>
        <v>2.0104937209702389</v>
      </c>
      <c r="P63" s="39">
        <f t="shared" si="9"/>
        <v>1.8921758122317982</v>
      </c>
      <c r="Q63" s="38"/>
      <c r="R63" s="267"/>
    </row>
    <row r="64" spans="2:18" x14ac:dyDescent="0.3">
      <c r="B64" s="290" t="s">
        <v>145</v>
      </c>
      <c r="C64" s="291"/>
      <c r="D64" s="291"/>
      <c r="E64" s="291"/>
      <c r="F64" s="291"/>
      <c r="G64" s="291"/>
      <c r="H64" s="291"/>
      <c r="I64" s="291"/>
      <c r="J64" s="291"/>
      <c r="K64" s="291"/>
      <c r="L64" s="291"/>
      <c r="M64" s="292">
        <f>M61*M62*M63</f>
        <v>7.4823897730237413E-2</v>
      </c>
      <c r="N64" s="292">
        <f t="shared" ref="N64:P64" si="10">N61*N62*N63</f>
        <v>-0.14279350938593699</v>
      </c>
      <c r="O64" s="292">
        <f t="shared" si="10"/>
        <v>0.13667344892838285</v>
      </c>
      <c r="P64" s="292">
        <f t="shared" si="10"/>
        <v>0.28577434388281925</v>
      </c>
      <c r="Q64" s="291"/>
      <c r="R64" s="293"/>
    </row>
    <row r="65" spans="2:18" x14ac:dyDescent="0.3">
      <c r="B65" s="266"/>
      <c r="C65" s="38"/>
      <c r="D65" s="38"/>
      <c r="E65" s="38"/>
      <c r="F65" s="38"/>
      <c r="G65" s="38"/>
      <c r="H65" s="38"/>
      <c r="I65" s="38"/>
      <c r="J65" s="38"/>
      <c r="K65" s="38"/>
      <c r="L65" s="38"/>
      <c r="M65" s="38"/>
      <c r="N65" s="38"/>
      <c r="O65" s="38"/>
      <c r="P65" s="38"/>
      <c r="Q65" s="38"/>
      <c r="R65" s="267"/>
    </row>
    <row r="66" spans="2:18" x14ac:dyDescent="0.3">
      <c r="B66" s="484" t="s">
        <v>286</v>
      </c>
      <c r="C66" s="485"/>
      <c r="D66" s="485"/>
      <c r="E66" s="485"/>
      <c r="F66" s="485"/>
      <c r="G66" s="485"/>
      <c r="H66" s="485"/>
      <c r="I66" s="485"/>
      <c r="J66" s="485"/>
      <c r="K66" s="485"/>
      <c r="L66" s="485"/>
      <c r="M66" s="485"/>
      <c r="N66" s="485"/>
      <c r="O66" s="485"/>
      <c r="P66" s="485"/>
      <c r="Q66" s="485"/>
      <c r="R66" s="486"/>
    </row>
    <row r="67" spans="2:18" x14ac:dyDescent="0.3">
      <c r="B67" s="266"/>
      <c r="C67" s="38"/>
      <c r="D67" s="38"/>
      <c r="E67" s="38"/>
      <c r="F67" s="38"/>
      <c r="G67" s="38"/>
      <c r="H67" s="38"/>
      <c r="I67" s="38"/>
      <c r="J67" s="38"/>
      <c r="K67" s="38"/>
      <c r="L67" s="38"/>
      <c r="M67" s="49">
        <f>M56</f>
        <v>43800</v>
      </c>
      <c r="N67" s="49">
        <f t="shared" ref="N67:P67" si="11">N56</f>
        <v>44166</v>
      </c>
      <c r="O67" s="49">
        <f t="shared" si="11"/>
        <v>44532</v>
      </c>
      <c r="P67" s="49">
        <f t="shared" si="11"/>
        <v>44898</v>
      </c>
      <c r="Q67" s="38"/>
      <c r="R67" s="267"/>
    </row>
    <row r="68" spans="2:18" x14ac:dyDescent="0.3">
      <c r="B68" s="266" t="s">
        <v>23</v>
      </c>
      <c r="C68" s="38"/>
      <c r="D68" s="38"/>
      <c r="E68" s="38"/>
      <c r="F68" s="38"/>
      <c r="G68" s="38"/>
      <c r="H68" s="38"/>
      <c r="I68" s="38"/>
      <c r="J68" s="38"/>
      <c r="K68" s="38"/>
      <c r="L68" s="38"/>
      <c r="M68" s="51">
        <f>M57</f>
        <v>14340000</v>
      </c>
      <c r="N68" s="51">
        <f t="shared" ref="N68:P68" si="12">N57</f>
        <v>-22440000</v>
      </c>
      <c r="O68" s="51">
        <f t="shared" si="12"/>
        <v>23040000</v>
      </c>
      <c r="P68" s="51">
        <f t="shared" si="12"/>
        <v>55740000</v>
      </c>
      <c r="Q68" s="38"/>
      <c r="R68" s="267"/>
    </row>
    <row r="69" spans="2:18" x14ac:dyDescent="0.3">
      <c r="B69" s="266" t="s">
        <v>139</v>
      </c>
      <c r="C69" s="38"/>
      <c r="D69" s="38"/>
      <c r="E69" s="38"/>
      <c r="F69" s="38"/>
      <c r="G69" s="38"/>
      <c r="H69" s="38"/>
      <c r="I69" s="38"/>
      <c r="J69" s="38"/>
      <c r="K69" s="38"/>
      <c r="L69" s="38"/>
      <c r="M69" s="51">
        <f t="shared" ref="M69:P69" si="13">M58</f>
        <v>255583000</v>
      </c>
      <c r="N69" s="51">
        <f t="shared" si="13"/>
        <v>178574000</v>
      </c>
      <c r="O69" s="51">
        <f t="shared" si="13"/>
        <v>276692000</v>
      </c>
      <c r="P69" s="51">
        <f t="shared" si="13"/>
        <v>398675000</v>
      </c>
      <c r="Q69" s="38"/>
      <c r="R69" s="267"/>
    </row>
    <row r="70" spans="2:18" x14ac:dyDescent="0.3">
      <c r="B70" s="266" t="s">
        <v>39</v>
      </c>
      <c r="C70" s="38"/>
      <c r="D70" s="38"/>
      <c r="E70" s="38"/>
      <c r="F70" s="38"/>
      <c r="G70" s="38"/>
      <c r="H70" s="38"/>
      <c r="I70" s="38"/>
      <c r="J70" s="38"/>
      <c r="K70" s="38"/>
      <c r="L70" s="38"/>
      <c r="M70" s="51">
        <f t="shared" ref="M70:P70" si="14">M59</f>
        <v>362597000</v>
      </c>
      <c r="N70" s="51">
        <f t="shared" si="14"/>
        <v>332750000</v>
      </c>
      <c r="O70" s="51">
        <f t="shared" si="14"/>
        <v>338923000</v>
      </c>
      <c r="P70" s="51">
        <f t="shared" si="14"/>
        <v>369067000</v>
      </c>
      <c r="Q70" s="38"/>
      <c r="R70" s="267"/>
    </row>
    <row r="71" spans="2:18" x14ac:dyDescent="0.3">
      <c r="B71" s="266" t="s">
        <v>142</v>
      </c>
      <c r="C71" s="38"/>
      <c r="D71" s="38"/>
      <c r="E71" s="38"/>
      <c r="F71" s="38"/>
      <c r="G71" s="38"/>
      <c r="H71" s="38"/>
      <c r="I71" s="38"/>
      <c r="J71" s="38"/>
      <c r="K71" s="38"/>
      <c r="L71" s="38"/>
      <c r="M71" s="67">
        <f>M68/M69</f>
        <v>5.6107018072407006E-2</v>
      </c>
      <c r="N71" s="67">
        <f t="shared" ref="N71:P71" si="15">N68/N69</f>
        <v>-0.12566219046445731</v>
      </c>
      <c r="O71" s="67">
        <f t="shared" si="15"/>
        <v>8.3269483758113716E-2</v>
      </c>
      <c r="P71" s="67">
        <f t="shared" si="15"/>
        <v>0.13981313099642567</v>
      </c>
      <c r="Q71" s="38"/>
      <c r="R71" s="267"/>
    </row>
    <row r="72" spans="2:18" x14ac:dyDescent="0.3">
      <c r="B72" s="266" t="s">
        <v>143</v>
      </c>
      <c r="C72" s="38"/>
      <c r="D72" s="38"/>
      <c r="E72" s="38"/>
      <c r="F72" s="38"/>
      <c r="G72" s="38"/>
      <c r="H72" s="38"/>
      <c r="I72" s="38"/>
      <c r="J72" s="38"/>
      <c r="K72" s="38"/>
      <c r="L72" s="38"/>
      <c r="M72" s="39">
        <f>M69/M70</f>
        <v>0.70486793878603515</v>
      </c>
      <c r="N72" s="39">
        <f t="shared" ref="N72:P72" si="16">N69/N70</f>
        <v>0.53666115702479333</v>
      </c>
      <c r="O72" s="39">
        <f t="shared" si="16"/>
        <v>0.81638602278393613</v>
      </c>
      <c r="P72" s="39">
        <f t="shared" si="16"/>
        <v>1.0802239159827349</v>
      </c>
      <c r="Q72" s="38"/>
      <c r="R72" s="267"/>
    </row>
    <row r="73" spans="2:18" x14ac:dyDescent="0.3">
      <c r="B73" s="290" t="s">
        <v>147</v>
      </c>
      <c r="C73" s="291"/>
      <c r="D73" s="291"/>
      <c r="E73" s="291"/>
      <c r="F73" s="291"/>
      <c r="G73" s="291"/>
      <c r="H73" s="291"/>
      <c r="I73" s="291"/>
      <c r="J73" s="291"/>
      <c r="K73" s="291"/>
      <c r="L73" s="291"/>
      <c r="M73" s="292">
        <f>M71*M72</f>
        <v>3.954803818012835E-2</v>
      </c>
      <c r="N73" s="292">
        <f t="shared" ref="N73:P73" si="17">N71*N72</f>
        <v>-6.7438016528925615E-2</v>
      </c>
      <c r="O73" s="292">
        <f t="shared" si="17"/>
        <v>6.7980042664558024E-2</v>
      </c>
      <c r="P73" s="292">
        <f t="shared" si="17"/>
        <v>0.15102948787076603</v>
      </c>
      <c r="Q73" s="291"/>
      <c r="R73" s="293"/>
    </row>
    <row r="74" spans="2:18" x14ac:dyDescent="0.3">
      <c r="B74" s="266"/>
      <c r="C74" s="38"/>
      <c r="D74" s="38"/>
      <c r="E74" s="38"/>
      <c r="F74" s="38"/>
      <c r="G74" s="38"/>
      <c r="H74" s="38"/>
      <c r="I74" s="38"/>
      <c r="J74" s="38"/>
      <c r="K74" s="38"/>
      <c r="L74" s="38"/>
      <c r="M74" s="38"/>
      <c r="N74" s="38"/>
      <c r="O74" s="38"/>
      <c r="P74" s="38"/>
      <c r="Q74" s="38"/>
      <c r="R74" s="267"/>
    </row>
    <row r="75" spans="2:18" x14ac:dyDescent="0.3">
      <c r="B75" s="286" t="s">
        <v>194</v>
      </c>
      <c r="C75" s="38"/>
      <c r="D75" s="38"/>
      <c r="E75" s="38"/>
      <c r="F75" s="38"/>
      <c r="G75" s="38"/>
      <c r="H75" s="38"/>
      <c r="I75" s="38"/>
      <c r="J75" s="38"/>
      <c r="K75" s="38"/>
      <c r="L75" s="38"/>
      <c r="M75" s="38"/>
      <c r="N75" s="38"/>
      <c r="O75" s="38"/>
      <c r="P75" s="38"/>
      <c r="Q75" s="38"/>
      <c r="R75" s="267"/>
    </row>
    <row r="76" spans="2:18" x14ac:dyDescent="0.3">
      <c r="B76" s="285" t="s">
        <v>287</v>
      </c>
      <c r="C76" s="38"/>
      <c r="D76" s="38"/>
      <c r="E76" s="38"/>
      <c r="F76" s="38"/>
      <c r="G76" s="38"/>
      <c r="H76" s="38"/>
      <c r="I76" s="38"/>
      <c r="J76" s="38"/>
      <c r="K76" s="38"/>
      <c r="L76" s="38"/>
      <c r="M76" s="38"/>
      <c r="N76" s="38"/>
      <c r="O76" s="38"/>
      <c r="P76" s="38"/>
      <c r="Q76" s="38"/>
      <c r="R76" s="267"/>
    </row>
    <row r="77" spans="2:18" x14ac:dyDescent="0.3">
      <c r="B77" s="285" t="s">
        <v>288</v>
      </c>
      <c r="C77" s="38"/>
      <c r="D77" s="38"/>
      <c r="E77" s="38"/>
      <c r="F77" s="38"/>
      <c r="G77" s="38"/>
      <c r="H77" s="38"/>
      <c r="I77" s="38"/>
      <c r="J77" s="38"/>
      <c r="K77" s="38"/>
      <c r="L77" s="38"/>
      <c r="M77" s="38"/>
      <c r="N77" s="38"/>
      <c r="O77" s="38"/>
      <c r="P77" s="38"/>
      <c r="Q77" s="38"/>
      <c r="R77" s="267"/>
    </row>
    <row r="78" spans="2:18" x14ac:dyDescent="0.3">
      <c r="B78" s="285" t="s">
        <v>289</v>
      </c>
      <c r="C78" s="38"/>
      <c r="D78" s="38"/>
      <c r="E78" s="38"/>
      <c r="F78" s="38"/>
      <c r="G78" s="38"/>
      <c r="H78" s="38"/>
      <c r="I78" s="38"/>
      <c r="J78" s="38"/>
      <c r="K78" s="38"/>
      <c r="L78" s="38"/>
      <c r="M78" s="38"/>
      <c r="N78" s="38"/>
      <c r="O78" s="38"/>
      <c r="P78" s="38"/>
      <c r="Q78" s="38"/>
      <c r="R78" s="267"/>
    </row>
    <row r="79" spans="2:18" ht="15" thickBot="1" x14ac:dyDescent="0.35">
      <c r="B79" s="279"/>
      <c r="C79" s="271"/>
      <c r="D79" s="271"/>
      <c r="E79" s="271"/>
      <c r="F79" s="271"/>
      <c r="G79" s="271"/>
      <c r="H79" s="271"/>
      <c r="I79" s="271"/>
      <c r="J79" s="271"/>
      <c r="K79" s="271"/>
      <c r="L79" s="271"/>
      <c r="M79" s="271"/>
      <c r="N79" s="271"/>
      <c r="O79" s="271"/>
      <c r="P79" s="271"/>
      <c r="Q79" s="271"/>
      <c r="R79" s="273"/>
    </row>
    <row r="81" spans="2:18" x14ac:dyDescent="0.3">
      <c r="B81" s="481" t="s">
        <v>209</v>
      </c>
      <c r="C81" s="482"/>
      <c r="D81" s="482"/>
      <c r="E81" s="482"/>
      <c r="F81" s="482"/>
      <c r="G81" s="482"/>
      <c r="H81" s="482"/>
      <c r="I81" s="482"/>
      <c r="J81" s="482"/>
      <c r="K81" s="482"/>
      <c r="L81" s="482"/>
      <c r="M81" s="482"/>
      <c r="N81" s="482"/>
      <c r="O81" s="482"/>
      <c r="P81" s="482"/>
      <c r="Q81" s="482"/>
      <c r="R81" s="483"/>
    </row>
    <row r="82" spans="2:18" x14ac:dyDescent="0.3">
      <c r="B82" s="266"/>
      <c r="C82" s="38"/>
      <c r="D82" s="38"/>
      <c r="E82" s="38"/>
      <c r="F82" s="38"/>
      <c r="G82" s="38"/>
      <c r="H82" s="38"/>
      <c r="I82" s="38"/>
      <c r="J82" s="38"/>
      <c r="K82" s="38"/>
      <c r="L82" s="38"/>
      <c r="M82" s="49"/>
      <c r="N82" s="49"/>
      <c r="O82" s="49"/>
      <c r="P82" s="49"/>
      <c r="Q82" s="38"/>
      <c r="R82" s="267"/>
    </row>
    <row r="83" spans="2:18" x14ac:dyDescent="0.3">
      <c r="B83" s="484" t="s">
        <v>151</v>
      </c>
      <c r="C83" s="485"/>
      <c r="D83" s="485"/>
      <c r="E83" s="485"/>
      <c r="F83" s="485"/>
      <c r="G83" s="485"/>
      <c r="H83" s="485"/>
      <c r="I83" s="485"/>
      <c r="J83" s="485"/>
      <c r="K83" s="485"/>
      <c r="L83" s="485"/>
      <c r="M83" s="485"/>
      <c r="N83" s="485"/>
      <c r="O83" s="485"/>
      <c r="P83" s="485"/>
      <c r="Q83" s="485"/>
      <c r="R83" s="486"/>
    </row>
    <row r="84" spans="2:18" x14ac:dyDescent="0.3">
      <c r="B84" s="266"/>
      <c r="C84" s="38"/>
      <c r="D84" s="38"/>
      <c r="E84" s="38"/>
      <c r="F84" s="38"/>
      <c r="G84" s="38"/>
      <c r="H84" s="38"/>
      <c r="I84" s="38"/>
      <c r="J84" s="38"/>
      <c r="K84" s="38"/>
      <c r="L84" s="38"/>
      <c r="M84" s="49">
        <f>M67</f>
        <v>43800</v>
      </c>
      <c r="N84" s="49">
        <f t="shared" ref="N84:P84" si="18">N67</f>
        <v>44166</v>
      </c>
      <c r="O84" s="49">
        <f t="shared" si="18"/>
        <v>44532</v>
      </c>
      <c r="P84" s="49">
        <f t="shared" si="18"/>
        <v>44898</v>
      </c>
      <c r="Q84" s="38"/>
      <c r="R84" s="267"/>
    </row>
    <row r="85" spans="2:18" x14ac:dyDescent="0.3">
      <c r="B85" s="266" t="s">
        <v>152</v>
      </c>
      <c r="C85" s="38"/>
      <c r="D85" s="38"/>
      <c r="E85" s="38"/>
      <c r="F85" s="38"/>
      <c r="G85" s="38"/>
      <c r="H85" s="38"/>
      <c r="I85" s="38"/>
      <c r="J85" s="38"/>
      <c r="K85" s="38"/>
      <c r="L85" s="38"/>
      <c r="M85" s="51">
        <f>'Exxon Mobil- Financials'!D32-'Exxon Mobil- Financials'!D45</f>
        <v>-13937000</v>
      </c>
      <c r="N85" s="51">
        <f>'Exxon Mobil- Financials'!E32-'Exxon Mobil- Financials'!E45</f>
        <v>-11470000</v>
      </c>
      <c r="O85" s="51">
        <f>'Exxon Mobil- Financials'!F32-'Exxon Mobil- Financials'!F45</f>
        <v>2511000</v>
      </c>
      <c r="P85" s="51">
        <f>'Exxon Mobil- Financials'!G32-'Exxon Mobil- Financials'!G45</f>
        <v>28586000</v>
      </c>
      <c r="Q85" s="38"/>
      <c r="R85" s="267"/>
    </row>
    <row r="86" spans="2:18" x14ac:dyDescent="0.3">
      <c r="B86" s="266" t="s">
        <v>39</v>
      </c>
      <c r="C86" s="38"/>
      <c r="D86" s="38"/>
      <c r="E86" s="38"/>
      <c r="F86" s="38"/>
      <c r="G86" s="38"/>
      <c r="H86" s="38"/>
      <c r="I86" s="38"/>
      <c r="J86" s="38"/>
      <c r="K86" s="38"/>
      <c r="L86" s="38"/>
      <c r="M86" s="51">
        <f>M70</f>
        <v>362597000</v>
      </c>
      <c r="N86" s="51">
        <f t="shared" ref="N86:P86" si="19">N70</f>
        <v>332750000</v>
      </c>
      <c r="O86" s="51">
        <f t="shared" si="19"/>
        <v>338923000</v>
      </c>
      <c r="P86" s="51">
        <f t="shared" si="19"/>
        <v>369067000</v>
      </c>
      <c r="Q86" s="38"/>
      <c r="R86" s="267"/>
    </row>
    <row r="87" spans="2:18" x14ac:dyDescent="0.3">
      <c r="B87" s="266" t="s">
        <v>161</v>
      </c>
      <c r="C87" s="38"/>
      <c r="D87" s="38"/>
      <c r="E87" s="38"/>
      <c r="F87" s="38"/>
      <c r="G87" s="38"/>
      <c r="H87" s="38"/>
      <c r="I87" s="38"/>
      <c r="J87" s="38"/>
      <c r="K87" s="38"/>
      <c r="L87" s="38"/>
      <c r="M87" s="39">
        <f>M85/M86</f>
        <v>-3.8436611444661706E-2</v>
      </c>
      <c r="N87" s="39">
        <f t="shared" ref="N87:P87" si="20">N85/N86</f>
        <v>-3.4470323065364385E-2</v>
      </c>
      <c r="O87" s="39">
        <f t="shared" si="20"/>
        <v>7.408762462270191E-3</v>
      </c>
      <c r="P87" s="39">
        <f t="shared" si="20"/>
        <v>7.7454771084924962E-2</v>
      </c>
      <c r="Q87" s="38"/>
      <c r="R87" s="267"/>
    </row>
    <row r="88" spans="2:18" x14ac:dyDescent="0.3">
      <c r="B88" s="266"/>
      <c r="C88" s="38"/>
      <c r="D88" s="38"/>
      <c r="E88" s="38"/>
      <c r="F88" s="38"/>
      <c r="G88" s="38"/>
      <c r="H88" s="38"/>
      <c r="I88" s="38"/>
      <c r="J88" s="38"/>
      <c r="K88" s="38"/>
      <c r="L88" s="38"/>
      <c r="M88" s="38"/>
      <c r="N88" s="38"/>
      <c r="O88" s="38"/>
      <c r="P88" s="38"/>
      <c r="Q88" s="38"/>
      <c r="R88" s="267"/>
    </row>
    <row r="89" spans="2:18" x14ac:dyDescent="0.3">
      <c r="B89" s="484" t="s">
        <v>153</v>
      </c>
      <c r="C89" s="485"/>
      <c r="D89" s="485"/>
      <c r="E89" s="485"/>
      <c r="F89" s="485"/>
      <c r="G89" s="485"/>
      <c r="H89" s="485"/>
      <c r="I89" s="485"/>
      <c r="J89" s="485"/>
      <c r="K89" s="485"/>
      <c r="L89" s="485"/>
      <c r="M89" s="485"/>
      <c r="N89" s="485"/>
      <c r="O89" s="485"/>
      <c r="P89" s="485"/>
      <c r="Q89" s="485"/>
      <c r="R89" s="486"/>
    </row>
    <row r="90" spans="2:18" x14ac:dyDescent="0.3">
      <c r="B90" s="266"/>
      <c r="C90" s="38"/>
      <c r="D90" s="38"/>
      <c r="E90" s="38"/>
      <c r="F90" s="38"/>
      <c r="G90" s="38"/>
      <c r="H90" s="38"/>
      <c r="I90" s="38"/>
      <c r="J90" s="38"/>
      <c r="K90" s="38"/>
      <c r="L90" s="38"/>
      <c r="M90" s="49">
        <f>M84</f>
        <v>43800</v>
      </c>
      <c r="N90" s="49">
        <f t="shared" ref="N90:P90" si="21">N84</f>
        <v>44166</v>
      </c>
      <c r="O90" s="49">
        <f t="shared" si="21"/>
        <v>44532</v>
      </c>
      <c r="P90" s="49">
        <f t="shared" si="21"/>
        <v>44898</v>
      </c>
      <c r="Q90" s="38"/>
      <c r="R90" s="267"/>
    </row>
    <row r="91" spans="2:18" x14ac:dyDescent="0.3">
      <c r="B91" s="266" t="s">
        <v>186</v>
      </c>
      <c r="C91" s="38"/>
      <c r="D91" s="38"/>
      <c r="E91" s="38"/>
      <c r="F91" s="38"/>
      <c r="G91" s="38"/>
      <c r="H91" s="38"/>
      <c r="I91" s="38"/>
      <c r="J91" s="38"/>
      <c r="K91" s="38"/>
      <c r="L91" s="38"/>
      <c r="M91" s="51">
        <f>'Exxon Mobil- Financials'!D14</f>
        <v>20886000</v>
      </c>
      <c r="N91" s="51">
        <f>'Exxon Mobil- Financials'!E14</f>
        <v>-27725000</v>
      </c>
      <c r="O91" s="51">
        <f>'Exxon Mobil- Financials'!F14</f>
        <v>32181000</v>
      </c>
      <c r="P91" s="51">
        <f>'Exxon Mobil- Financials'!G14</f>
        <v>78551000</v>
      </c>
      <c r="Q91" s="38"/>
      <c r="R91" s="267"/>
    </row>
    <row r="92" spans="2:18" x14ac:dyDescent="0.3">
      <c r="B92" s="266" t="s">
        <v>39</v>
      </c>
      <c r="C92" s="38"/>
      <c r="D92" s="38"/>
      <c r="E92" s="38"/>
      <c r="F92" s="38"/>
      <c r="G92" s="38"/>
      <c r="H92" s="38"/>
      <c r="I92" s="38"/>
      <c r="J92" s="38"/>
      <c r="K92" s="38"/>
      <c r="L92" s="38"/>
      <c r="M92" s="51">
        <f>M86</f>
        <v>362597000</v>
      </c>
      <c r="N92" s="51">
        <f t="shared" ref="N92:P92" si="22">N86</f>
        <v>332750000</v>
      </c>
      <c r="O92" s="51">
        <f t="shared" si="22"/>
        <v>338923000</v>
      </c>
      <c r="P92" s="51">
        <f t="shared" si="22"/>
        <v>369067000</v>
      </c>
      <c r="Q92" s="38"/>
      <c r="R92" s="267"/>
    </row>
    <row r="93" spans="2:18" x14ac:dyDescent="0.3">
      <c r="B93" s="266" t="s">
        <v>237</v>
      </c>
      <c r="C93" s="38"/>
      <c r="D93" s="38"/>
      <c r="E93" s="38"/>
      <c r="F93" s="38"/>
      <c r="G93" s="38"/>
      <c r="H93" s="38"/>
      <c r="I93" s="38"/>
      <c r="J93" s="38"/>
      <c r="K93" s="38"/>
      <c r="L93" s="38"/>
      <c r="M93" s="39">
        <f>M91/M92</f>
        <v>5.7601138453986109E-2</v>
      </c>
      <c r="N93" s="39">
        <f t="shared" ref="N93:P93" si="23">N91/N92</f>
        <v>-8.3320811419984972E-2</v>
      </c>
      <c r="O93" s="39">
        <f t="shared" si="23"/>
        <v>9.4950770528999209E-2</v>
      </c>
      <c r="P93" s="39">
        <f t="shared" si="23"/>
        <v>0.2128366936084776</v>
      </c>
      <c r="Q93" s="38"/>
      <c r="R93" s="267"/>
    </row>
    <row r="94" spans="2:18" x14ac:dyDescent="0.3">
      <c r="B94" s="266"/>
      <c r="C94" s="38"/>
      <c r="D94" s="38"/>
      <c r="E94" s="38"/>
      <c r="F94" s="38"/>
      <c r="G94" s="38"/>
      <c r="H94" s="38"/>
      <c r="I94" s="38"/>
      <c r="J94" s="38"/>
      <c r="K94" s="38"/>
      <c r="L94" s="38"/>
      <c r="M94" s="38"/>
      <c r="N94" s="38"/>
      <c r="O94" s="38"/>
      <c r="P94" s="38"/>
      <c r="Q94" s="38"/>
      <c r="R94" s="267"/>
    </row>
    <row r="95" spans="2:18" x14ac:dyDescent="0.3">
      <c r="B95" s="484" t="s">
        <v>154</v>
      </c>
      <c r="C95" s="485"/>
      <c r="D95" s="485"/>
      <c r="E95" s="485"/>
      <c r="F95" s="485"/>
      <c r="G95" s="485"/>
      <c r="H95" s="485"/>
      <c r="I95" s="485"/>
      <c r="J95" s="485"/>
      <c r="K95" s="485"/>
      <c r="L95" s="485"/>
      <c r="M95" s="485"/>
      <c r="N95" s="485"/>
      <c r="O95" s="485"/>
      <c r="P95" s="485"/>
      <c r="Q95" s="485"/>
      <c r="R95" s="486"/>
    </row>
    <row r="96" spans="2:18" x14ac:dyDescent="0.3">
      <c r="B96" s="266"/>
      <c r="C96" s="38"/>
      <c r="D96" s="38"/>
      <c r="E96" s="38"/>
      <c r="F96" s="38"/>
      <c r="G96" s="38"/>
      <c r="H96" s="38"/>
      <c r="I96" s="38"/>
      <c r="J96" s="38"/>
      <c r="K96" s="38"/>
      <c r="L96" s="38"/>
      <c r="M96" s="49">
        <f>M90</f>
        <v>43800</v>
      </c>
      <c r="N96" s="49">
        <f t="shared" ref="N96:P96" si="24">N90</f>
        <v>44166</v>
      </c>
      <c r="O96" s="49">
        <f t="shared" si="24"/>
        <v>44532</v>
      </c>
      <c r="P96" s="49">
        <f t="shared" si="24"/>
        <v>44898</v>
      </c>
      <c r="Q96" s="38"/>
      <c r="R96" s="267"/>
    </row>
    <row r="97" spans="2:18" x14ac:dyDescent="0.3">
      <c r="B97" s="266" t="s">
        <v>53</v>
      </c>
      <c r="C97" s="38"/>
      <c r="D97" s="38"/>
      <c r="E97" s="38"/>
      <c r="F97" s="38"/>
      <c r="G97" s="38"/>
      <c r="H97" s="38"/>
      <c r="I97" s="38"/>
      <c r="J97" s="38"/>
      <c r="K97" s="38"/>
      <c r="L97" s="38"/>
      <c r="M97" s="51">
        <f>'Exxon Mobil- Financials'!D55</f>
        <v>-225835000</v>
      </c>
      <c r="N97" s="51">
        <f>'Exxon Mobil- Financials'!E55</f>
        <v>-225776000</v>
      </c>
      <c r="O97" s="51">
        <f>'Exxon Mobil- Financials'!F55</f>
        <v>-225464000</v>
      </c>
      <c r="P97" s="51">
        <f>'Exxon Mobil- Financials'!G55</f>
        <v>-240293000</v>
      </c>
      <c r="Q97" s="38"/>
      <c r="R97" s="267"/>
    </row>
    <row r="98" spans="2:18" x14ac:dyDescent="0.3">
      <c r="B98" s="266" t="s">
        <v>39</v>
      </c>
      <c r="C98" s="38"/>
      <c r="D98" s="38"/>
      <c r="E98" s="38"/>
      <c r="F98" s="38"/>
      <c r="G98" s="38"/>
      <c r="H98" s="38"/>
      <c r="I98" s="38"/>
      <c r="J98" s="38"/>
      <c r="K98" s="38"/>
      <c r="L98" s="38"/>
      <c r="M98" s="51">
        <f>M92</f>
        <v>362597000</v>
      </c>
      <c r="N98" s="51">
        <f t="shared" ref="N98:P98" si="25">N92</f>
        <v>332750000</v>
      </c>
      <c r="O98" s="51">
        <f t="shared" si="25"/>
        <v>338923000</v>
      </c>
      <c r="P98" s="51">
        <f t="shared" si="25"/>
        <v>369067000</v>
      </c>
      <c r="Q98" s="38"/>
      <c r="R98" s="267"/>
    </row>
    <row r="99" spans="2:18" x14ac:dyDescent="0.3">
      <c r="B99" s="266" t="s">
        <v>238</v>
      </c>
      <c r="C99" s="38"/>
      <c r="D99" s="38"/>
      <c r="E99" s="38"/>
      <c r="F99" s="38"/>
      <c r="G99" s="38"/>
      <c r="H99" s="38"/>
      <c r="I99" s="38"/>
      <c r="J99" s="38"/>
      <c r="K99" s="38"/>
      <c r="L99" s="38"/>
      <c r="M99" s="39">
        <f>M97/M98</f>
        <v>-0.62282644368265594</v>
      </c>
      <c r="N99" s="39">
        <f t="shared" ref="N99:P99" si="26">N97/N98</f>
        <v>-0.67851540195341853</v>
      </c>
      <c r="O99" s="39">
        <f t="shared" si="26"/>
        <v>-0.66523664667195792</v>
      </c>
      <c r="P99" s="39">
        <f t="shared" si="26"/>
        <v>-0.65108232380570463</v>
      </c>
      <c r="Q99" s="38"/>
      <c r="R99" s="267"/>
    </row>
    <row r="100" spans="2:18" x14ac:dyDescent="0.3">
      <c r="B100" s="266"/>
      <c r="C100" s="38"/>
      <c r="D100" s="38"/>
      <c r="E100" s="38"/>
      <c r="F100" s="38"/>
      <c r="G100" s="38"/>
      <c r="H100" s="38"/>
      <c r="I100" s="38"/>
      <c r="J100" s="38"/>
      <c r="K100" s="38"/>
      <c r="L100" s="38"/>
      <c r="M100" s="38"/>
      <c r="N100" s="38"/>
      <c r="O100" s="38"/>
      <c r="P100" s="38"/>
      <c r="Q100" s="38"/>
      <c r="R100" s="267"/>
    </row>
    <row r="101" spans="2:18" x14ac:dyDescent="0.3">
      <c r="B101" s="484" t="s">
        <v>156</v>
      </c>
      <c r="C101" s="485"/>
      <c r="D101" s="485"/>
      <c r="E101" s="485"/>
      <c r="F101" s="485"/>
      <c r="G101" s="485"/>
      <c r="H101" s="485"/>
      <c r="I101" s="485"/>
      <c r="J101" s="485"/>
      <c r="K101" s="485"/>
      <c r="L101" s="485"/>
      <c r="M101" s="485"/>
      <c r="N101" s="485"/>
      <c r="O101" s="485"/>
      <c r="P101" s="485"/>
      <c r="Q101" s="485"/>
      <c r="R101" s="486"/>
    </row>
    <row r="102" spans="2:18" x14ac:dyDescent="0.3">
      <c r="B102" s="266"/>
      <c r="C102" s="38"/>
      <c r="D102" s="38"/>
      <c r="E102" s="38"/>
      <c r="F102" s="38"/>
      <c r="G102" s="38"/>
      <c r="H102" s="38"/>
      <c r="I102" s="38"/>
      <c r="J102" s="38"/>
      <c r="K102" s="38"/>
      <c r="L102" s="38"/>
      <c r="M102" s="49">
        <f>M96</f>
        <v>43800</v>
      </c>
      <c r="N102" s="49">
        <f t="shared" ref="N102:P102" si="27">N96</f>
        <v>44166</v>
      </c>
      <c r="O102" s="49">
        <f t="shared" si="27"/>
        <v>44532</v>
      </c>
      <c r="P102" s="49">
        <f t="shared" si="27"/>
        <v>44898</v>
      </c>
      <c r="Q102" s="38"/>
      <c r="R102" s="267"/>
    </row>
    <row r="103" spans="2:18" x14ac:dyDescent="0.3">
      <c r="B103" s="266" t="s">
        <v>213</v>
      </c>
      <c r="C103" s="38"/>
      <c r="D103" s="38"/>
      <c r="E103" s="38"/>
      <c r="F103" s="38"/>
      <c r="G103" s="38"/>
      <c r="H103" s="38"/>
      <c r="I103" s="38"/>
      <c r="J103" s="38"/>
      <c r="K103" s="38"/>
      <c r="L103" s="38"/>
      <c r="M103" s="51">
        <f>'Exxon Mobil- Financials'!D4</f>
        <v>255583000</v>
      </c>
      <c r="N103" s="51">
        <f>'Exxon Mobil- Financials'!E4</f>
        <v>178574000</v>
      </c>
      <c r="O103" s="51">
        <f>'Exxon Mobil- Financials'!F4</f>
        <v>276692000</v>
      </c>
      <c r="P103" s="51">
        <f>'Exxon Mobil- Financials'!G4</f>
        <v>398675000</v>
      </c>
      <c r="Q103" s="38"/>
      <c r="R103" s="267"/>
    </row>
    <row r="104" spans="2:18" x14ac:dyDescent="0.3">
      <c r="B104" s="266" t="s">
        <v>39</v>
      </c>
      <c r="C104" s="38"/>
      <c r="D104" s="38"/>
      <c r="E104" s="38"/>
      <c r="F104" s="38"/>
      <c r="G104" s="38"/>
      <c r="H104" s="38"/>
      <c r="I104" s="38"/>
      <c r="J104" s="38"/>
      <c r="K104" s="38"/>
      <c r="L104" s="38"/>
      <c r="M104" s="51">
        <f>M98</f>
        <v>362597000</v>
      </c>
      <c r="N104" s="51">
        <f t="shared" ref="N104:P104" si="28">N98</f>
        <v>332750000</v>
      </c>
      <c r="O104" s="51">
        <f t="shared" si="28"/>
        <v>338923000</v>
      </c>
      <c r="P104" s="51">
        <f t="shared" si="28"/>
        <v>369067000</v>
      </c>
      <c r="Q104" s="38"/>
      <c r="R104" s="267"/>
    </row>
    <row r="105" spans="2:18" x14ac:dyDescent="0.3">
      <c r="B105" s="266" t="s">
        <v>239</v>
      </c>
      <c r="C105" s="38"/>
      <c r="D105" s="38"/>
      <c r="E105" s="38"/>
      <c r="F105" s="38"/>
      <c r="G105" s="38"/>
      <c r="H105" s="38"/>
      <c r="I105" s="38"/>
      <c r="J105" s="38"/>
      <c r="K105" s="38"/>
      <c r="L105" s="38"/>
      <c r="M105" s="39">
        <f>M103/M104</f>
        <v>0.70486793878603515</v>
      </c>
      <c r="N105" s="39">
        <f t="shared" ref="N105:P105" si="29">N103/N104</f>
        <v>0.53666115702479333</v>
      </c>
      <c r="O105" s="39">
        <f t="shared" si="29"/>
        <v>0.81638602278393613</v>
      </c>
      <c r="P105" s="39">
        <f t="shared" si="29"/>
        <v>1.0802239159827349</v>
      </c>
      <c r="Q105" s="38"/>
      <c r="R105" s="267"/>
    </row>
    <row r="106" spans="2:18" x14ac:dyDescent="0.3">
      <c r="B106" s="266"/>
      <c r="C106" s="38"/>
      <c r="D106" s="38"/>
      <c r="E106" s="38"/>
      <c r="F106" s="38"/>
      <c r="G106" s="38"/>
      <c r="H106" s="38"/>
      <c r="I106" s="38"/>
      <c r="J106" s="38"/>
      <c r="K106" s="38"/>
      <c r="L106" s="38"/>
      <c r="M106" s="38"/>
      <c r="N106" s="38"/>
      <c r="O106" s="38"/>
      <c r="P106" s="38"/>
      <c r="Q106" s="38"/>
      <c r="R106" s="267"/>
    </row>
    <row r="107" spans="2:18" x14ac:dyDescent="0.3">
      <c r="B107" s="484" t="s">
        <v>224</v>
      </c>
      <c r="C107" s="485"/>
      <c r="D107" s="485"/>
      <c r="E107" s="485"/>
      <c r="F107" s="485"/>
      <c r="G107" s="485"/>
      <c r="H107" s="485"/>
      <c r="I107" s="485"/>
      <c r="J107" s="485"/>
      <c r="K107" s="485"/>
      <c r="L107" s="485"/>
      <c r="M107" s="485"/>
      <c r="N107" s="485"/>
      <c r="O107" s="485"/>
      <c r="P107" s="485"/>
      <c r="Q107" s="485"/>
      <c r="R107" s="486"/>
    </row>
    <row r="108" spans="2:18" x14ac:dyDescent="0.3">
      <c r="B108" s="266"/>
      <c r="C108" s="38"/>
      <c r="D108" s="38"/>
      <c r="E108" s="38"/>
      <c r="F108" s="38"/>
      <c r="G108" s="38"/>
      <c r="H108" s="38"/>
      <c r="I108" s="38"/>
      <c r="J108" s="38"/>
      <c r="K108" s="38"/>
      <c r="L108" s="38"/>
      <c r="M108" s="49">
        <f>M102</f>
        <v>43800</v>
      </c>
      <c r="N108" s="49">
        <f t="shared" ref="N108:P108" si="30">N102</f>
        <v>44166</v>
      </c>
      <c r="O108" s="49">
        <f t="shared" si="30"/>
        <v>44532</v>
      </c>
      <c r="P108" s="49">
        <f t="shared" si="30"/>
        <v>44898</v>
      </c>
      <c r="Q108" s="38"/>
      <c r="R108" s="267"/>
    </row>
    <row r="109" spans="2:18" x14ac:dyDescent="0.3">
      <c r="B109" s="266" t="s">
        <v>160</v>
      </c>
      <c r="C109" s="38"/>
      <c r="D109" s="38"/>
      <c r="E109" s="38"/>
      <c r="F109" s="38"/>
      <c r="G109" s="38"/>
      <c r="H109" s="38"/>
      <c r="I109" s="38"/>
      <c r="J109" s="38"/>
      <c r="K109" s="38"/>
      <c r="L109" s="38"/>
      <c r="M109" s="51">
        <f>'Exxon Mobil- Financials'!D23</f>
        <v>295440000</v>
      </c>
      <c r="N109" s="51">
        <f>'Exxon Mobil- Financials'!E23</f>
        <v>174280000</v>
      </c>
      <c r="O109" s="51">
        <f>'Exxon Mobil- Financials'!F23</f>
        <v>259380000</v>
      </c>
      <c r="P109" s="51">
        <f>'Exxon Mobil- Financials'!G23</f>
        <v>454240000</v>
      </c>
      <c r="Q109" s="38"/>
      <c r="R109" s="267"/>
    </row>
    <row r="110" spans="2:18" x14ac:dyDescent="0.3">
      <c r="B110" s="266" t="s">
        <v>159</v>
      </c>
      <c r="C110" s="38"/>
      <c r="D110" s="38"/>
      <c r="E110" s="38"/>
      <c r="F110" s="38"/>
      <c r="G110" s="38"/>
      <c r="H110" s="38"/>
      <c r="I110" s="38"/>
      <c r="J110" s="38"/>
      <c r="K110" s="38"/>
      <c r="L110" s="38"/>
      <c r="M110" s="51">
        <f>'Exxon Mobil- Financials'!D46</f>
        <v>30330000</v>
      </c>
      <c r="N110" s="51">
        <f>'Exxon Mobil- Financials'!E46</f>
        <v>50435000</v>
      </c>
      <c r="O110" s="51">
        <f>'Exxon Mobil- Financials'!F46</f>
        <v>46285000</v>
      </c>
      <c r="P110" s="51">
        <f>'Exxon Mobil- Financials'!G46</f>
        <v>42897000</v>
      </c>
      <c r="Q110" s="38"/>
      <c r="R110" s="267"/>
    </row>
    <row r="111" spans="2:18" ht="15" thickBot="1" x14ac:dyDescent="0.35">
      <c r="B111" s="279" t="s">
        <v>240</v>
      </c>
      <c r="C111" s="271"/>
      <c r="D111" s="271"/>
      <c r="E111" s="271"/>
      <c r="F111" s="271"/>
      <c r="G111" s="271"/>
      <c r="H111" s="271"/>
      <c r="I111" s="271"/>
      <c r="J111" s="271"/>
      <c r="K111" s="271"/>
      <c r="L111" s="271"/>
      <c r="M111" s="274">
        <f>M109/M110</f>
        <v>9.7408506429277946</v>
      </c>
      <c r="N111" s="274">
        <f t="shared" ref="N111:P111" si="31">N109/N110</f>
        <v>3.455536829582631</v>
      </c>
      <c r="O111" s="274">
        <f t="shared" si="31"/>
        <v>5.6039753699902777</v>
      </c>
      <c r="P111" s="274">
        <f t="shared" si="31"/>
        <v>10.589085483833369</v>
      </c>
      <c r="Q111" s="271"/>
      <c r="R111" s="273"/>
    </row>
    <row r="113" spans="2:18" x14ac:dyDescent="0.3">
      <c r="B113" s="481" t="s">
        <v>166</v>
      </c>
      <c r="C113" s="482"/>
      <c r="D113" s="482"/>
      <c r="E113" s="482"/>
      <c r="F113" s="482"/>
      <c r="G113" s="482"/>
      <c r="H113" s="482"/>
      <c r="I113" s="482"/>
      <c r="J113" s="482"/>
      <c r="K113" s="482"/>
      <c r="L113" s="482"/>
      <c r="M113" s="482"/>
      <c r="N113" s="482"/>
      <c r="O113" s="482"/>
      <c r="P113" s="482"/>
      <c r="Q113" s="482"/>
      <c r="R113" s="483"/>
    </row>
    <row r="114" spans="2:18" x14ac:dyDescent="0.3">
      <c r="B114" s="266"/>
      <c r="C114" s="38"/>
      <c r="D114" s="88" t="s">
        <v>169</v>
      </c>
      <c r="E114" s="88" t="s">
        <v>170</v>
      </c>
      <c r="F114" s="88" t="s">
        <v>171</v>
      </c>
      <c r="G114" s="88" t="s">
        <v>172</v>
      </c>
      <c r="H114" s="88" t="s">
        <v>173</v>
      </c>
      <c r="I114" s="38"/>
      <c r="J114" s="38"/>
      <c r="K114" s="38"/>
      <c r="L114" s="38"/>
      <c r="M114" s="38"/>
      <c r="N114" s="38"/>
      <c r="O114" s="37" t="s">
        <v>166</v>
      </c>
      <c r="P114" s="37"/>
      <c r="Q114" s="37" t="s">
        <v>174</v>
      </c>
      <c r="R114" s="267"/>
    </row>
    <row r="115" spans="2:18" x14ac:dyDescent="0.3">
      <c r="B115" s="266" t="s">
        <v>226</v>
      </c>
      <c r="C115" s="38" t="s">
        <v>168</v>
      </c>
      <c r="D115" s="88">
        <v>1.2</v>
      </c>
      <c r="E115" s="88">
        <v>3.3</v>
      </c>
      <c r="F115" s="88">
        <v>1.4</v>
      </c>
      <c r="G115" s="88">
        <v>1</v>
      </c>
      <c r="H115" s="88">
        <v>0.6</v>
      </c>
      <c r="I115" s="38"/>
      <c r="J115" s="38"/>
      <c r="K115" s="38"/>
      <c r="L115" s="38"/>
      <c r="M115" s="38"/>
      <c r="N115" s="38"/>
      <c r="O115" s="38"/>
      <c r="P115" s="38"/>
      <c r="Q115" s="38"/>
      <c r="R115" s="267"/>
    </row>
    <row r="116" spans="2:18" x14ac:dyDescent="0.3">
      <c r="B116" s="268">
        <f t="array" ref="B116:B119">TRANSPOSE(M108:P108)</f>
        <v>43800</v>
      </c>
      <c r="C116" s="38"/>
      <c r="D116" s="39">
        <f t="array" ref="D116:D119">TRANSPOSE(M87:P87)</f>
        <v>-3.8436611444661706E-2</v>
      </c>
      <c r="E116" s="39">
        <f t="array" ref="E116:E119">TRANSPOSE(M93:P93)</f>
        <v>5.7601138453986109E-2</v>
      </c>
      <c r="F116" s="39">
        <f t="array" ref="F116:F119">TRANSPOSE(M99:P99)</f>
        <v>-0.62282644368265594</v>
      </c>
      <c r="G116" s="39">
        <f t="array" ref="G116:G119">TRANSPOSE(M105:P105)</f>
        <v>0.70486793878603515</v>
      </c>
      <c r="H116" s="39">
        <f t="array" ref="H116:H119">TRANSPOSE(M111:P111)</f>
        <v>9.7408506429277946</v>
      </c>
      <c r="I116" s="38"/>
      <c r="J116" s="38"/>
      <c r="K116" s="38"/>
      <c r="L116" s="38"/>
      <c r="M116" s="38"/>
      <c r="N116" s="38"/>
      <c r="O116" s="65">
        <f>SUMPRODUCT(D116:H116,$D$115:$H$115)</f>
        <v>5.8213811265515538</v>
      </c>
      <c r="P116" s="38"/>
      <c r="Q116" s="38" t="str">
        <f>IF(O116&lt;3.1,"Distress Zone", " Safe Zone")</f>
        <v xml:space="preserve"> Safe Zone</v>
      </c>
      <c r="R116" s="267"/>
    </row>
    <row r="117" spans="2:18" x14ac:dyDescent="0.3">
      <c r="B117" s="268">
        <v>44166</v>
      </c>
      <c r="C117" s="38"/>
      <c r="D117" s="39">
        <v>-3.4470323065364385E-2</v>
      </c>
      <c r="E117" s="39">
        <v>-8.3320811419984972E-2</v>
      </c>
      <c r="F117" s="39">
        <v>-0.67851540195341853</v>
      </c>
      <c r="G117" s="39">
        <v>0.53666115702479333</v>
      </c>
      <c r="H117" s="39">
        <v>3.455536829582631</v>
      </c>
      <c r="I117" s="38"/>
      <c r="J117" s="38"/>
      <c r="K117" s="38"/>
      <c r="L117" s="38"/>
      <c r="M117" s="38"/>
      <c r="N117" s="38"/>
      <c r="O117" s="65">
        <f>SUMPRODUCT(D117:H117,$D$115:$H$115)</f>
        <v>1.3437386266751981</v>
      </c>
      <c r="P117" s="38"/>
      <c r="Q117" s="38" t="str">
        <f>IF(O117&lt;3.1,"Distress Zone", " Safe Zone")</f>
        <v>Distress Zone</v>
      </c>
      <c r="R117" s="267"/>
    </row>
    <row r="118" spans="2:18" x14ac:dyDescent="0.3">
      <c r="B118" s="268">
        <v>44532</v>
      </c>
      <c r="C118" s="38"/>
      <c r="D118" s="39">
        <v>7.408762462270191E-3</v>
      </c>
      <c r="E118" s="39">
        <v>9.4950770528999209E-2</v>
      </c>
      <c r="F118" s="39">
        <v>-0.66523664667195792</v>
      </c>
      <c r="G118" s="39">
        <v>0.81638602278393613</v>
      </c>
      <c r="H118" s="39">
        <v>5.6039753699902777</v>
      </c>
      <c r="I118" s="38"/>
      <c r="J118" s="38"/>
      <c r="K118" s="38"/>
      <c r="L118" s="38"/>
      <c r="M118" s="38"/>
      <c r="N118" s="38"/>
      <c r="O118" s="65">
        <f>SUMPRODUCT(D118:H118,$D$115:$H$115)</f>
        <v>3.5696679971377829</v>
      </c>
      <c r="P118" s="38"/>
      <c r="Q118" s="38" t="str">
        <f>IF(O118&lt;3.1,"Distress Zone", " Safe Zone")</f>
        <v xml:space="preserve"> Safe Zone</v>
      </c>
      <c r="R118" s="267"/>
    </row>
    <row r="119" spans="2:18" ht="15" thickBot="1" x14ac:dyDescent="0.35">
      <c r="B119" s="270">
        <v>44898</v>
      </c>
      <c r="C119" s="271"/>
      <c r="D119" s="274">
        <v>7.7454771084924962E-2</v>
      </c>
      <c r="E119" s="274">
        <v>0.2128366936084776</v>
      </c>
      <c r="F119" s="274">
        <v>-0.65108232380570463</v>
      </c>
      <c r="G119" s="274">
        <v>1.0802239159827349</v>
      </c>
      <c r="H119" s="274">
        <v>10.589085483833369</v>
      </c>
      <c r="I119" s="271"/>
      <c r="J119" s="271"/>
      <c r="K119" s="271"/>
      <c r="L119" s="271"/>
      <c r="M119" s="271"/>
      <c r="N119" s="271"/>
      <c r="O119" s="289">
        <f>SUMPRODUCT(D119:H119,$D$115:$H$115)</f>
        <v>7.3174667671646558</v>
      </c>
      <c r="P119" s="271"/>
      <c r="Q119" s="271" t="str">
        <f>IF(O119&lt;3.1,"Distress Zone", " Safe Zone")</f>
        <v xml:space="preserve"> Safe Zone</v>
      </c>
      <c r="R119" s="273"/>
    </row>
  </sheetData>
  <sheetProtection sheet="1" objects="1" scenarios="1"/>
  <customSheetViews>
    <customSheetView guid="{157A7F57-E932-4D71-AAC5-1BA0DA6A9C96}" scale="99" showGridLines="0">
      <selection activeCell="Q116" sqref="Q116"/>
      <pageMargins left="0.7" right="0.7" top="0.75" bottom="0.75" header="0.3" footer="0.3"/>
      <pageSetup paperSize="9" orientation="portrait" r:id="rId1"/>
    </customSheetView>
  </customSheetViews>
  <mergeCells count="17">
    <mergeCell ref="B113:R113"/>
    <mergeCell ref="B81:R81"/>
    <mergeCell ref="B83:R83"/>
    <mergeCell ref="B89:R89"/>
    <mergeCell ref="B95:R95"/>
    <mergeCell ref="B101:R101"/>
    <mergeCell ref="B107:R107"/>
    <mergeCell ref="B66:R66"/>
    <mergeCell ref="B2:F4"/>
    <mergeCell ref="B8:R13"/>
    <mergeCell ref="B15:R15"/>
    <mergeCell ref="B17:R17"/>
    <mergeCell ref="B23:R23"/>
    <mergeCell ref="B32:R32"/>
    <mergeCell ref="B39:R39"/>
    <mergeCell ref="B48:R48"/>
    <mergeCell ref="B55:R55"/>
  </mergeCells>
  <conditionalFormatting sqref="O116:O119">
    <cfRule type="cellIs" dxfId="7" priority="2" operator="greaterThan">
      <formula>3.1</formula>
    </cfRule>
  </conditionalFormatting>
  <conditionalFormatting sqref="O117">
    <cfRule type="cellIs" dxfId="6" priority="1" operator="lessThan">
      <formula>3.1</formula>
    </cfRule>
  </conditionalFormatting>
  <pageMargins left="0.7" right="0.7" top="0.75" bottom="0.75" header="0.3" footer="0.3"/>
  <pageSetup paperSize="9" orientation="portrait" r:id="rId2"/>
  <ignoredErrors>
    <ignoredError sqref="M35:P35" evalError="1"/>
  </ignoredErrors>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4"/>
  <sheetViews>
    <sheetView showGridLines="0" topLeftCell="A61" workbookViewId="0">
      <selection activeCell="H23" sqref="H23"/>
    </sheetView>
  </sheetViews>
  <sheetFormatPr defaultRowHeight="14.4" x14ac:dyDescent="0.3"/>
  <cols>
    <col min="1" max="1" width="1.88671875" customWidth="1"/>
    <col min="2" max="2" width="41.21875" bestFit="1" customWidth="1"/>
    <col min="4" max="4" width="15.6640625" customWidth="1"/>
    <col min="5" max="5" width="16.33203125" customWidth="1"/>
    <col min="6" max="6" width="14.33203125" customWidth="1"/>
    <col min="7" max="7" width="12.88671875" customWidth="1"/>
  </cols>
  <sheetData>
    <row r="2" spans="2:7" ht="21" x14ac:dyDescent="0.4">
      <c r="B2" s="5" t="s">
        <v>113</v>
      </c>
    </row>
    <row r="3" spans="2:7" x14ac:dyDescent="0.3">
      <c r="B3" t="s">
        <v>0</v>
      </c>
      <c r="D3" t="s">
        <v>71</v>
      </c>
      <c r="E3" t="s">
        <v>70</v>
      </c>
      <c r="F3" t="s">
        <v>69</v>
      </c>
      <c r="G3" t="s">
        <v>68</v>
      </c>
    </row>
    <row r="4" spans="2:7" x14ac:dyDescent="0.3">
      <c r="B4" t="s">
        <v>5</v>
      </c>
      <c r="D4" s="19">
        <v>17772000</v>
      </c>
      <c r="E4" s="19">
        <v>21454000</v>
      </c>
      <c r="F4" s="19">
        <v>25371000</v>
      </c>
      <c r="G4" s="19">
        <v>27518000</v>
      </c>
    </row>
    <row r="5" spans="2:7" x14ac:dyDescent="0.3">
      <c r="B5" t="s">
        <v>6</v>
      </c>
      <c r="D5" s="19">
        <v>0</v>
      </c>
      <c r="E5" s="19">
        <v>0</v>
      </c>
      <c r="F5" s="19">
        <v>0</v>
      </c>
      <c r="G5" s="19">
        <v>0</v>
      </c>
    </row>
    <row r="6" spans="2:7" x14ac:dyDescent="0.3">
      <c r="B6" t="s">
        <v>7</v>
      </c>
      <c r="D6" s="19">
        <v>17772000</v>
      </c>
      <c r="E6" s="19">
        <v>21454000</v>
      </c>
      <c r="F6" s="19">
        <v>25371000</v>
      </c>
      <c r="G6" s="19">
        <v>27518000</v>
      </c>
    </row>
    <row r="7" spans="2:7" x14ac:dyDescent="0.3">
      <c r="B7" t="s">
        <v>8</v>
      </c>
      <c r="D7" s="19"/>
      <c r="E7" s="19"/>
      <c r="F7" s="19"/>
      <c r="G7" s="19"/>
    </row>
    <row r="8" spans="2:7" x14ac:dyDescent="0.3">
      <c r="B8" t="s">
        <v>9</v>
      </c>
      <c r="D8" s="19">
        <v>2085000</v>
      </c>
      <c r="E8" s="19">
        <v>2642000</v>
      </c>
      <c r="F8" s="19">
        <v>3038000</v>
      </c>
      <c r="G8" s="19">
        <v>3253000</v>
      </c>
    </row>
    <row r="9" spans="2:7" x14ac:dyDescent="0.3">
      <c r="B9" t="s">
        <v>10</v>
      </c>
      <c r="D9" s="19">
        <v>12897000</v>
      </c>
      <c r="E9" s="19">
        <v>15384000</v>
      </c>
      <c r="F9" s="19">
        <v>18009000</v>
      </c>
      <c r="G9" s="19">
        <v>20221000</v>
      </c>
    </row>
    <row r="10" spans="2:7" x14ac:dyDescent="0.3">
      <c r="B10" t="s">
        <v>11</v>
      </c>
      <c r="D10" s="19">
        <v>71000</v>
      </c>
      <c r="E10" s="19">
        <v>139000</v>
      </c>
      <c r="F10" s="19">
        <v>62000</v>
      </c>
      <c r="G10" s="19">
        <v>207000</v>
      </c>
    </row>
    <row r="11" spans="2:7" x14ac:dyDescent="0.3">
      <c r="B11" t="s">
        <v>13</v>
      </c>
      <c r="D11" s="19">
        <v>0</v>
      </c>
      <c r="E11" s="19">
        <v>0</v>
      </c>
      <c r="F11" s="19">
        <v>0</v>
      </c>
      <c r="G11" s="19">
        <v>0</v>
      </c>
    </row>
    <row r="12" spans="2:7" x14ac:dyDescent="0.3">
      <c r="B12" t="s">
        <v>14</v>
      </c>
      <c r="D12" s="19">
        <v>2719000</v>
      </c>
      <c r="E12" s="19">
        <v>3289000</v>
      </c>
      <c r="F12" s="19">
        <v>4262000</v>
      </c>
      <c r="G12" s="19">
        <v>3837000</v>
      </c>
    </row>
    <row r="13" spans="2:7" x14ac:dyDescent="0.3">
      <c r="B13" t="s">
        <v>15</v>
      </c>
      <c r="D13" s="19">
        <v>279000</v>
      </c>
      <c r="E13" s="19">
        <v>1776000</v>
      </c>
      <c r="F13" s="19">
        <v>-163000</v>
      </c>
      <c r="G13" s="19">
        <v>-471000</v>
      </c>
    </row>
    <row r="14" spans="2:7" x14ac:dyDescent="0.3">
      <c r="B14" t="s">
        <v>16</v>
      </c>
      <c r="D14" s="19">
        <v>2998000</v>
      </c>
      <c r="E14" s="19">
        <v>5065000</v>
      </c>
      <c r="F14" s="19">
        <v>4099000</v>
      </c>
      <c r="G14" s="19">
        <v>3366000</v>
      </c>
    </row>
    <row r="15" spans="2:7" x14ac:dyDescent="0.3">
      <c r="B15" t="s">
        <v>17</v>
      </c>
      <c r="D15" s="19">
        <v>0</v>
      </c>
      <c r="E15" s="19">
        <v>0</v>
      </c>
      <c r="F15" s="19">
        <v>0</v>
      </c>
      <c r="G15" s="19">
        <v>0</v>
      </c>
    </row>
    <row r="16" spans="2:7" x14ac:dyDescent="0.3">
      <c r="B16" t="s">
        <v>18</v>
      </c>
      <c r="D16" s="19">
        <v>2998000</v>
      </c>
      <c r="E16" s="19">
        <v>5065000</v>
      </c>
      <c r="F16" s="19">
        <v>4099000</v>
      </c>
      <c r="G16" s="19">
        <v>3366000</v>
      </c>
    </row>
    <row r="17" spans="2:7" x14ac:dyDescent="0.3">
      <c r="B17" t="s">
        <v>19</v>
      </c>
      <c r="D17" s="19">
        <v>539000</v>
      </c>
      <c r="E17" s="19">
        <v>863000</v>
      </c>
      <c r="F17" s="19">
        <v>-70000</v>
      </c>
      <c r="G17" s="19">
        <v>947000</v>
      </c>
    </row>
    <row r="18" spans="2:7" x14ac:dyDescent="0.3">
      <c r="B18" t="s">
        <v>20</v>
      </c>
      <c r="D18" s="19">
        <v>0</v>
      </c>
      <c r="E18" s="19">
        <v>0</v>
      </c>
      <c r="F18" s="19">
        <v>0</v>
      </c>
      <c r="G18" s="19">
        <v>0</v>
      </c>
    </row>
    <row r="19" spans="2:7" x14ac:dyDescent="0.3">
      <c r="B19" t="s">
        <v>21</v>
      </c>
      <c r="D19" s="19">
        <v>0</v>
      </c>
      <c r="E19" s="19">
        <v>0</v>
      </c>
      <c r="F19" s="19">
        <v>0</v>
      </c>
      <c r="G19" s="19">
        <v>0</v>
      </c>
    </row>
    <row r="20" spans="2:7" x14ac:dyDescent="0.3">
      <c r="B20" t="s">
        <v>22</v>
      </c>
      <c r="D20" s="19">
        <v>2459000</v>
      </c>
      <c r="E20" s="19">
        <v>4202000</v>
      </c>
      <c r="F20" s="19">
        <v>4169000</v>
      </c>
      <c r="G20" s="19">
        <v>2419000</v>
      </c>
    </row>
    <row r="21" spans="2:7" x14ac:dyDescent="0.3">
      <c r="B21" t="s">
        <v>23</v>
      </c>
      <c r="D21" s="19">
        <v>2459000</v>
      </c>
      <c r="E21" s="19">
        <v>4202000</v>
      </c>
      <c r="F21" s="19">
        <v>4169000</v>
      </c>
      <c r="G21" s="19">
        <v>2419000</v>
      </c>
    </row>
    <row r="22" spans="2:7" x14ac:dyDescent="0.3">
      <c r="B22" t="s">
        <v>24</v>
      </c>
      <c r="D22" s="19">
        <v>2459000</v>
      </c>
      <c r="E22" s="19">
        <v>4202000</v>
      </c>
      <c r="F22" s="19">
        <v>4169000</v>
      </c>
      <c r="G22" s="19">
        <v>2419000</v>
      </c>
    </row>
    <row r="23" spans="2:7" x14ac:dyDescent="0.3">
      <c r="B23" t="s">
        <v>160</v>
      </c>
      <c r="D23" s="19">
        <v>126880000</v>
      </c>
      <c r="E23" s="19">
        <v>274410000</v>
      </c>
      <c r="F23" s="19">
        <v>220260000</v>
      </c>
      <c r="G23" s="19">
        <v>81190000</v>
      </c>
    </row>
    <row r="24" spans="2:7" ht="18" x14ac:dyDescent="0.35">
      <c r="B24" s="2" t="s">
        <v>114</v>
      </c>
      <c r="D24" s="19"/>
      <c r="E24" s="19"/>
      <c r="F24" s="19"/>
      <c r="G24" s="19"/>
    </row>
    <row r="25" spans="2:7" x14ac:dyDescent="0.3">
      <c r="B25" t="s">
        <v>0</v>
      </c>
      <c r="D25" s="19" t="s">
        <v>71</v>
      </c>
      <c r="E25" s="19" t="s">
        <v>70</v>
      </c>
      <c r="F25" s="19" t="s">
        <v>69</v>
      </c>
      <c r="G25" s="19" t="s">
        <v>68</v>
      </c>
    </row>
    <row r="26" spans="2:7" x14ac:dyDescent="0.3">
      <c r="B26" t="s">
        <v>25</v>
      </c>
      <c r="D26" s="19"/>
      <c r="E26" s="19"/>
      <c r="F26" s="19"/>
      <c r="G26" s="19"/>
    </row>
    <row r="27" spans="2:7" x14ac:dyDescent="0.3">
      <c r="B27" t="s">
        <v>26</v>
      </c>
      <c r="D27" s="19">
        <v>7349000</v>
      </c>
      <c r="E27" s="19">
        <v>4794000</v>
      </c>
      <c r="F27" s="19">
        <v>5197000</v>
      </c>
      <c r="G27" s="19">
        <v>7776000</v>
      </c>
    </row>
    <row r="28" spans="2:7" x14ac:dyDescent="0.3">
      <c r="B28" t="s">
        <v>27</v>
      </c>
      <c r="D28" s="19">
        <v>3412000</v>
      </c>
      <c r="E28" s="19">
        <v>8289000</v>
      </c>
      <c r="F28" s="19">
        <v>4303000</v>
      </c>
      <c r="G28" s="19">
        <v>3092000</v>
      </c>
    </row>
    <row r="29" spans="2:7" x14ac:dyDescent="0.3">
      <c r="B29" t="s">
        <v>28</v>
      </c>
      <c r="D29" s="19">
        <v>26934000</v>
      </c>
      <c r="E29" s="19">
        <v>36764000</v>
      </c>
      <c r="F29" s="19">
        <v>41787000</v>
      </c>
      <c r="G29" s="19">
        <v>44751000</v>
      </c>
    </row>
    <row r="30" spans="2:7" x14ac:dyDescent="0.3">
      <c r="B30" t="s">
        <v>29</v>
      </c>
      <c r="D30" s="19">
        <v>0</v>
      </c>
      <c r="E30" s="19">
        <v>0</v>
      </c>
      <c r="F30" s="19">
        <v>0</v>
      </c>
      <c r="G30" s="19">
        <v>0</v>
      </c>
    </row>
    <row r="31" spans="2:7" x14ac:dyDescent="0.3">
      <c r="B31" t="s">
        <v>30</v>
      </c>
      <c r="D31" s="19">
        <v>800000</v>
      </c>
      <c r="E31" s="19">
        <v>1148000</v>
      </c>
      <c r="F31" s="19">
        <v>1287000</v>
      </c>
      <c r="G31" s="19">
        <v>1898000</v>
      </c>
    </row>
    <row r="32" spans="2:7" x14ac:dyDescent="0.3">
      <c r="B32" t="s">
        <v>31</v>
      </c>
      <c r="D32" s="19">
        <v>38495000</v>
      </c>
      <c r="E32" s="19">
        <v>50995000</v>
      </c>
      <c r="F32" s="19">
        <v>52574000</v>
      </c>
      <c r="G32" s="19">
        <v>57517000</v>
      </c>
    </row>
    <row r="33" spans="2:7" x14ac:dyDescent="0.3">
      <c r="B33" t="s">
        <v>32</v>
      </c>
      <c r="D33" s="19"/>
      <c r="E33" s="19"/>
      <c r="F33" s="19"/>
      <c r="G33" s="19"/>
    </row>
    <row r="34" spans="2:7" x14ac:dyDescent="0.3">
      <c r="B34" t="s">
        <v>33</v>
      </c>
      <c r="D34" s="19">
        <v>2863000</v>
      </c>
      <c r="E34" s="19">
        <v>6089000</v>
      </c>
      <c r="F34" s="19">
        <v>6797000</v>
      </c>
      <c r="G34" s="19">
        <v>5018000</v>
      </c>
    </row>
    <row r="35" spans="2:7" x14ac:dyDescent="0.3">
      <c r="B35" t="s">
        <v>34</v>
      </c>
      <c r="D35" s="19">
        <v>1693000</v>
      </c>
      <c r="E35" s="19">
        <v>1807000</v>
      </c>
      <c r="F35" s="19">
        <v>1909000</v>
      </c>
      <c r="G35" s="19">
        <v>1730000</v>
      </c>
    </row>
    <row r="36" spans="2:7" x14ac:dyDescent="0.3">
      <c r="B36" t="s">
        <v>35</v>
      </c>
      <c r="D36" s="19">
        <v>6212000</v>
      </c>
      <c r="E36" s="19">
        <v>9135000</v>
      </c>
      <c r="F36" s="19">
        <v>11454000</v>
      </c>
      <c r="G36" s="19">
        <v>11209000</v>
      </c>
    </row>
    <row r="37" spans="2:7" x14ac:dyDescent="0.3">
      <c r="B37" t="s">
        <v>36</v>
      </c>
      <c r="D37" s="19">
        <v>778000</v>
      </c>
      <c r="E37" s="19">
        <v>1048000</v>
      </c>
      <c r="F37" s="19">
        <v>1332000</v>
      </c>
      <c r="G37" s="19">
        <v>788000</v>
      </c>
    </row>
    <row r="38" spans="2:7" x14ac:dyDescent="0.3">
      <c r="B38" t="s">
        <v>37</v>
      </c>
      <c r="D38" s="19">
        <v>1292000</v>
      </c>
      <c r="E38" s="19">
        <v>1305000</v>
      </c>
      <c r="F38" s="19">
        <v>1737000</v>
      </c>
      <c r="G38" s="19">
        <v>2455000</v>
      </c>
    </row>
    <row r="39" spans="2:7" x14ac:dyDescent="0.3">
      <c r="B39" t="s">
        <v>38</v>
      </c>
      <c r="D39" s="19">
        <v>0</v>
      </c>
      <c r="E39" s="19">
        <v>0</v>
      </c>
      <c r="F39" s="19">
        <v>0</v>
      </c>
      <c r="G39" s="19">
        <v>0</v>
      </c>
    </row>
    <row r="40" spans="2:7" x14ac:dyDescent="0.3">
      <c r="B40" t="s">
        <v>39</v>
      </c>
      <c r="D40" s="19">
        <v>51333000</v>
      </c>
      <c r="E40" s="19">
        <v>70379000</v>
      </c>
      <c r="F40" s="19">
        <v>75803000</v>
      </c>
      <c r="G40" s="19">
        <v>78717000</v>
      </c>
    </row>
    <row r="41" spans="2:7" x14ac:dyDescent="0.3">
      <c r="B41" t="s">
        <v>40</v>
      </c>
      <c r="D41" s="19"/>
      <c r="E41" s="19"/>
      <c r="F41" s="19"/>
      <c r="G41" s="19"/>
    </row>
    <row r="42" spans="2:7" x14ac:dyDescent="0.3">
      <c r="B42" t="s">
        <v>41</v>
      </c>
      <c r="D42" s="19">
        <v>2392000</v>
      </c>
      <c r="E42" s="19">
        <v>3029000</v>
      </c>
      <c r="F42" s="19">
        <v>4188000</v>
      </c>
      <c r="G42" s="19">
        <v>4994000</v>
      </c>
    </row>
    <row r="43" spans="2:7" x14ac:dyDescent="0.3">
      <c r="B43" t="s">
        <v>42</v>
      </c>
      <c r="D43" s="19">
        <v>24527000</v>
      </c>
      <c r="E43" s="19">
        <v>35418000</v>
      </c>
      <c r="F43" s="19">
        <v>38841000</v>
      </c>
      <c r="G43" s="19">
        <v>40107000</v>
      </c>
    </row>
    <row r="44" spans="2:7" x14ac:dyDescent="0.3">
      <c r="B44" t="s">
        <v>43</v>
      </c>
      <c r="D44" s="19">
        <v>0</v>
      </c>
      <c r="E44" s="19">
        <v>0</v>
      </c>
      <c r="F44" s="19">
        <v>0</v>
      </c>
      <c r="G44" s="19">
        <v>0</v>
      </c>
    </row>
    <row r="45" spans="2:7" x14ac:dyDescent="0.3">
      <c r="B45" t="s">
        <v>44</v>
      </c>
      <c r="D45" s="19">
        <v>26919000</v>
      </c>
      <c r="E45" s="19">
        <v>38447000</v>
      </c>
      <c r="F45" s="19">
        <v>43029000</v>
      </c>
      <c r="G45" s="19">
        <v>45101000</v>
      </c>
    </row>
    <row r="46" spans="2:7" x14ac:dyDescent="0.3">
      <c r="B46" t="s">
        <v>45</v>
      </c>
      <c r="D46" s="19">
        <v>4965000</v>
      </c>
      <c r="E46" s="19">
        <v>8939000</v>
      </c>
      <c r="F46" s="19">
        <v>8049000</v>
      </c>
      <c r="G46" s="19">
        <v>10417000</v>
      </c>
    </row>
    <row r="47" spans="2:7" x14ac:dyDescent="0.3">
      <c r="B47" t="s">
        <v>46</v>
      </c>
      <c r="D47" s="19">
        <v>0</v>
      </c>
      <c r="E47" s="19">
        <v>0</v>
      </c>
      <c r="F47" s="19">
        <v>0</v>
      </c>
      <c r="G47" s="19">
        <v>0</v>
      </c>
    </row>
    <row r="48" spans="2:7" x14ac:dyDescent="0.3">
      <c r="B48" t="s">
        <v>47</v>
      </c>
      <c r="D48" s="19">
        <v>2520000</v>
      </c>
      <c r="E48" s="19">
        <v>2930000</v>
      </c>
      <c r="F48" s="19">
        <v>2998000</v>
      </c>
      <c r="G48" s="19">
        <v>2925000</v>
      </c>
    </row>
    <row r="49" spans="2:7" x14ac:dyDescent="0.3">
      <c r="B49" t="s">
        <v>48</v>
      </c>
      <c r="D49" s="19">
        <v>44000</v>
      </c>
      <c r="E49" s="19">
        <v>44000</v>
      </c>
      <c r="F49" s="19">
        <v>0</v>
      </c>
      <c r="G49" s="19">
        <v>0</v>
      </c>
    </row>
    <row r="50" spans="2:7" x14ac:dyDescent="0.3">
      <c r="B50" t="s">
        <v>20</v>
      </c>
      <c r="D50" s="19">
        <v>0</v>
      </c>
      <c r="E50" s="19">
        <v>0</v>
      </c>
      <c r="F50" s="19">
        <v>0</v>
      </c>
      <c r="G50" s="19">
        <v>0</v>
      </c>
    </row>
    <row r="51" spans="2:7" x14ac:dyDescent="0.3">
      <c r="B51" t="s">
        <v>49</v>
      </c>
      <c r="D51" s="19">
        <v>34448000</v>
      </c>
      <c r="E51" s="19">
        <v>50360000</v>
      </c>
      <c r="F51" s="19">
        <v>54076000</v>
      </c>
      <c r="G51" s="19">
        <v>58443000</v>
      </c>
    </row>
    <row r="52" spans="2:7" x14ac:dyDescent="0.3">
      <c r="B52" t="s">
        <v>50</v>
      </c>
      <c r="D52" s="19"/>
      <c r="E52" s="19"/>
      <c r="F52" s="19"/>
      <c r="G52" s="19"/>
    </row>
    <row r="53" spans="2:7" x14ac:dyDescent="0.3">
      <c r="B53" t="s">
        <v>51</v>
      </c>
      <c r="D53" s="19">
        <v>0</v>
      </c>
      <c r="E53" s="19">
        <v>0</v>
      </c>
      <c r="F53" s="19">
        <v>0</v>
      </c>
      <c r="G53" s="19">
        <v>0</v>
      </c>
    </row>
    <row r="54" spans="2:7" x14ac:dyDescent="0.3">
      <c r="B54" t="s">
        <v>52</v>
      </c>
      <c r="D54" s="19">
        <v>8342000</v>
      </c>
      <c r="E54" s="19">
        <v>12366000</v>
      </c>
      <c r="F54" s="19">
        <v>16535000</v>
      </c>
      <c r="G54" s="19">
        <v>18954000</v>
      </c>
    </row>
    <row r="55" spans="2:7" x14ac:dyDescent="0.3">
      <c r="B55" t="s">
        <v>53</v>
      </c>
      <c r="D55" s="19">
        <v>-6872000</v>
      </c>
      <c r="E55" s="19">
        <v>-8507000</v>
      </c>
      <c r="F55" s="19">
        <v>-11880000</v>
      </c>
      <c r="G55" s="19">
        <v>-16079000</v>
      </c>
    </row>
    <row r="56" spans="2:7" x14ac:dyDescent="0.3">
      <c r="B56" t="s">
        <v>54</v>
      </c>
      <c r="D56" s="19">
        <v>15588000</v>
      </c>
      <c r="E56" s="19">
        <v>16644000</v>
      </c>
      <c r="F56" s="19">
        <v>17208000</v>
      </c>
      <c r="G56" s="19">
        <v>18327000</v>
      </c>
    </row>
    <row r="57" spans="2:7" x14ac:dyDescent="0.3">
      <c r="B57" t="s">
        <v>55</v>
      </c>
      <c r="D57" s="19">
        <v>-173000</v>
      </c>
      <c r="E57" s="19">
        <v>-484000</v>
      </c>
      <c r="F57" s="19">
        <v>-136000</v>
      </c>
      <c r="G57" s="19">
        <v>-928000</v>
      </c>
    </row>
    <row r="58" spans="2:7" x14ac:dyDescent="0.3">
      <c r="B58" t="s">
        <v>56</v>
      </c>
      <c r="D58" s="19">
        <v>16885000</v>
      </c>
      <c r="E58" s="19">
        <v>20019000</v>
      </c>
      <c r="F58" s="19">
        <v>21727000</v>
      </c>
      <c r="G58" s="19">
        <v>20274000</v>
      </c>
    </row>
    <row r="59" spans="2:7" x14ac:dyDescent="0.3">
      <c r="B59" t="s">
        <v>57</v>
      </c>
      <c r="D59" s="19">
        <v>51333000</v>
      </c>
      <c r="E59" s="19">
        <v>70379000</v>
      </c>
      <c r="F59" s="19">
        <v>75803000</v>
      </c>
      <c r="G59" s="19">
        <v>78717000</v>
      </c>
    </row>
    <row r="60" spans="2:7" x14ac:dyDescent="0.3">
      <c r="D60" s="19"/>
      <c r="E60" s="19"/>
      <c r="F60" s="19"/>
      <c r="G60" s="19"/>
    </row>
    <row r="61" spans="2:7" ht="18" x14ac:dyDescent="0.35">
      <c r="B61" s="2" t="s">
        <v>115</v>
      </c>
      <c r="D61" s="19"/>
      <c r="E61" s="19"/>
      <c r="F61" s="19"/>
      <c r="G61" s="19"/>
    </row>
    <row r="62" spans="2:7" x14ac:dyDescent="0.3">
      <c r="B62" t="s">
        <v>0</v>
      </c>
      <c r="D62" s="19" t="s">
        <v>71</v>
      </c>
      <c r="E62" s="19" t="s">
        <v>70</v>
      </c>
      <c r="F62" s="19" t="s">
        <v>69</v>
      </c>
      <c r="G62" s="19" t="s">
        <v>68</v>
      </c>
    </row>
    <row r="63" spans="2:7" x14ac:dyDescent="0.3">
      <c r="B63" t="s">
        <v>23</v>
      </c>
      <c r="D63" s="19">
        <v>2459000</v>
      </c>
      <c r="E63" s="19">
        <v>4202000</v>
      </c>
      <c r="F63" s="19">
        <v>4169000</v>
      </c>
      <c r="G63" s="19">
        <v>2419000</v>
      </c>
    </row>
    <row r="64" spans="2:7" x14ac:dyDescent="0.3">
      <c r="B64" t="s">
        <v>72</v>
      </c>
      <c r="D64" s="19"/>
      <c r="E64" s="19"/>
      <c r="F64" s="19"/>
      <c r="G64" s="19"/>
    </row>
    <row r="65" spans="2:7" x14ac:dyDescent="0.3">
      <c r="B65" t="s">
        <v>73</v>
      </c>
      <c r="D65" s="19">
        <v>912000</v>
      </c>
      <c r="E65" s="19">
        <v>1189000</v>
      </c>
      <c r="F65" s="19">
        <v>1265000</v>
      </c>
      <c r="G65" s="19">
        <v>1317000</v>
      </c>
    </row>
    <row r="66" spans="2:7" x14ac:dyDescent="0.3">
      <c r="B66" t="s">
        <v>74</v>
      </c>
      <c r="D66" s="19">
        <v>1775000</v>
      </c>
      <c r="E66" s="19">
        <v>1415000</v>
      </c>
      <c r="F66" s="19">
        <v>2008000</v>
      </c>
      <c r="G66" s="19">
        <v>2531000</v>
      </c>
    </row>
    <row r="67" spans="2:7" x14ac:dyDescent="0.3">
      <c r="B67" t="s">
        <v>75</v>
      </c>
      <c r="D67" s="19"/>
      <c r="E67" s="19"/>
      <c r="F67" s="19"/>
      <c r="G67" s="19"/>
    </row>
    <row r="68" spans="2:7" x14ac:dyDescent="0.3">
      <c r="B68" t="s">
        <v>76</v>
      </c>
      <c r="D68" s="19">
        <v>-116000</v>
      </c>
      <c r="E68" s="19">
        <v>-100000</v>
      </c>
      <c r="F68" s="19">
        <v>-222000</v>
      </c>
      <c r="G68" s="19">
        <v>-163000</v>
      </c>
    </row>
    <row r="69" spans="2:7" x14ac:dyDescent="0.3">
      <c r="B69" t="s">
        <v>77</v>
      </c>
      <c r="D69" s="19">
        <v>0</v>
      </c>
      <c r="E69" s="19">
        <v>0</v>
      </c>
      <c r="F69" s="19">
        <v>0</v>
      </c>
      <c r="G69" s="19">
        <v>0</v>
      </c>
    </row>
    <row r="70" spans="2:7" x14ac:dyDescent="0.3">
      <c r="B70" t="s">
        <v>78</v>
      </c>
      <c r="D70" s="19">
        <v>-1645000</v>
      </c>
      <c r="E70" s="19">
        <v>-1291000</v>
      </c>
      <c r="F70" s="19">
        <v>-1664000</v>
      </c>
      <c r="G70" s="19">
        <v>-1112000</v>
      </c>
    </row>
    <row r="71" spans="2:7" x14ac:dyDescent="0.3">
      <c r="B71" t="s">
        <v>79</v>
      </c>
      <c r="D71" s="19">
        <v>686000</v>
      </c>
      <c r="E71" s="19">
        <v>804000</v>
      </c>
      <c r="F71" s="19">
        <v>241000</v>
      </c>
      <c r="G71" s="19">
        <v>821000</v>
      </c>
    </row>
    <row r="72" spans="2:7" x14ac:dyDescent="0.3">
      <c r="B72" t="s">
        <v>80</v>
      </c>
      <c r="D72" s="19">
        <v>4071000</v>
      </c>
      <c r="E72" s="19">
        <v>6219000</v>
      </c>
      <c r="F72" s="19">
        <v>5797000</v>
      </c>
      <c r="G72" s="19">
        <v>5813000</v>
      </c>
    </row>
    <row r="73" spans="2:7" x14ac:dyDescent="0.3">
      <c r="B73" t="s">
        <v>81</v>
      </c>
      <c r="D73" s="19"/>
      <c r="E73" s="19"/>
      <c r="F73" s="19"/>
      <c r="G73" s="19"/>
    </row>
    <row r="74" spans="2:7" x14ac:dyDescent="0.3">
      <c r="B74" t="s">
        <v>82</v>
      </c>
      <c r="D74" s="19">
        <v>-704000</v>
      </c>
      <c r="E74" s="19">
        <v>-866000</v>
      </c>
      <c r="F74" s="19">
        <v>-908000</v>
      </c>
      <c r="G74" s="19">
        <v>-706000</v>
      </c>
    </row>
    <row r="75" spans="2:7" x14ac:dyDescent="0.3">
      <c r="B75" t="s">
        <v>83</v>
      </c>
      <c r="D75" s="19">
        <v>-4985000</v>
      </c>
      <c r="E75" s="19">
        <v>-12190000</v>
      </c>
      <c r="F75" s="19">
        <v>-1483000</v>
      </c>
      <c r="G75" s="19">
        <v>-2907000</v>
      </c>
    </row>
    <row r="76" spans="2:7" x14ac:dyDescent="0.3">
      <c r="B76" t="s">
        <v>84</v>
      </c>
      <c r="D76" s="19">
        <v>-53000</v>
      </c>
      <c r="E76" s="19">
        <v>-3489000</v>
      </c>
      <c r="F76" s="19">
        <v>-2758000</v>
      </c>
      <c r="G76" s="19">
        <v>192000</v>
      </c>
    </row>
    <row r="77" spans="2:7" x14ac:dyDescent="0.3">
      <c r="B77" t="s">
        <v>85</v>
      </c>
      <c r="D77" s="19">
        <v>-5742000</v>
      </c>
      <c r="E77" s="19">
        <v>-16545000</v>
      </c>
      <c r="F77" s="19">
        <v>-5149000</v>
      </c>
      <c r="G77" s="19">
        <v>-3421000</v>
      </c>
    </row>
    <row r="78" spans="2:7" x14ac:dyDescent="0.3">
      <c r="B78" t="s">
        <v>86</v>
      </c>
      <c r="D78" s="19"/>
      <c r="E78" s="19"/>
      <c r="F78" s="19"/>
      <c r="G78" s="19"/>
    </row>
    <row r="79" spans="2:7" x14ac:dyDescent="0.3">
      <c r="B79" t="s">
        <v>87</v>
      </c>
      <c r="D79" s="19">
        <v>-1273000</v>
      </c>
      <c r="E79" s="19">
        <v>-1498000</v>
      </c>
      <c r="F79" s="19">
        <v>-3211000</v>
      </c>
      <c r="G79" s="19">
        <v>-4056000</v>
      </c>
    </row>
    <row r="80" spans="2:7" x14ac:dyDescent="0.3">
      <c r="B80" t="s">
        <v>88</v>
      </c>
      <c r="D80" s="19">
        <v>2955000</v>
      </c>
      <c r="E80" s="19">
        <v>3966000</v>
      </c>
      <c r="F80" s="19">
        <v>-89000</v>
      </c>
      <c r="G80" s="19">
        <v>1789000</v>
      </c>
    </row>
    <row r="81" spans="2:7" x14ac:dyDescent="0.3">
      <c r="B81" t="s">
        <v>89</v>
      </c>
      <c r="D81" s="19">
        <v>-504000</v>
      </c>
      <c r="E81" s="19">
        <v>-573000</v>
      </c>
      <c r="F81" s="19">
        <v>-1036000</v>
      </c>
      <c r="G81" s="19">
        <v>-335000</v>
      </c>
    </row>
    <row r="82" spans="2:7" x14ac:dyDescent="0.3">
      <c r="B82" t="s">
        <v>90</v>
      </c>
      <c r="D82" s="19">
        <v>4187000</v>
      </c>
      <c r="E82" s="19">
        <v>12454000</v>
      </c>
      <c r="F82" s="19">
        <v>-557000</v>
      </c>
      <c r="G82" s="19">
        <v>-1110000</v>
      </c>
    </row>
    <row r="83" spans="2:7" x14ac:dyDescent="0.3">
      <c r="B83" t="s">
        <v>91</v>
      </c>
      <c r="D83" s="19">
        <v>-6000</v>
      </c>
      <c r="E83" s="19">
        <v>169000</v>
      </c>
      <c r="F83" s="19">
        <v>-102000</v>
      </c>
      <c r="G83" s="19">
        <v>-155000</v>
      </c>
    </row>
    <row r="84" spans="2:7" x14ac:dyDescent="0.3">
      <c r="B84" t="s">
        <v>92</v>
      </c>
      <c r="D84" s="19">
        <v>2510000</v>
      </c>
      <c r="E84" s="19">
        <v>2297000</v>
      </c>
      <c r="F84" s="19">
        <v>-11000</v>
      </c>
      <c r="G84" s="19">
        <v>1127000</v>
      </c>
    </row>
  </sheetData>
  <sheetProtection sheet="1" objects="1" scenarios="1"/>
  <customSheetViews>
    <customSheetView guid="{157A7F57-E932-4D71-AAC5-1BA0DA6A9C96}" showGridLines="0" topLeftCell="A61">
      <selection activeCell="H23" sqref="H23"/>
      <pageMargins left="0.7" right="0.7" top="0.75" bottom="0.75" header="0.3" footer="0.3"/>
    </customSheetView>
  </customSheetView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14"/>
  <sheetViews>
    <sheetView showGridLines="0" zoomScaleNormal="100" workbookViewId="0">
      <selection activeCell="R111" sqref="R111"/>
    </sheetView>
  </sheetViews>
  <sheetFormatPr defaultRowHeight="14.4" x14ac:dyDescent="0.3"/>
  <cols>
    <col min="1" max="1" width="1.88671875" customWidth="1"/>
    <col min="2" max="2" width="9.44140625" bestFit="1" customWidth="1"/>
    <col min="9" max="9" width="2.5546875" customWidth="1"/>
    <col min="10" max="10" width="2.33203125" customWidth="1"/>
    <col min="11" max="11" width="3" customWidth="1"/>
    <col min="13" max="13" width="12.21875" customWidth="1"/>
    <col min="14" max="14" width="12" customWidth="1"/>
    <col min="15" max="15" width="11.44140625" bestFit="1" customWidth="1"/>
    <col min="16" max="16" width="13.6640625" bestFit="1" customWidth="1"/>
  </cols>
  <sheetData>
    <row r="2" spans="2:19" x14ac:dyDescent="0.3">
      <c r="B2" s="496" t="s">
        <v>290</v>
      </c>
      <c r="C2" s="496"/>
      <c r="D2" s="496"/>
      <c r="E2" s="496"/>
      <c r="F2" s="496"/>
      <c r="G2" s="294"/>
      <c r="H2" s="294"/>
      <c r="I2" s="294"/>
      <c r="J2" s="294"/>
      <c r="K2" s="294"/>
      <c r="L2" s="294"/>
      <c r="M2" s="294"/>
      <c r="N2" s="294"/>
      <c r="O2" s="294"/>
      <c r="P2" s="294"/>
      <c r="Q2" s="294"/>
      <c r="R2" s="294"/>
      <c r="S2" s="294"/>
    </row>
    <row r="3" spans="2:19" x14ac:dyDescent="0.3">
      <c r="B3" s="496"/>
      <c r="C3" s="496"/>
      <c r="D3" s="496"/>
      <c r="E3" s="496"/>
      <c r="F3" s="496"/>
      <c r="G3" s="294"/>
      <c r="H3" s="294"/>
      <c r="I3" s="294"/>
      <c r="J3" s="294"/>
      <c r="K3" s="294"/>
      <c r="L3" s="294"/>
      <c r="M3" s="294"/>
      <c r="N3" s="294"/>
      <c r="O3" s="294"/>
      <c r="P3" s="294"/>
      <c r="Q3" s="294"/>
      <c r="R3" s="294"/>
      <c r="S3" s="294"/>
    </row>
    <row r="4" spans="2:19" x14ac:dyDescent="0.3">
      <c r="B4" s="295" t="s">
        <v>291</v>
      </c>
      <c r="C4" s="294"/>
      <c r="D4" s="294"/>
      <c r="E4" s="294"/>
      <c r="F4" s="294"/>
      <c r="G4" s="294"/>
      <c r="H4" s="294"/>
      <c r="I4" s="294"/>
      <c r="J4" s="294"/>
      <c r="K4" s="294"/>
      <c r="L4" s="294"/>
      <c r="M4" s="294"/>
      <c r="N4" s="294"/>
      <c r="O4" s="294"/>
      <c r="P4" s="294"/>
      <c r="Q4" s="294"/>
      <c r="R4" s="294"/>
      <c r="S4" s="294"/>
    </row>
    <row r="5" spans="2:19" x14ac:dyDescent="0.3">
      <c r="B5" s="295" t="s">
        <v>292</v>
      </c>
      <c r="C5" s="294"/>
      <c r="D5" s="294"/>
      <c r="E5" s="294"/>
      <c r="F5" s="294"/>
      <c r="G5" s="294"/>
      <c r="H5" s="294"/>
      <c r="I5" s="294"/>
      <c r="J5" s="294"/>
      <c r="K5" s="294"/>
      <c r="L5" s="294"/>
      <c r="M5" s="294"/>
      <c r="N5" s="294"/>
      <c r="O5" s="294"/>
      <c r="P5" s="294"/>
      <c r="Q5" s="294"/>
      <c r="R5" s="294"/>
      <c r="S5" s="294"/>
    </row>
    <row r="7" spans="2:19" ht="14.4" customHeight="1" x14ac:dyDescent="0.3">
      <c r="B7" s="497" t="s">
        <v>293</v>
      </c>
      <c r="C7" s="497"/>
      <c r="D7" s="497"/>
      <c r="E7" s="497"/>
      <c r="F7" s="497"/>
      <c r="G7" s="497"/>
      <c r="H7" s="497"/>
      <c r="I7" s="497"/>
      <c r="J7" s="497"/>
      <c r="K7" s="497"/>
      <c r="L7" s="497"/>
      <c r="M7" s="497"/>
      <c r="N7" s="497"/>
      <c r="O7" s="497"/>
      <c r="P7" s="497"/>
      <c r="Q7" s="497"/>
      <c r="R7" s="497"/>
      <c r="S7" s="497"/>
    </row>
    <row r="8" spans="2:19" x14ac:dyDescent="0.3">
      <c r="B8" s="497"/>
      <c r="C8" s="497"/>
      <c r="D8" s="497"/>
      <c r="E8" s="497"/>
      <c r="F8" s="497"/>
      <c r="G8" s="497"/>
      <c r="H8" s="497"/>
      <c r="I8" s="497"/>
      <c r="J8" s="497"/>
      <c r="K8" s="497"/>
      <c r="L8" s="497"/>
      <c r="M8" s="497"/>
      <c r="N8" s="497"/>
      <c r="O8" s="497"/>
      <c r="P8" s="497"/>
      <c r="Q8" s="497"/>
      <c r="R8" s="497"/>
      <c r="S8" s="497"/>
    </row>
    <row r="9" spans="2:19" x14ac:dyDescent="0.3">
      <c r="B9" s="497"/>
      <c r="C9" s="497"/>
      <c r="D9" s="497"/>
      <c r="E9" s="497"/>
      <c r="F9" s="497"/>
      <c r="G9" s="497"/>
      <c r="H9" s="497"/>
      <c r="I9" s="497"/>
      <c r="J9" s="497"/>
      <c r="K9" s="497"/>
      <c r="L9" s="497"/>
      <c r="M9" s="497"/>
      <c r="N9" s="497"/>
      <c r="O9" s="497"/>
      <c r="P9" s="497"/>
      <c r="Q9" s="497"/>
      <c r="R9" s="497"/>
      <c r="S9" s="497"/>
    </row>
    <row r="10" spans="2:19" x14ac:dyDescent="0.3">
      <c r="B10" s="3"/>
      <c r="C10" s="3"/>
      <c r="D10" s="3"/>
      <c r="E10" s="3"/>
      <c r="F10" s="3"/>
      <c r="G10" s="3"/>
      <c r="H10" s="3"/>
      <c r="I10" s="3"/>
      <c r="J10" s="3"/>
      <c r="K10" s="3"/>
      <c r="L10" s="3"/>
      <c r="M10" s="3"/>
      <c r="N10" s="3"/>
      <c r="O10" s="3"/>
      <c r="P10" s="3"/>
      <c r="Q10" s="3"/>
      <c r="R10" s="3"/>
      <c r="S10" s="3"/>
    </row>
    <row r="11" spans="2:19" x14ac:dyDescent="0.3">
      <c r="B11" s="498" t="s">
        <v>58</v>
      </c>
      <c r="C11" s="499"/>
      <c r="D11" s="499"/>
      <c r="E11" s="499"/>
      <c r="F11" s="499"/>
      <c r="G11" s="499"/>
      <c r="H11" s="499"/>
      <c r="I11" s="499"/>
      <c r="J11" s="499"/>
      <c r="K11" s="499"/>
      <c r="L11" s="499"/>
      <c r="M11" s="499"/>
      <c r="N11" s="499"/>
      <c r="O11" s="499"/>
      <c r="P11" s="499"/>
      <c r="Q11" s="499"/>
      <c r="R11" s="499"/>
      <c r="S11" s="500"/>
    </row>
    <row r="12" spans="2:19" x14ac:dyDescent="0.3">
      <c r="B12" s="304"/>
      <c r="C12" s="38"/>
      <c r="D12" s="38"/>
      <c r="E12" s="38"/>
      <c r="F12" s="38"/>
      <c r="G12" s="38"/>
      <c r="H12" s="38"/>
      <c r="I12" s="38"/>
      <c r="J12" s="38"/>
      <c r="K12" s="38"/>
      <c r="L12" s="38"/>
      <c r="M12" s="38"/>
      <c r="N12" s="38"/>
      <c r="O12" s="38"/>
      <c r="P12" s="38"/>
      <c r="Q12" s="38"/>
      <c r="R12" s="38"/>
      <c r="S12" s="305"/>
    </row>
    <row r="13" spans="2:19" x14ac:dyDescent="0.3">
      <c r="B13" s="501" t="s">
        <v>64</v>
      </c>
      <c r="C13" s="502"/>
      <c r="D13" s="502"/>
      <c r="E13" s="502"/>
      <c r="F13" s="502"/>
      <c r="G13" s="502"/>
      <c r="H13" s="502"/>
      <c r="I13" s="502"/>
      <c r="J13" s="502"/>
      <c r="K13" s="502"/>
      <c r="L13" s="502"/>
      <c r="M13" s="502"/>
      <c r="N13" s="502"/>
      <c r="O13" s="502"/>
      <c r="P13" s="502"/>
      <c r="Q13" s="502"/>
      <c r="R13" s="502"/>
      <c r="S13" s="503"/>
    </row>
    <row r="14" spans="2:19" x14ac:dyDescent="0.3">
      <c r="B14" s="304"/>
      <c r="C14" s="38"/>
      <c r="D14" s="38"/>
      <c r="E14" s="38"/>
      <c r="F14" s="38"/>
      <c r="G14" s="38"/>
      <c r="H14" s="38"/>
      <c r="I14" s="38"/>
      <c r="J14" s="38"/>
      <c r="K14" s="38"/>
      <c r="L14" s="38"/>
      <c r="M14" s="49">
        <v>43800</v>
      </c>
      <c r="N14" s="49">
        <f>M14+366</f>
        <v>44166</v>
      </c>
      <c r="O14" s="49">
        <f t="shared" ref="O14:P14" si="0">N14+366</f>
        <v>44532</v>
      </c>
      <c r="P14" s="49">
        <f t="shared" si="0"/>
        <v>44898</v>
      </c>
      <c r="Q14" s="38"/>
      <c r="R14" s="38"/>
      <c r="S14" s="305"/>
    </row>
    <row r="15" spans="2:19" x14ac:dyDescent="0.3">
      <c r="B15" s="304" t="s">
        <v>179</v>
      </c>
      <c r="C15" s="38"/>
      <c r="D15" s="38"/>
      <c r="E15" s="38"/>
      <c r="F15" s="38"/>
      <c r="G15" s="38"/>
      <c r="H15" s="38"/>
      <c r="I15" s="38"/>
      <c r="J15" s="38"/>
      <c r="K15" s="38"/>
      <c r="L15" s="38"/>
      <c r="M15" s="39">
        <f>'PayPal- Financials'!D32/'PayPal- Financials'!D45</f>
        <v>1.4300308332404621</v>
      </c>
      <c r="N15" s="39">
        <f>'PayPal- Financials'!E32/'PayPal- Financials'!E45</f>
        <v>1.3263713683772467</v>
      </c>
      <c r="O15" s="39">
        <f>'PayPal- Financials'!F32/'PayPal- Financials'!F45</f>
        <v>1.2218271398359246</v>
      </c>
      <c r="P15" s="39">
        <f>'PayPal- Financials'!G32/'PayPal- Financials'!G45</f>
        <v>1.2752932307487639</v>
      </c>
      <c r="Q15" s="38"/>
      <c r="R15" s="38"/>
      <c r="S15" s="305"/>
    </row>
    <row r="16" spans="2:19" x14ac:dyDescent="0.3">
      <c r="B16" s="304" t="s">
        <v>180</v>
      </c>
      <c r="C16" s="38"/>
      <c r="D16" s="38"/>
      <c r="E16" s="38"/>
      <c r="F16" s="38"/>
      <c r="G16" s="38"/>
      <c r="H16" s="38"/>
      <c r="I16" s="38"/>
      <c r="J16" s="38"/>
      <c r="K16" s="38"/>
      <c r="L16" s="38"/>
      <c r="M16" s="39">
        <f>('PayPal- Financials'!D32-'PayPal- Financials'!D30)/'PayPal- Financials'!D45</f>
        <v>1.4300308332404621</v>
      </c>
      <c r="N16" s="39">
        <f>('PayPal- Financials'!E32-'PayPal- Financials'!E30)/'PayPal- Financials'!E45</f>
        <v>1.3263713683772467</v>
      </c>
      <c r="O16" s="39">
        <f>('PayPal- Financials'!F32-'PayPal- Financials'!F30)/'PayPal- Financials'!F45</f>
        <v>1.2218271398359246</v>
      </c>
      <c r="P16" s="39">
        <f>('PayPal- Financials'!G32-'PayPal- Financials'!G30)/'PayPal- Financials'!G45</f>
        <v>1.2752932307487639</v>
      </c>
      <c r="Q16" s="38"/>
      <c r="R16" s="38"/>
      <c r="S16" s="305"/>
    </row>
    <row r="17" spans="2:19" x14ac:dyDescent="0.3">
      <c r="B17" s="304" t="s">
        <v>67</v>
      </c>
      <c r="C17" s="38"/>
      <c r="D17" s="38"/>
      <c r="E17" s="38"/>
      <c r="F17" s="38"/>
      <c r="G17" s="38"/>
      <c r="H17" s="38"/>
      <c r="I17" s="38"/>
      <c r="J17" s="38"/>
      <c r="K17" s="38"/>
      <c r="L17" s="38"/>
      <c r="M17" s="39">
        <f>('PayPal- Financials'!D27+'PayPal- Financials'!D28)/'PayPal- Financials'!D45</f>
        <v>0.39975482001560236</v>
      </c>
      <c r="N17" s="39">
        <f>('PayPal- Financials'!E27+'PayPal- Financials'!E28)/'PayPal- Financials'!E45</f>
        <v>0.3402866283455146</v>
      </c>
      <c r="O17" s="39">
        <f>('PayPal- Financials'!F27+'PayPal- Financials'!F28)/'PayPal- Financials'!F45</f>
        <v>0.22078133351925447</v>
      </c>
      <c r="P17" s="39">
        <f>('PayPal- Financials'!G27+'PayPal- Financials'!G28)/'PayPal- Financials'!G45</f>
        <v>0.24097026673466221</v>
      </c>
      <c r="Q17" s="38"/>
      <c r="R17" s="38"/>
      <c r="S17" s="305"/>
    </row>
    <row r="18" spans="2:19" x14ac:dyDescent="0.3">
      <c r="B18" s="304"/>
      <c r="C18" s="38"/>
      <c r="D18" s="38"/>
      <c r="E18" s="38"/>
      <c r="F18" s="38"/>
      <c r="G18" s="38"/>
      <c r="H18" s="38"/>
      <c r="I18" s="38"/>
      <c r="J18" s="38"/>
      <c r="K18" s="38"/>
      <c r="L18" s="38"/>
      <c r="M18" s="38"/>
      <c r="N18" s="38"/>
      <c r="O18" s="38"/>
      <c r="P18" s="38"/>
      <c r="Q18" s="38"/>
      <c r="R18" s="38"/>
      <c r="S18" s="305"/>
    </row>
    <row r="19" spans="2:19" x14ac:dyDescent="0.3">
      <c r="B19" s="501" t="s">
        <v>116</v>
      </c>
      <c r="C19" s="502"/>
      <c r="D19" s="502"/>
      <c r="E19" s="502"/>
      <c r="F19" s="502"/>
      <c r="G19" s="502"/>
      <c r="H19" s="502"/>
      <c r="I19" s="502"/>
      <c r="J19" s="502"/>
      <c r="K19" s="502"/>
      <c r="L19" s="502"/>
      <c r="M19" s="502"/>
      <c r="N19" s="502"/>
      <c r="O19" s="502"/>
      <c r="P19" s="502"/>
      <c r="Q19" s="502"/>
      <c r="R19" s="502"/>
      <c r="S19" s="503"/>
    </row>
    <row r="20" spans="2:19" x14ac:dyDescent="0.3">
      <c r="B20" s="304"/>
      <c r="C20" s="38"/>
      <c r="D20" s="38"/>
      <c r="E20" s="38"/>
      <c r="F20" s="38"/>
      <c r="G20" s="38"/>
      <c r="H20" s="38"/>
      <c r="I20" s="38"/>
      <c r="J20" s="38"/>
      <c r="K20" s="38"/>
      <c r="L20" s="38"/>
      <c r="M20" s="49">
        <f>M14</f>
        <v>43800</v>
      </c>
      <c r="N20" s="49">
        <f t="shared" ref="N20:P20" si="1">N14</f>
        <v>44166</v>
      </c>
      <c r="O20" s="49">
        <f t="shared" si="1"/>
        <v>44532</v>
      </c>
      <c r="P20" s="49">
        <f t="shared" si="1"/>
        <v>44898</v>
      </c>
      <c r="Q20" s="38"/>
      <c r="R20" s="38"/>
      <c r="S20" s="305"/>
    </row>
    <row r="21" spans="2:19" x14ac:dyDescent="0.3">
      <c r="B21" s="304" t="s">
        <v>117</v>
      </c>
      <c r="C21" s="38"/>
      <c r="D21" s="38"/>
      <c r="E21" s="38"/>
      <c r="F21" s="38"/>
      <c r="G21" s="38"/>
      <c r="H21" s="38"/>
      <c r="I21" s="38"/>
      <c r="J21" s="38"/>
      <c r="K21" s="38"/>
      <c r="L21" s="38"/>
      <c r="M21" s="39">
        <f>('PayPal- Financials'!D46+'PayPal- Financials'!D43)/'PayPal- Financials'!D40</f>
        <v>0.57452321118968308</v>
      </c>
      <c r="N21" s="39">
        <f>('PayPal- Financials'!E46+'PayPal- Financials'!E43)/'PayPal- Financials'!E40</f>
        <v>0.63025902612995355</v>
      </c>
      <c r="O21" s="39">
        <f>('PayPal- Financials'!F46+'PayPal- Financials'!F43)/'PayPal- Financials'!F40</f>
        <v>0.61857710117013842</v>
      </c>
      <c r="P21" s="39">
        <f>('PayPal- Financials'!G46+'PayPal- Financials'!G43)/'PayPal- Financials'!G40</f>
        <v>0.64184356619281735</v>
      </c>
      <c r="Q21" s="38"/>
      <c r="R21" s="38"/>
      <c r="S21" s="305"/>
    </row>
    <row r="22" spans="2:19" x14ac:dyDescent="0.3">
      <c r="B22" s="304" t="s">
        <v>118</v>
      </c>
      <c r="C22" s="38"/>
      <c r="D22" s="38"/>
      <c r="E22" s="38"/>
      <c r="F22" s="38"/>
      <c r="G22" s="38"/>
      <c r="H22" s="38"/>
      <c r="I22" s="38"/>
      <c r="J22" s="38"/>
      <c r="K22" s="38"/>
      <c r="L22" s="38"/>
      <c r="M22" s="39">
        <f>('PayPal- Financials'!D46+'PayPal- Financials'!D43)/'PayPal- Financials'!D58</f>
        <v>1.7466390287237192</v>
      </c>
      <c r="N22" s="39">
        <f>('PayPal- Financials'!E46+'PayPal- Financials'!E43)/'PayPal- Financials'!E58</f>
        <v>2.2157450422099005</v>
      </c>
      <c r="O22" s="39">
        <f>('PayPal- Financials'!F46+'PayPal- Financials'!F43)/'PayPal- Financials'!F58</f>
        <v>2.1581442444884247</v>
      </c>
      <c r="P22" s="39">
        <f>('PayPal- Financials'!G46+'PayPal- Financials'!G43)/'PayPal- Financials'!G58</f>
        <v>2.4920587945151427</v>
      </c>
      <c r="Q22" s="38"/>
      <c r="R22" s="38"/>
      <c r="S22" s="305"/>
    </row>
    <row r="23" spans="2:19" x14ac:dyDescent="0.3">
      <c r="B23" s="304" t="s">
        <v>120</v>
      </c>
      <c r="C23" s="38"/>
      <c r="D23" s="38"/>
      <c r="E23" s="38"/>
      <c r="F23" s="38"/>
      <c r="G23" s="38"/>
      <c r="H23" s="38"/>
      <c r="I23" s="38"/>
      <c r="J23" s="38"/>
      <c r="K23" s="38"/>
      <c r="L23" s="38"/>
      <c r="M23" s="39">
        <f>M22/(1+M22)</f>
        <v>0.63591866658041696</v>
      </c>
      <c r="N23" s="39">
        <f t="shared" ref="N23:P23" si="2">N22/(1+N22)</f>
        <v>0.68903007331924937</v>
      </c>
      <c r="O23" s="39">
        <f t="shared" si="2"/>
        <v>0.68335835142894619</v>
      </c>
      <c r="P23" s="39">
        <f t="shared" si="2"/>
        <v>0.7136359784174694</v>
      </c>
      <c r="Q23" s="38"/>
      <c r="R23" s="38"/>
      <c r="S23" s="305"/>
    </row>
    <row r="24" spans="2:19" x14ac:dyDescent="0.3">
      <c r="B24" s="304" t="s">
        <v>121</v>
      </c>
      <c r="C24" s="38"/>
      <c r="D24" s="38"/>
      <c r="E24" s="38"/>
      <c r="F24" s="38"/>
      <c r="G24" s="38"/>
      <c r="H24" s="38"/>
      <c r="I24" s="38"/>
      <c r="J24" s="38"/>
      <c r="K24" s="38"/>
      <c r="L24" s="38"/>
      <c r="M24" s="306" t="str">
        <f>IFERROR(('PayPal- Financials'!D14+'PayPal- Financials'!D65)/'PayPal- Financials'!D15,"NA")</f>
        <v>NA</v>
      </c>
      <c r="N24" s="306" t="str">
        <f>IFERROR(('PayPal- Financials'!E14+'PayPal- Financials'!E65)/'PayPal- Financials'!E15,"NA")</f>
        <v>NA</v>
      </c>
      <c r="O24" s="306" t="str">
        <f>IFERROR(('PayPal- Financials'!F14+'PayPal- Financials'!F65)/'PayPal- Financials'!F15,"NA")</f>
        <v>NA</v>
      </c>
      <c r="P24" s="306" t="str">
        <f>IFERROR(('PayPal- Financials'!G14+'PayPal- Financials'!G65)/'PayPal- Financials'!G15,"NA")</f>
        <v>NA</v>
      </c>
      <c r="Q24" s="38"/>
      <c r="R24" s="38"/>
      <c r="S24" s="305"/>
    </row>
    <row r="25" spans="2:19" x14ac:dyDescent="0.3">
      <c r="B25" s="304" t="s">
        <v>119</v>
      </c>
      <c r="C25" s="38"/>
      <c r="D25" s="38"/>
      <c r="E25" s="38"/>
      <c r="F25" s="38"/>
      <c r="G25" s="38"/>
      <c r="H25" s="38"/>
      <c r="I25" s="38"/>
      <c r="J25" s="38"/>
      <c r="K25" s="38"/>
      <c r="L25" s="38"/>
      <c r="M25" s="39">
        <f>'PayPal- Financials'!D40/'PayPal- Financials'!D58</f>
        <v>3.0401539828249926</v>
      </c>
      <c r="N25" s="39">
        <f>'PayPal- Financials'!E40/'PayPal- Financials'!E58</f>
        <v>3.5156101703381788</v>
      </c>
      <c r="O25" s="39">
        <f>'PayPal- Financials'!F40/'PayPal- Financials'!F58</f>
        <v>3.4888847977171262</v>
      </c>
      <c r="P25" s="39">
        <f>'PayPal- Financials'!G40/'PayPal- Financials'!G58</f>
        <v>3.8826575910032552</v>
      </c>
      <c r="Q25" s="38"/>
      <c r="R25" s="38"/>
      <c r="S25" s="305"/>
    </row>
    <row r="26" spans="2:19" x14ac:dyDescent="0.3">
      <c r="B26" s="304" t="s">
        <v>193</v>
      </c>
      <c r="C26" s="38"/>
      <c r="D26" s="38"/>
      <c r="E26" s="38"/>
      <c r="F26" s="38"/>
      <c r="G26" s="38"/>
      <c r="H26" s="38"/>
      <c r="I26" s="38"/>
      <c r="J26" s="38"/>
      <c r="K26" s="38"/>
      <c r="L26" s="38"/>
      <c r="M26" s="39">
        <f>'PayPal- Financials'!D72/('PayPal- Financials'!D43+'PayPal- Financials'!D46)</f>
        <v>0.13803743388037434</v>
      </c>
      <c r="N26" s="39">
        <f>'PayPal- Financials'!E72/('PayPal- Financials'!E43+'PayPal- Financials'!E46)</f>
        <v>0.14020335009130463</v>
      </c>
      <c r="O26" s="39">
        <f>'PayPal- Financials'!F72/('PayPal- Financials'!F43+'PayPal- Financials'!F46)</f>
        <v>0.1236297718063553</v>
      </c>
      <c r="P26" s="39">
        <f>'PayPal- Financials'!G72/('PayPal- Financials'!G43+'PayPal- Financials'!G46)</f>
        <v>0.11505423165228407</v>
      </c>
      <c r="Q26" s="38"/>
      <c r="R26" s="38"/>
      <c r="S26" s="305"/>
    </row>
    <row r="27" spans="2:19" x14ac:dyDescent="0.3">
      <c r="B27" s="304"/>
      <c r="C27" s="38"/>
      <c r="D27" s="38"/>
      <c r="E27" s="38"/>
      <c r="F27" s="38"/>
      <c r="G27" s="38"/>
      <c r="H27" s="38"/>
      <c r="I27" s="38"/>
      <c r="J27" s="38"/>
      <c r="K27" s="38"/>
      <c r="L27" s="38"/>
      <c r="M27" s="38"/>
      <c r="N27" s="38"/>
      <c r="O27" s="38"/>
      <c r="P27" s="38"/>
      <c r="Q27" s="38"/>
      <c r="R27" s="38"/>
      <c r="S27" s="305"/>
    </row>
    <row r="28" spans="2:19" x14ac:dyDescent="0.3">
      <c r="B28" s="501" t="s">
        <v>122</v>
      </c>
      <c r="C28" s="502"/>
      <c r="D28" s="502"/>
      <c r="E28" s="502"/>
      <c r="F28" s="502"/>
      <c r="G28" s="502"/>
      <c r="H28" s="502"/>
      <c r="I28" s="502"/>
      <c r="J28" s="502"/>
      <c r="K28" s="502"/>
      <c r="L28" s="502"/>
      <c r="M28" s="502"/>
      <c r="N28" s="502"/>
      <c r="O28" s="502"/>
      <c r="P28" s="502"/>
      <c r="Q28" s="502"/>
      <c r="R28" s="502"/>
      <c r="S28" s="503"/>
    </row>
    <row r="29" spans="2:19" x14ac:dyDescent="0.3">
      <c r="B29" s="304"/>
      <c r="C29" s="38"/>
      <c r="D29" s="38"/>
      <c r="E29" s="38"/>
      <c r="F29" s="38"/>
      <c r="G29" s="38"/>
      <c r="H29" s="38"/>
      <c r="I29" s="38"/>
      <c r="J29" s="38"/>
      <c r="K29" s="38"/>
      <c r="L29" s="38"/>
      <c r="M29" s="49">
        <f>M20</f>
        <v>43800</v>
      </c>
      <c r="N29" s="49">
        <f t="shared" ref="N29:P29" si="3">N20</f>
        <v>44166</v>
      </c>
      <c r="O29" s="49">
        <f t="shared" si="3"/>
        <v>44532</v>
      </c>
      <c r="P29" s="49">
        <f t="shared" si="3"/>
        <v>44898</v>
      </c>
      <c r="Q29" s="38"/>
      <c r="R29" s="38"/>
      <c r="S29" s="305"/>
    </row>
    <row r="30" spans="2:19" x14ac:dyDescent="0.3">
      <c r="B30" s="304" t="s">
        <v>123</v>
      </c>
      <c r="C30" s="38"/>
      <c r="D30" s="38"/>
      <c r="E30" s="38"/>
      <c r="F30" s="38"/>
      <c r="G30" s="38"/>
      <c r="H30" s="38"/>
      <c r="I30" s="38"/>
      <c r="J30" s="38"/>
      <c r="K30" s="38"/>
      <c r="L30" s="38"/>
      <c r="M30" s="39">
        <f>'PayPal- Financials'!D4/'PayPal- Financials'!D40</f>
        <v>0.34621004032493718</v>
      </c>
      <c r="N30" s="39">
        <f>'PayPal- Financials'!E4/'PayPal- Financials'!E40</f>
        <v>0.30483524915102517</v>
      </c>
      <c r="O30" s="39">
        <f>'PayPal- Financials'!F4/'PayPal- Financials'!F40</f>
        <v>0.334696515969025</v>
      </c>
      <c r="P30" s="39">
        <f>'PayPal- Financials'!G4/'PayPal- Financials'!G40</f>
        <v>0.34958141189323783</v>
      </c>
      <c r="Q30" s="38"/>
      <c r="R30" s="38"/>
      <c r="S30" s="305"/>
    </row>
    <row r="31" spans="2:19" x14ac:dyDescent="0.3">
      <c r="B31" s="304" t="s">
        <v>124</v>
      </c>
      <c r="C31" s="38"/>
      <c r="D31" s="38"/>
      <c r="E31" s="38"/>
      <c r="F31" s="38"/>
      <c r="G31" s="38"/>
      <c r="H31" s="38"/>
      <c r="I31" s="38"/>
      <c r="J31" s="38"/>
      <c r="K31" s="38"/>
      <c r="L31" s="38"/>
      <c r="M31" s="39">
        <f>'PayPal- Financials'!D4/M80</f>
        <v>1.5352453351762267</v>
      </c>
      <c r="N31" s="39">
        <f>'PayPal- Financials'!E4/N80</f>
        <v>1.7097545425565828</v>
      </c>
      <c r="O31" s="39">
        <f>'PayPal- Financials'!F4/O80</f>
        <v>2.6580408590885281</v>
      </c>
      <c r="P31" s="39">
        <f>'PayPal- Financials'!G4/P80</f>
        <v>2.216333762886598</v>
      </c>
      <c r="Q31" s="38"/>
      <c r="R31" s="38"/>
      <c r="S31" s="305"/>
    </row>
    <row r="32" spans="2:19" x14ac:dyDescent="0.3">
      <c r="B32" s="304" t="s">
        <v>125</v>
      </c>
      <c r="C32" s="38"/>
      <c r="D32" s="38"/>
      <c r="E32" s="38"/>
      <c r="F32" s="38"/>
      <c r="G32" s="38"/>
      <c r="H32" s="38"/>
      <c r="I32" s="38"/>
      <c r="J32" s="38"/>
      <c r="K32" s="38"/>
      <c r="L32" s="38"/>
      <c r="M32" s="306" t="s">
        <v>294</v>
      </c>
      <c r="N32" s="306" t="s">
        <v>294</v>
      </c>
      <c r="O32" s="306" t="s">
        <v>294</v>
      </c>
      <c r="P32" s="306" t="s">
        <v>294</v>
      </c>
      <c r="Q32" s="38"/>
      <c r="R32" s="38"/>
      <c r="S32" s="305"/>
    </row>
    <row r="33" spans="2:19" x14ac:dyDescent="0.3">
      <c r="B33" s="304" t="s">
        <v>126</v>
      </c>
      <c r="C33" s="38"/>
      <c r="D33" s="38"/>
      <c r="E33" s="38"/>
      <c r="F33" s="38"/>
      <c r="G33" s="38"/>
      <c r="H33" s="38"/>
      <c r="I33" s="38"/>
      <c r="J33" s="38"/>
      <c r="K33" s="38"/>
      <c r="L33" s="38"/>
      <c r="M33" s="39">
        <f>'PayPal- Financials'!D4/'PayPal- Financials'!D29</f>
        <v>0.65983515259523284</v>
      </c>
      <c r="N33" s="39">
        <f>'PayPal- Financials'!E4/'PayPal- Financials'!E29</f>
        <v>0.58356000435208355</v>
      </c>
      <c r="O33" s="39">
        <f>'PayPal- Financials'!F4/'PayPal- Financials'!F29</f>
        <v>0.60715054921387035</v>
      </c>
      <c r="P33" s="39">
        <f>'PayPal- Financials'!G4/'PayPal- Financials'!G29</f>
        <v>0.61491363321490022</v>
      </c>
      <c r="Q33" s="38"/>
      <c r="R33" s="38"/>
      <c r="S33" s="305"/>
    </row>
    <row r="34" spans="2:19" x14ac:dyDescent="0.3">
      <c r="B34" s="304"/>
      <c r="C34" s="38"/>
      <c r="D34" s="38"/>
      <c r="E34" s="38"/>
      <c r="F34" s="38"/>
      <c r="G34" s="38"/>
      <c r="H34" s="38"/>
      <c r="I34" s="38"/>
      <c r="J34" s="38"/>
      <c r="K34" s="38"/>
      <c r="L34" s="38"/>
      <c r="M34" s="38"/>
      <c r="N34" s="38"/>
      <c r="O34" s="38"/>
      <c r="P34" s="38"/>
      <c r="Q34" s="38"/>
      <c r="R34" s="38"/>
      <c r="S34" s="305"/>
    </row>
    <row r="35" spans="2:19" x14ac:dyDescent="0.3">
      <c r="B35" s="501" t="s">
        <v>131</v>
      </c>
      <c r="C35" s="502"/>
      <c r="D35" s="502"/>
      <c r="E35" s="502"/>
      <c r="F35" s="502"/>
      <c r="G35" s="502"/>
      <c r="H35" s="502"/>
      <c r="I35" s="502"/>
      <c r="J35" s="502"/>
      <c r="K35" s="502"/>
      <c r="L35" s="502"/>
      <c r="M35" s="502"/>
      <c r="N35" s="502"/>
      <c r="O35" s="502"/>
      <c r="P35" s="502"/>
      <c r="Q35" s="502"/>
      <c r="R35" s="502"/>
      <c r="S35" s="503"/>
    </row>
    <row r="36" spans="2:19" x14ac:dyDescent="0.3">
      <c r="B36" s="304"/>
      <c r="C36" s="38"/>
      <c r="D36" s="38"/>
      <c r="E36" s="38"/>
      <c r="F36" s="38"/>
      <c r="G36" s="38"/>
      <c r="H36" s="38"/>
      <c r="I36" s="38"/>
      <c r="J36" s="38"/>
      <c r="K36" s="38"/>
      <c r="L36" s="38"/>
      <c r="M36" s="49">
        <f>M29</f>
        <v>43800</v>
      </c>
      <c r="N36" s="49">
        <f t="shared" ref="N36:P36" si="4">N29</f>
        <v>44166</v>
      </c>
      <c r="O36" s="49">
        <f t="shared" si="4"/>
        <v>44532</v>
      </c>
      <c r="P36" s="49">
        <f t="shared" si="4"/>
        <v>44898</v>
      </c>
      <c r="Q36" s="38"/>
      <c r="R36" s="38"/>
      <c r="S36" s="305"/>
    </row>
    <row r="37" spans="2:19" x14ac:dyDescent="0.3">
      <c r="B37" s="304" t="s">
        <v>132</v>
      </c>
      <c r="C37" s="38"/>
      <c r="D37" s="38"/>
      <c r="E37" s="38"/>
      <c r="F37" s="38"/>
      <c r="G37" s="38"/>
      <c r="H37" s="38"/>
      <c r="I37" s="38"/>
      <c r="J37" s="38"/>
      <c r="K37" s="38"/>
      <c r="L37" s="38"/>
      <c r="M37" s="67">
        <f>'PayPal- Financials'!D22/'PayPal- Financials'!D58</f>
        <v>0.14563221794492154</v>
      </c>
      <c r="N37" s="67">
        <f>'PayPal- Financials'!E22/'PayPal- Financials'!E58</f>
        <v>0.20990059443528647</v>
      </c>
      <c r="O37" s="67">
        <f>'PayPal- Financials'!F22/'PayPal- Financials'!F58</f>
        <v>0.19188106963685736</v>
      </c>
      <c r="P37" s="67">
        <f>'PayPal- Financials'!G22/'PayPal- Financials'!G58</f>
        <v>0.11931537930354148</v>
      </c>
      <c r="Q37" s="38"/>
      <c r="R37" s="38"/>
      <c r="S37" s="305"/>
    </row>
    <row r="38" spans="2:19" x14ac:dyDescent="0.3">
      <c r="B38" s="304" t="s">
        <v>133</v>
      </c>
      <c r="C38" s="38"/>
      <c r="D38" s="38"/>
      <c r="E38" s="38"/>
      <c r="F38" s="38"/>
      <c r="G38" s="38"/>
      <c r="H38" s="38"/>
      <c r="I38" s="38"/>
      <c r="J38" s="38"/>
      <c r="K38" s="38"/>
      <c r="L38" s="38"/>
      <c r="M38" s="67">
        <f>'PayPal- Financials'!D22/'PayPal- Financials'!D40</f>
        <v>4.7902908460444552E-2</v>
      </c>
      <c r="N38" s="67">
        <f>'PayPal- Financials'!E22/'PayPal- Financials'!E40</f>
        <v>5.970530982253229E-2</v>
      </c>
      <c r="O38" s="67">
        <f>'PayPal- Financials'!F22/'PayPal- Financials'!F40</f>
        <v>5.4997823305146236E-2</v>
      </c>
      <c r="P38" s="67">
        <f>'PayPal- Financials'!G22/'PayPal- Financials'!G40</f>
        <v>3.0730337792344728E-2</v>
      </c>
      <c r="Q38" s="38"/>
      <c r="R38" s="38"/>
      <c r="S38" s="305"/>
    </row>
    <row r="39" spans="2:19" x14ac:dyDescent="0.3">
      <c r="B39" s="304" t="s">
        <v>134</v>
      </c>
      <c r="C39" s="38"/>
      <c r="D39" s="38"/>
      <c r="E39" s="38"/>
      <c r="F39" s="38"/>
      <c r="G39" s="38"/>
      <c r="H39" s="38"/>
      <c r="I39" s="38"/>
      <c r="J39" s="38"/>
      <c r="K39" s="38"/>
      <c r="L39" s="38"/>
      <c r="M39" s="67">
        <f>'PayPal- Financials'!D22/('PayPal- Financials'!D58+'PayPal- Financials'!D46+'PayPal- Financials'!D43)</f>
        <v>5.3021972098238349E-2</v>
      </c>
      <c r="N39" s="67">
        <f>'PayPal- Financials'!E22/('PayPal- Financials'!E58+'PayPal- Financials'!E46+'PayPal- Financials'!E43)</f>
        <v>6.5272772461787004E-2</v>
      </c>
      <c r="O39" s="67">
        <f>'PayPal- Financials'!F22/('PayPal- Financials'!F58+'PayPal- Financials'!F46+'PayPal- Financials'!F43)</f>
        <v>6.0757538219391699E-2</v>
      </c>
      <c r="P39" s="67">
        <f>'PayPal- Financials'!G22/('PayPal- Financials'!G58+'PayPal- Financials'!G46+'PayPal- Financials'!G43)</f>
        <v>3.4167631854007174E-2</v>
      </c>
      <c r="Q39" s="38"/>
      <c r="R39" s="38"/>
      <c r="S39" s="305"/>
    </row>
    <row r="40" spans="2:19" x14ac:dyDescent="0.3">
      <c r="B40" s="304" t="s">
        <v>135</v>
      </c>
      <c r="C40" s="38"/>
      <c r="D40" s="38"/>
      <c r="E40" s="38"/>
      <c r="F40" s="38"/>
      <c r="G40" s="38"/>
      <c r="H40" s="38"/>
      <c r="I40" s="38"/>
      <c r="J40" s="38"/>
      <c r="K40" s="38"/>
      <c r="L40" s="38"/>
      <c r="M40" s="67">
        <f>'PayPal- Financials'!D22/('PayPal- Financials'!D35+M80)</f>
        <v>0.185319164970985</v>
      </c>
      <c r="N40" s="67">
        <f>'PayPal- Financials'!E22/('PayPal- Financials'!E35+N80)</f>
        <v>0.29272030651340997</v>
      </c>
      <c r="O40" s="67">
        <f>'PayPal- Financials'!F22/('PayPal- Financials'!F35+O80)</f>
        <v>0.3639776497293522</v>
      </c>
      <c r="P40" s="67">
        <f>'PayPal- Financials'!G22/('PayPal- Financials'!G35+P80)</f>
        <v>0.17100240350629153</v>
      </c>
      <c r="Q40" s="38"/>
      <c r="R40" s="38"/>
      <c r="S40" s="305"/>
    </row>
    <row r="41" spans="2:19" x14ac:dyDescent="0.3">
      <c r="B41" s="304" t="s">
        <v>136</v>
      </c>
      <c r="C41" s="38"/>
      <c r="D41" s="38"/>
      <c r="E41" s="38"/>
      <c r="F41" s="38"/>
      <c r="G41" s="38"/>
      <c r="H41" s="38"/>
      <c r="I41" s="38"/>
      <c r="J41" s="38"/>
      <c r="K41" s="38"/>
      <c r="L41" s="38"/>
      <c r="M41" s="67">
        <f>('PayPal- Financials'!D14+'PayPal- Financials'!D65)/'PayPal- Financials'!D4</f>
        <v>0.22000900292595094</v>
      </c>
      <c r="N41" s="67">
        <f>('PayPal- Financials'!E14+'PayPal- Financials'!E65)/'PayPal- Financials'!E4</f>
        <v>0.2915074112053696</v>
      </c>
      <c r="O41" s="67">
        <f>('PayPal- Financials'!F14+'PayPal- Financials'!F65)/'PayPal- Financials'!F4</f>
        <v>0.21142249024476764</v>
      </c>
      <c r="P41" s="67">
        <f>('PayPal- Financials'!G14+'PayPal- Financials'!G65)/'PayPal- Financials'!G4</f>
        <v>0.1701795188603823</v>
      </c>
      <c r="Q41" s="38"/>
      <c r="R41" s="38"/>
      <c r="S41" s="305"/>
    </row>
    <row r="42" spans="2:19" x14ac:dyDescent="0.3">
      <c r="B42" s="304" t="s">
        <v>137</v>
      </c>
      <c r="C42" s="38"/>
      <c r="D42" s="38"/>
      <c r="E42" s="38"/>
      <c r="F42" s="38"/>
      <c r="G42" s="38"/>
      <c r="H42" s="38"/>
      <c r="I42" s="38"/>
      <c r="J42" s="38"/>
      <c r="K42" s="38"/>
      <c r="L42" s="38"/>
      <c r="M42" s="67">
        <f>'PayPal- Financials'!D22/'PayPal- Financials'!D4</f>
        <v>0.13836371820841772</v>
      </c>
      <c r="N42" s="67">
        <f>'PayPal- Financials'!E22/'PayPal- Financials'!E4</f>
        <v>0.19586091171809453</v>
      </c>
      <c r="O42" s="67">
        <f>'PayPal- Financials'!F22/'PayPal- Financials'!F4</f>
        <v>0.16432146939419021</v>
      </c>
      <c r="P42" s="67">
        <f>'PayPal- Financials'!G22/'PayPal- Financials'!G4</f>
        <v>8.7906097826876958E-2</v>
      </c>
      <c r="Q42" s="38"/>
      <c r="R42" s="38"/>
      <c r="S42" s="305"/>
    </row>
    <row r="43" spans="2:19" x14ac:dyDescent="0.3">
      <c r="B43" s="304"/>
      <c r="C43" s="38"/>
      <c r="D43" s="38"/>
      <c r="E43" s="38"/>
      <c r="F43" s="38"/>
      <c r="G43" s="38"/>
      <c r="H43" s="38"/>
      <c r="I43" s="38"/>
      <c r="J43" s="38"/>
      <c r="K43" s="38"/>
      <c r="L43" s="38"/>
      <c r="M43" s="38"/>
      <c r="N43" s="38"/>
      <c r="O43" s="38"/>
      <c r="P43" s="38"/>
      <c r="Q43" s="38"/>
      <c r="R43" s="38"/>
      <c r="S43" s="305"/>
    </row>
    <row r="44" spans="2:19" x14ac:dyDescent="0.3">
      <c r="B44" s="501" t="s">
        <v>127</v>
      </c>
      <c r="C44" s="502"/>
      <c r="D44" s="502"/>
      <c r="E44" s="502"/>
      <c r="F44" s="502"/>
      <c r="G44" s="502"/>
      <c r="H44" s="502"/>
      <c r="I44" s="502"/>
      <c r="J44" s="502"/>
      <c r="K44" s="502"/>
      <c r="L44" s="502"/>
      <c r="M44" s="502"/>
      <c r="N44" s="502"/>
      <c r="O44" s="502"/>
      <c r="P44" s="502"/>
      <c r="Q44" s="502"/>
      <c r="R44" s="502"/>
      <c r="S44" s="503"/>
    </row>
    <row r="45" spans="2:19" x14ac:dyDescent="0.3">
      <c r="B45" s="304"/>
      <c r="C45" s="38"/>
      <c r="D45" s="38"/>
      <c r="E45" s="38"/>
      <c r="F45" s="38"/>
      <c r="G45" s="38"/>
      <c r="H45" s="38"/>
      <c r="I45" s="38"/>
      <c r="J45" s="38"/>
      <c r="K45" s="38"/>
      <c r="L45" s="38"/>
      <c r="M45" s="49">
        <f>M36</f>
        <v>43800</v>
      </c>
      <c r="N45" s="49">
        <f t="shared" ref="N45:P45" si="5">N36</f>
        <v>44166</v>
      </c>
      <c r="O45" s="49">
        <f t="shared" si="5"/>
        <v>44532</v>
      </c>
      <c r="P45" s="49">
        <f t="shared" si="5"/>
        <v>44898</v>
      </c>
      <c r="Q45" s="38"/>
      <c r="R45" s="38"/>
      <c r="S45" s="305"/>
    </row>
    <row r="46" spans="2:19" x14ac:dyDescent="0.3">
      <c r="B46" s="304" t="s">
        <v>128</v>
      </c>
      <c r="C46" s="38"/>
      <c r="D46" s="38"/>
      <c r="E46" s="38"/>
      <c r="F46" s="38"/>
      <c r="G46" s="38"/>
      <c r="H46" s="38"/>
      <c r="I46" s="38"/>
      <c r="J46" s="38"/>
      <c r="K46" s="38"/>
      <c r="L46" s="38"/>
      <c r="M46" s="39">
        <f>'PayPal- Financials'!D23/'PayPal- Financials'!D4</f>
        <v>7.1393202790907049</v>
      </c>
      <c r="N46" s="39">
        <f>'PayPal- Financials'!E23/'PayPal- Financials'!E4</f>
        <v>12.790621795469375</v>
      </c>
      <c r="O46" s="39">
        <f>'PayPal- Financials'!F23/'PayPal- Financials'!F4</f>
        <v>8.6815655669859293</v>
      </c>
      <c r="P46" s="39">
        <f>'PayPal- Financials'!G23/'PayPal- Financials'!G4</f>
        <v>2.9504324442183298</v>
      </c>
      <c r="Q46" s="38"/>
      <c r="R46" s="38"/>
      <c r="S46" s="305"/>
    </row>
    <row r="47" spans="2:19" x14ac:dyDescent="0.3">
      <c r="B47" s="304" t="s">
        <v>129</v>
      </c>
      <c r="C47" s="38"/>
      <c r="D47" s="38"/>
      <c r="E47" s="38"/>
      <c r="F47" s="38"/>
      <c r="G47" s="38"/>
      <c r="H47" s="38"/>
      <c r="I47" s="38"/>
      <c r="J47" s="38"/>
      <c r="K47" s="38"/>
      <c r="L47" s="38"/>
      <c r="M47" s="39">
        <f>'PayPal- Financials'!D23/'PayPal- Financials'!D22</f>
        <v>51.598210654737699</v>
      </c>
      <c r="N47" s="39">
        <f>'PayPal- Financials'!E23/'PayPal- Financials'!E22</f>
        <v>65.304616849119469</v>
      </c>
      <c r="O47" s="39">
        <f>'PayPal- Financials'!F23/'PayPal- Financials'!F22</f>
        <v>52.832813624370353</v>
      </c>
      <c r="P47" s="39">
        <f>'PayPal- Financials'!G23/'PayPal- Financials'!G22</f>
        <v>33.563455973542787</v>
      </c>
      <c r="Q47" s="38"/>
      <c r="R47" s="38"/>
      <c r="S47" s="305"/>
    </row>
    <row r="48" spans="2:19" x14ac:dyDescent="0.3">
      <c r="B48" s="304" t="s">
        <v>140</v>
      </c>
      <c r="C48" s="38"/>
      <c r="D48" s="38"/>
      <c r="E48" s="38"/>
      <c r="F48" s="38"/>
      <c r="G48" s="38"/>
      <c r="H48" s="38"/>
      <c r="I48" s="38"/>
      <c r="J48" s="38"/>
      <c r="K48" s="38"/>
      <c r="L48" s="38"/>
      <c r="M48" s="39">
        <f>'PayPal- Financials'!D23/'PayPal- Financials'!D72</f>
        <v>31.166789486612625</v>
      </c>
      <c r="N48" s="39">
        <f>'PayPal- Financials'!E23/'PayPal- Financials'!E72</f>
        <v>44.124457308248914</v>
      </c>
      <c r="O48" s="39">
        <f>'PayPal- Financials'!F23/'PayPal- Financials'!F72</f>
        <v>37.995514921511123</v>
      </c>
      <c r="P48" s="39">
        <f>'PayPal- Financials'!G23/'PayPal- Financials'!G72</f>
        <v>13.966970583175641</v>
      </c>
      <c r="Q48" s="38"/>
      <c r="R48" s="38"/>
      <c r="S48" s="305"/>
    </row>
    <row r="49" spans="2:19" x14ac:dyDescent="0.3">
      <c r="B49" s="304" t="s">
        <v>130</v>
      </c>
      <c r="C49" s="38"/>
      <c r="D49" s="38"/>
      <c r="E49" s="38"/>
      <c r="F49" s="38"/>
      <c r="G49" s="38"/>
      <c r="H49" s="38"/>
      <c r="I49" s="38"/>
      <c r="J49" s="38"/>
      <c r="K49" s="38"/>
      <c r="L49" s="38"/>
      <c r="M49" s="39">
        <f>'PayPal- Financials'!D23/'PayPal- Financials'!D58</f>
        <v>7.5143618596387327</v>
      </c>
      <c r="N49" s="39">
        <f>'PayPal- Financials'!E23/'PayPal- Financials'!E58</f>
        <v>13.707477895998801</v>
      </c>
      <c r="O49" s="39">
        <f>'PayPal- Financials'!F23/'PayPal- Financials'!F58</f>
        <v>10.137616790168915</v>
      </c>
      <c r="P49" s="39">
        <f>'PayPal- Financials'!G23/'PayPal- Financials'!G58</f>
        <v>4.0046364802209728</v>
      </c>
      <c r="Q49" s="38"/>
      <c r="R49" s="38"/>
      <c r="S49" s="305"/>
    </row>
    <row r="50" spans="2:19" x14ac:dyDescent="0.3">
      <c r="B50" s="304"/>
      <c r="C50" s="38"/>
      <c r="D50" s="38"/>
      <c r="E50" s="38"/>
      <c r="F50" s="38"/>
      <c r="G50" s="38"/>
      <c r="H50" s="38"/>
      <c r="I50" s="38"/>
      <c r="J50" s="38"/>
      <c r="K50" s="38"/>
      <c r="L50" s="38"/>
      <c r="M50" s="38"/>
      <c r="N50" s="38"/>
      <c r="O50" s="38"/>
      <c r="P50" s="38"/>
      <c r="Q50" s="38"/>
      <c r="R50" s="38"/>
      <c r="S50" s="305"/>
    </row>
    <row r="51" spans="2:19" x14ac:dyDescent="0.3">
      <c r="B51" s="501" t="s">
        <v>264</v>
      </c>
      <c r="C51" s="502"/>
      <c r="D51" s="502"/>
      <c r="E51" s="502"/>
      <c r="F51" s="502"/>
      <c r="G51" s="502"/>
      <c r="H51" s="502"/>
      <c r="I51" s="502"/>
      <c r="J51" s="502"/>
      <c r="K51" s="502"/>
      <c r="L51" s="502"/>
      <c r="M51" s="502"/>
      <c r="N51" s="502"/>
      <c r="O51" s="502"/>
      <c r="P51" s="502"/>
      <c r="Q51" s="502"/>
      <c r="R51" s="502"/>
      <c r="S51" s="503"/>
    </row>
    <row r="52" spans="2:19" x14ac:dyDescent="0.3">
      <c r="B52" s="304"/>
      <c r="C52" s="38"/>
      <c r="D52" s="38"/>
      <c r="E52" s="38"/>
      <c r="F52" s="38"/>
      <c r="G52" s="38"/>
      <c r="H52" s="38"/>
      <c r="I52" s="38"/>
      <c r="J52" s="38"/>
      <c r="K52" s="38"/>
      <c r="L52" s="38"/>
      <c r="M52" s="49">
        <f>M45</f>
        <v>43800</v>
      </c>
      <c r="N52" s="49">
        <f t="shared" ref="N52:P52" si="6">N45</f>
        <v>44166</v>
      </c>
      <c r="O52" s="49">
        <f t="shared" si="6"/>
        <v>44532</v>
      </c>
      <c r="P52" s="49">
        <f t="shared" si="6"/>
        <v>44898</v>
      </c>
      <c r="Q52" s="38"/>
      <c r="R52" s="38"/>
      <c r="S52" s="305"/>
    </row>
    <row r="53" spans="2:19" x14ac:dyDescent="0.3">
      <c r="B53" s="304" t="s">
        <v>23</v>
      </c>
      <c r="C53" s="38"/>
      <c r="D53" s="38"/>
      <c r="E53" s="38"/>
      <c r="F53" s="38"/>
      <c r="G53" s="38"/>
      <c r="H53" s="38"/>
      <c r="I53" s="38"/>
      <c r="J53" s="38"/>
      <c r="K53" s="38"/>
      <c r="L53" s="38"/>
      <c r="M53" s="51">
        <f>'PayPal- Financials'!D22</f>
        <v>2459000</v>
      </c>
      <c r="N53" s="51">
        <f>'PayPal- Financials'!E22</f>
        <v>4202000</v>
      </c>
      <c r="O53" s="51">
        <f>'PayPal- Financials'!F22</f>
        <v>4169000</v>
      </c>
      <c r="P53" s="51">
        <f>'PayPal- Financials'!G22</f>
        <v>2419000</v>
      </c>
      <c r="Q53" s="38"/>
      <c r="R53" s="38"/>
      <c r="S53" s="305"/>
    </row>
    <row r="54" spans="2:19" x14ac:dyDescent="0.3">
      <c r="B54" s="304" t="s">
        <v>139</v>
      </c>
      <c r="C54" s="38"/>
      <c r="D54" s="38"/>
      <c r="E54" s="38"/>
      <c r="F54" s="38"/>
      <c r="G54" s="38"/>
      <c r="H54" s="38"/>
      <c r="I54" s="38"/>
      <c r="J54" s="38"/>
      <c r="K54" s="38"/>
      <c r="L54" s="38"/>
      <c r="M54" s="51">
        <f>'PayPal- Financials'!D4</f>
        <v>17772000</v>
      </c>
      <c r="N54" s="51">
        <f>'PayPal- Financials'!E4</f>
        <v>21454000</v>
      </c>
      <c r="O54" s="51">
        <f>'PayPal- Financials'!F4</f>
        <v>25371000</v>
      </c>
      <c r="P54" s="51">
        <f>'PayPal- Financials'!G4</f>
        <v>27518000</v>
      </c>
      <c r="Q54" s="38"/>
      <c r="R54" s="38"/>
      <c r="S54" s="305"/>
    </row>
    <row r="55" spans="2:19" x14ac:dyDescent="0.3">
      <c r="B55" s="304" t="s">
        <v>39</v>
      </c>
      <c r="C55" s="38"/>
      <c r="D55" s="38"/>
      <c r="E55" s="38"/>
      <c r="F55" s="38"/>
      <c r="G55" s="38"/>
      <c r="H55" s="38"/>
      <c r="I55" s="38"/>
      <c r="J55" s="38"/>
      <c r="K55" s="38"/>
      <c r="L55" s="38"/>
      <c r="M55" s="51">
        <f>'PayPal- Financials'!D40</f>
        <v>51333000</v>
      </c>
      <c r="N55" s="51">
        <f>'PayPal- Financials'!E40</f>
        <v>70379000</v>
      </c>
      <c r="O55" s="51">
        <f>'PayPal- Financials'!F40</f>
        <v>75803000</v>
      </c>
      <c r="P55" s="51">
        <f>'PayPal- Financials'!G40</f>
        <v>78717000</v>
      </c>
      <c r="Q55" s="38"/>
      <c r="R55" s="38"/>
      <c r="S55" s="305"/>
    </row>
    <row r="56" spans="2:19" x14ac:dyDescent="0.3">
      <c r="B56" s="304" t="s">
        <v>141</v>
      </c>
      <c r="C56" s="38"/>
      <c r="D56" s="38"/>
      <c r="E56" s="38"/>
      <c r="F56" s="38"/>
      <c r="G56" s="38"/>
      <c r="H56" s="38"/>
      <c r="I56" s="38"/>
      <c r="J56" s="38"/>
      <c r="K56" s="38"/>
      <c r="L56" s="38"/>
      <c r="M56" s="51">
        <f>'PayPal- Financials'!D58</f>
        <v>16885000</v>
      </c>
      <c r="N56" s="51">
        <f>'PayPal- Financials'!E58</f>
        <v>20019000</v>
      </c>
      <c r="O56" s="51">
        <f>'PayPal- Financials'!F58</f>
        <v>21727000</v>
      </c>
      <c r="P56" s="51">
        <f>'PayPal- Financials'!G58</f>
        <v>20274000</v>
      </c>
      <c r="Q56" s="38"/>
      <c r="R56" s="38"/>
      <c r="S56" s="305"/>
    </row>
    <row r="57" spans="2:19" x14ac:dyDescent="0.3">
      <c r="B57" s="304" t="s">
        <v>142</v>
      </c>
      <c r="C57" s="38"/>
      <c r="D57" s="38"/>
      <c r="E57" s="38"/>
      <c r="F57" s="38"/>
      <c r="G57" s="38"/>
      <c r="H57" s="38"/>
      <c r="I57" s="38"/>
      <c r="J57" s="38"/>
      <c r="K57" s="38"/>
      <c r="L57" s="38"/>
      <c r="M57" s="307">
        <f>'Analysis- Paypal'!M53/'Analysis- Paypal'!M54</f>
        <v>0.13836371820841772</v>
      </c>
      <c r="N57" s="307">
        <f>'Analysis- Paypal'!N53/'Analysis- Paypal'!N54</f>
        <v>0.19586091171809453</v>
      </c>
      <c r="O57" s="307">
        <f>'Analysis- Paypal'!O53/'Analysis- Paypal'!O54</f>
        <v>0.16432146939419021</v>
      </c>
      <c r="P57" s="307">
        <f>'Analysis- Paypal'!P53/'Analysis- Paypal'!P54</f>
        <v>8.7906097826876958E-2</v>
      </c>
      <c r="Q57" s="38"/>
      <c r="R57" s="38"/>
      <c r="S57" s="305"/>
    </row>
    <row r="58" spans="2:19" x14ac:dyDescent="0.3">
      <c r="B58" s="304" t="s">
        <v>143</v>
      </c>
      <c r="C58" s="38"/>
      <c r="D58" s="38"/>
      <c r="E58" s="38"/>
      <c r="F58" s="38"/>
      <c r="G58" s="38"/>
      <c r="H58" s="38"/>
      <c r="I58" s="38"/>
      <c r="J58" s="38"/>
      <c r="K58" s="38"/>
      <c r="L58" s="38"/>
      <c r="M58" s="39">
        <f>M54/M55</f>
        <v>0.34621004032493718</v>
      </c>
      <c r="N58" s="39">
        <f t="shared" ref="N58:P58" si="7">N54/N55</f>
        <v>0.30483524915102517</v>
      </c>
      <c r="O58" s="39">
        <f t="shared" si="7"/>
        <v>0.334696515969025</v>
      </c>
      <c r="P58" s="39">
        <f t="shared" si="7"/>
        <v>0.34958141189323783</v>
      </c>
      <c r="Q58" s="38"/>
      <c r="R58" s="38"/>
      <c r="S58" s="305"/>
    </row>
    <row r="59" spans="2:19" x14ac:dyDescent="0.3">
      <c r="B59" s="304" t="s">
        <v>144</v>
      </c>
      <c r="C59" s="38"/>
      <c r="D59" s="38"/>
      <c r="E59" s="38"/>
      <c r="F59" s="38"/>
      <c r="G59" s="38"/>
      <c r="H59" s="38"/>
      <c r="I59" s="38"/>
      <c r="J59" s="38"/>
      <c r="K59" s="38"/>
      <c r="L59" s="38"/>
      <c r="M59" s="39">
        <f>M55/M56</f>
        <v>3.0401539828249926</v>
      </c>
      <c r="N59" s="39">
        <f t="shared" ref="N59:P59" si="8">N55/N56</f>
        <v>3.5156101703381788</v>
      </c>
      <c r="O59" s="39">
        <f t="shared" si="8"/>
        <v>3.4888847977171262</v>
      </c>
      <c r="P59" s="39">
        <f t="shared" si="8"/>
        <v>3.8826575910032552</v>
      </c>
      <c r="Q59" s="38"/>
      <c r="R59" s="38"/>
      <c r="S59" s="305"/>
    </row>
    <row r="60" spans="2:19" x14ac:dyDescent="0.3">
      <c r="B60" s="308" t="s">
        <v>145</v>
      </c>
      <c r="C60" s="255"/>
      <c r="D60" s="255"/>
      <c r="E60" s="255"/>
      <c r="F60" s="255"/>
      <c r="G60" s="255"/>
      <c r="H60" s="255"/>
      <c r="I60" s="255"/>
      <c r="J60" s="255"/>
      <c r="K60" s="255"/>
      <c r="L60" s="255"/>
      <c r="M60" s="309">
        <f>M57*M58*M59</f>
        <v>0.14563221794492151</v>
      </c>
      <c r="N60" s="309">
        <f t="shared" ref="N60:P60" si="9">N57*N58*N59</f>
        <v>0.2099005944352865</v>
      </c>
      <c r="O60" s="309">
        <f t="shared" si="9"/>
        <v>0.19188106963685739</v>
      </c>
      <c r="P60" s="309">
        <f t="shared" si="9"/>
        <v>0.11931537930354148</v>
      </c>
      <c r="Q60" s="255"/>
      <c r="R60" s="255"/>
      <c r="S60" s="310"/>
    </row>
    <row r="61" spans="2:19" x14ac:dyDescent="0.3">
      <c r="B61" s="304"/>
      <c r="C61" s="38"/>
      <c r="D61" s="38"/>
      <c r="E61" s="38"/>
      <c r="F61" s="38"/>
      <c r="G61" s="38"/>
      <c r="H61" s="38"/>
      <c r="I61" s="38"/>
      <c r="J61" s="38"/>
      <c r="K61" s="38"/>
      <c r="L61" s="38"/>
      <c r="M61" s="38"/>
      <c r="N61" s="38"/>
      <c r="O61" s="38"/>
      <c r="P61" s="38"/>
      <c r="Q61" s="38"/>
      <c r="R61" s="38"/>
      <c r="S61" s="305"/>
    </row>
    <row r="62" spans="2:19" x14ac:dyDescent="0.3">
      <c r="B62" s="501" t="s">
        <v>254</v>
      </c>
      <c r="C62" s="502"/>
      <c r="D62" s="502"/>
      <c r="E62" s="502"/>
      <c r="F62" s="502"/>
      <c r="G62" s="502"/>
      <c r="H62" s="502"/>
      <c r="I62" s="502"/>
      <c r="J62" s="502"/>
      <c r="K62" s="502"/>
      <c r="L62" s="502"/>
      <c r="M62" s="502"/>
      <c r="N62" s="502"/>
      <c r="O62" s="502"/>
      <c r="P62" s="502"/>
      <c r="Q62" s="502"/>
      <c r="R62" s="502"/>
      <c r="S62" s="503"/>
    </row>
    <row r="63" spans="2:19" x14ac:dyDescent="0.3">
      <c r="B63" s="304"/>
      <c r="C63" s="38"/>
      <c r="D63" s="38"/>
      <c r="E63" s="38"/>
      <c r="F63" s="38"/>
      <c r="G63" s="38"/>
      <c r="H63" s="38"/>
      <c r="I63" s="38"/>
      <c r="J63" s="38"/>
      <c r="K63" s="38"/>
      <c r="L63" s="38"/>
      <c r="M63" s="49">
        <f>M52</f>
        <v>43800</v>
      </c>
      <c r="N63" s="49">
        <f t="shared" ref="N63:P63" si="10">N52</f>
        <v>44166</v>
      </c>
      <c r="O63" s="49">
        <f t="shared" si="10"/>
        <v>44532</v>
      </c>
      <c r="P63" s="49">
        <f t="shared" si="10"/>
        <v>44898</v>
      </c>
      <c r="Q63" s="38"/>
      <c r="R63" s="38"/>
      <c r="S63" s="305"/>
    </row>
    <row r="64" spans="2:19" x14ac:dyDescent="0.3">
      <c r="B64" s="304" t="s">
        <v>23</v>
      </c>
      <c r="C64" s="38"/>
      <c r="D64" s="38"/>
      <c r="E64" s="38"/>
      <c r="F64" s="38"/>
      <c r="G64" s="38"/>
      <c r="H64" s="38"/>
      <c r="I64" s="38"/>
      <c r="J64" s="38"/>
      <c r="K64" s="38"/>
      <c r="L64" s="38"/>
      <c r="M64" s="51">
        <f>M53</f>
        <v>2459000</v>
      </c>
      <c r="N64" s="51">
        <f t="shared" ref="N64:P64" si="11">N53</f>
        <v>4202000</v>
      </c>
      <c r="O64" s="51">
        <f t="shared" si="11"/>
        <v>4169000</v>
      </c>
      <c r="P64" s="51">
        <f t="shared" si="11"/>
        <v>2419000</v>
      </c>
      <c r="Q64" s="38"/>
      <c r="R64" s="38"/>
      <c r="S64" s="305"/>
    </row>
    <row r="65" spans="2:19" x14ac:dyDescent="0.3">
      <c r="B65" s="304" t="s">
        <v>139</v>
      </c>
      <c r="C65" s="38"/>
      <c r="D65" s="38"/>
      <c r="E65" s="38"/>
      <c r="F65" s="38"/>
      <c r="G65" s="38"/>
      <c r="H65" s="38"/>
      <c r="I65" s="38"/>
      <c r="J65" s="38"/>
      <c r="K65" s="38"/>
      <c r="L65" s="38"/>
      <c r="M65" s="51">
        <f t="shared" ref="M65:P66" si="12">M54</f>
        <v>17772000</v>
      </c>
      <c r="N65" s="51">
        <f t="shared" si="12"/>
        <v>21454000</v>
      </c>
      <c r="O65" s="51">
        <f t="shared" si="12"/>
        <v>25371000</v>
      </c>
      <c r="P65" s="51">
        <f t="shared" si="12"/>
        <v>27518000</v>
      </c>
      <c r="Q65" s="38"/>
      <c r="R65" s="38"/>
      <c r="S65" s="305"/>
    </row>
    <row r="66" spans="2:19" x14ac:dyDescent="0.3">
      <c r="B66" s="304" t="s">
        <v>39</v>
      </c>
      <c r="C66" s="38"/>
      <c r="D66" s="38"/>
      <c r="E66" s="38"/>
      <c r="F66" s="38"/>
      <c r="G66" s="38"/>
      <c r="H66" s="38"/>
      <c r="I66" s="38"/>
      <c r="J66" s="38"/>
      <c r="K66" s="38"/>
      <c r="L66" s="38"/>
      <c r="M66" s="51">
        <f t="shared" si="12"/>
        <v>51333000</v>
      </c>
      <c r="N66" s="51">
        <f t="shared" si="12"/>
        <v>70379000</v>
      </c>
      <c r="O66" s="51">
        <f t="shared" si="12"/>
        <v>75803000</v>
      </c>
      <c r="P66" s="51">
        <f t="shared" si="12"/>
        <v>78717000</v>
      </c>
      <c r="Q66" s="38"/>
      <c r="R66" s="38"/>
      <c r="S66" s="305"/>
    </row>
    <row r="67" spans="2:19" x14ac:dyDescent="0.3">
      <c r="B67" s="304" t="s">
        <v>142</v>
      </c>
      <c r="C67" s="38"/>
      <c r="D67" s="38"/>
      <c r="E67" s="38"/>
      <c r="F67" s="38"/>
      <c r="G67" s="38"/>
      <c r="H67" s="38"/>
      <c r="I67" s="38"/>
      <c r="J67" s="38"/>
      <c r="K67" s="38"/>
      <c r="L67" s="38"/>
      <c r="M67" s="307">
        <f>M64/M65</f>
        <v>0.13836371820841772</v>
      </c>
      <c r="N67" s="307">
        <f t="shared" ref="N67:P67" si="13">N64/N65</f>
        <v>0.19586091171809453</v>
      </c>
      <c r="O67" s="307">
        <f t="shared" si="13"/>
        <v>0.16432146939419021</v>
      </c>
      <c r="P67" s="307">
        <f t="shared" si="13"/>
        <v>8.7906097826876958E-2</v>
      </c>
      <c r="Q67" s="38"/>
      <c r="R67" s="38"/>
      <c r="S67" s="305"/>
    </row>
    <row r="68" spans="2:19" x14ac:dyDescent="0.3">
      <c r="B68" s="304" t="s">
        <v>143</v>
      </c>
      <c r="C68" s="38"/>
      <c r="D68" s="38"/>
      <c r="E68" s="38"/>
      <c r="F68" s="38"/>
      <c r="G68" s="38"/>
      <c r="H68" s="38"/>
      <c r="I68" s="38"/>
      <c r="J68" s="38"/>
      <c r="K68" s="38"/>
      <c r="L68" s="38"/>
      <c r="M68" s="39">
        <f>M65/M66</f>
        <v>0.34621004032493718</v>
      </c>
      <c r="N68" s="39">
        <f t="shared" ref="N68:P68" si="14">N65/N66</f>
        <v>0.30483524915102517</v>
      </c>
      <c r="O68" s="39">
        <f t="shared" si="14"/>
        <v>0.334696515969025</v>
      </c>
      <c r="P68" s="39">
        <f t="shared" si="14"/>
        <v>0.34958141189323783</v>
      </c>
      <c r="Q68" s="38"/>
      <c r="R68" s="38"/>
      <c r="S68" s="305"/>
    </row>
    <row r="69" spans="2:19" x14ac:dyDescent="0.3">
      <c r="B69" s="308" t="s">
        <v>147</v>
      </c>
      <c r="C69" s="255"/>
      <c r="D69" s="255"/>
      <c r="E69" s="255"/>
      <c r="F69" s="255"/>
      <c r="G69" s="255"/>
      <c r="H69" s="255"/>
      <c r="I69" s="255"/>
      <c r="J69" s="255"/>
      <c r="K69" s="255"/>
      <c r="L69" s="255"/>
      <c r="M69" s="309">
        <f>M67*M68</f>
        <v>4.7902908460444545E-2</v>
      </c>
      <c r="N69" s="309">
        <f t="shared" ref="N69:P69" si="15">N67*N68</f>
        <v>5.970530982253229E-2</v>
      </c>
      <c r="O69" s="309">
        <f t="shared" si="15"/>
        <v>5.4997823305146236E-2</v>
      </c>
      <c r="P69" s="309">
        <f t="shared" si="15"/>
        <v>3.0730337792344731E-2</v>
      </c>
      <c r="Q69" s="255"/>
      <c r="R69" s="255"/>
      <c r="S69" s="310"/>
    </row>
    <row r="70" spans="2:19" x14ac:dyDescent="0.3">
      <c r="B70" s="304"/>
      <c r="C70" s="38"/>
      <c r="D70" s="38"/>
      <c r="E70" s="38"/>
      <c r="F70" s="38"/>
      <c r="G70" s="38"/>
      <c r="H70" s="38"/>
      <c r="I70" s="38"/>
      <c r="J70" s="38"/>
      <c r="K70" s="38"/>
      <c r="L70" s="38"/>
      <c r="M70" s="38"/>
      <c r="N70" s="38"/>
      <c r="O70" s="38"/>
      <c r="P70" s="38"/>
      <c r="Q70" s="38"/>
      <c r="R70" s="38"/>
      <c r="S70" s="305"/>
    </row>
    <row r="71" spans="2:19" x14ac:dyDescent="0.3">
      <c r="B71" s="316" t="s">
        <v>194</v>
      </c>
      <c r="C71" s="38"/>
      <c r="D71" s="38"/>
      <c r="E71" s="38"/>
      <c r="F71" s="38"/>
      <c r="G71" s="38"/>
      <c r="H71" s="38"/>
      <c r="I71" s="38"/>
      <c r="J71" s="38"/>
      <c r="K71" s="38"/>
      <c r="L71" s="38"/>
      <c r="M71" s="38"/>
      <c r="N71" s="38"/>
      <c r="O71" s="38"/>
      <c r="P71" s="38"/>
      <c r="Q71" s="38"/>
      <c r="R71" s="38"/>
      <c r="S71" s="305"/>
    </row>
    <row r="72" spans="2:19" x14ac:dyDescent="0.3">
      <c r="B72" s="315" t="s">
        <v>295</v>
      </c>
      <c r="C72" s="38"/>
      <c r="D72" s="38"/>
      <c r="E72" s="38"/>
      <c r="F72" s="38"/>
      <c r="G72" s="38"/>
      <c r="H72" s="38"/>
      <c r="I72" s="38"/>
      <c r="J72" s="38"/>
      <c r="K72" s="38"/>
      <c r="L72" s="38"/>
      <c r="M72" s="38"/>
      <c r="N72" s="38"/>
      <c r="O72" s="38"/>
      <c r="P72" s="38"/>
      <c r="Q72" s="38"/>
      <c r="R72" s="38"/>
      <c r="S72" s="305"/>
    </row>
    <row r="73" spans="2:19" x14ac:dyDescent="0.3">
      <c r="B73" s="315" t="s">
        <v>296</v>
      </c>
      <c r="C73" s="38"/>
      <c r="D73" s="38"/>
      <c r="E73" s="38"/>
      <c r="F73" s="38"/>
      <c r="G73" s="38"/>
      <c r="H73" s="38"/>
      <c r="I73" s="38"/>
      <c r="J73" s="38"/>
      <c r="K73" s="38"/>
      <c r="L73" s="38"/>
      <c r="M73" s="38"/>
      <c r="N73" s="38"/>
      <c r="O73" s="38"/>
      <c r="P73" s="38"/>
      <c r="Q73" s="38"/>
      <c r="R73" s="38"/>
      <c r="S73" s="305"/>
    </row>
    <row r="74" spans="2:19" x14ac:dyDescent="0.3">
      <c r="B74" s="315" t="s">
        <v>297</v>
      </c>
      <c r="C74" s="38"/>
      <c r="D74" s="38"/>
      <c r="E74" s="38"/>
      <c r="F74" s="38"/>
      <c r="G74" s="38"/>
      <c r="H74" s="38"/>
      <c r="I74" s="38"/>
      <c r="J74" s="38"/>
      <c r="K74" s="38"/>
      <c r="L74" s="38"/>
      <c r="M74" s="38"/>
      <c r="N74" s="38"/>
      <c r="O74" s="38"/>
      <c r="P74" s="38"/>
      <c r="Q74" s="38"/>
      <c r="R74" s="38"/>
      <c r="S74" s="305"/>
    </row>
    <row r="75" spans="2:19" x14ac:dyDescent="0.3">
      <c r="B75" s="304"/>
      <c r="C75" s="38"/>
      <c r="D75" s="38"/>
      <c r="E75" s="38"/>
      <c r="F75" s="38"/>
      <c r="G75" s="38"/>
      <c r="H75" s="38"/>
      <c r="I75" s="38"/>
      <c r="J75" s="38"/>
      <c r="K75" s="38"/>
      <c r="L75" s="38"/>
      <c r="M75" s="38"/>
      <c r="N75" s="38"/>
      <c r="O75" s="38"/>
      <c r="P75" s="38"/>
      <c r="Q75" s="38"/>
      <c r="R75" s="38"/>
      <c r="S75" s="305"/>
    </row>
    <row r="76" spans="2:19" x14ac:dyDescent="0.3">
      <c r="B76" s="494" t="s">
        <v>209</v>
      </c>
      <c r="C76" s="466"/>
      <c r="D76" s="466"/>
      <c r="E76" s="466"/>
      <c r="F76" s="466"/>
      <c r="G76" s="466"/>
      <c r="H76" s="466"/>
      <c r="I76" s="466"/>
      <c r="J76" s="466"/>
      <c r="K76" s="466"/>
      <c r="L76" s="466"/>
      <c r="M76" s="466"/>
      <c r="N76" s="466"/>
      <c r="O76" s="466"/>
      <c r="P76" s="466"/>
      <c r="Q76" s="466"/>
      <c r="R76" s="466"/>
      <c r="S76" s="495"/>
    </row>
    <row r="77" spans="2:19" x14ac:dyDescent="0.3">
      <c r="B77" s="304"/>
      <c r="C77" s="38"/>
      <c r="D77" s="38"/>
      <c r="E77" s="38"/>
      <c r="F77" s="38"/>
      <c r="G77" s="38"/>
      <c r="H77" s="38"/>
      <c r="I77" s="38"/>
      <c r="J77" s="38"/>
      <c r="K77" s="38"/>
      <c r="L77" s="38"/>
      <c r="M77" s="38"/>
      <c r="N77" s="38"/>
      <c r="O77" s="38"/>
      <c r="P77" s="38"/>
      <c r="Q77" s="38"/>
      <c r="R77" s="38"/>
      <c r="S77" s="305"/>
    </row>
    <row r="78" spans="2:19" x14ac:dyDescent="0.3">
      <c r="B78" s="491" t="s">
        <v>151</v>
      </c>
      <c r="C78" s="492"/>
      <c r="D78" s="492"/>
      <c r="E78" s="492"/>
      <c r="F78" s="492"/>
      <c r="G78" s="492"/>
      <c r="H78" s="492"/>
      <c r="I78" s="492"/>
      <c r="J78" s="492"/>
      <c r="K78" s="492"/>
      <c r="L78" s="492"/>
      <c r="M78" s="492"/>
      <c r="N78" s="492"/>
      <c r="O78" s="492"/>
      <c r="P78" s="492"/>
      <c r="Q78" s="492"/>
      <c r="R78" s="492"/>
      <c r="S78" s="493"/>
    </row>
    <row r="79" spans="2:19" x14ac:dyDescent="0.3">
      <c r="B79" s="304"/>
      <c r="C79" s="38"/>
      <c r="D79" s="38"/>
      <c r="E79" s="38"/>
      <c r="F79" s="38"/>
      <c r="G79" s="38"/>
      <c r="H79" s="38"/>
      <c r="I79" s="38"/>
      <c r="J79" s="38"/>
      <c r="K79" s="38"/>
      <c r="L79" s="38"/>
      <c r="M79" s="49">
        <f>M63</f>
        <v>43800</v>
      </c>
      <c r="N79" s="49">
        <f>N63</f>
        <v>44166</v>
      </c>
      <c r="O79" s="49">
        <f>O63</f>
        <v>44532</v>
      </c>
      <c r="P79" s="49">
        <f>P63</f>
        <v>44898</v>
      </c>
      <c r="Q79" s="38"/>
      <c r="R79" s="38"/>
      <c r="S79" s="305"/>
    </row>
    <row r="80" spans="2:19" x14ac:dyDescent="0.3">
      <c r="B80" s="304" t="s">
        <v>152</v>
      </c>
      <c r="C80" s="38"/>
      <c r="D80" s="38"/>
      <c r="E80" s="38"/>
      <c r="F80" s="38"/>
      <c r="G80" s="38"/>
      <c r="H80" s="38"/>
      <c r="I80" s="38"/>
      <c r="J80" s="38"/>
      <c r="K80" s="38"/>
      <c r="L80" s="38"/>
      <c r="M80" s="51">
        <f>'PayPal- Financials'!D32-'PayPal- Financials'!D45</f>
        <v>11576000</v>
      </c>
      <c r="N80" s="51">
        <f>'PayPal- Financials'!E32-'PayPal- Financials'!E45</f>
        <v>12548000</v>
      </c>
      <c r="O80" s="51">
        <f>'PayPal- Financials'!F32-'PayPal- Financials'!F45</f>
        <v>9545000</v>
      </c>
      <c r="P80" s="51">
        <f>'PayPal- Financials'!G32-'PayPal- Financials'!G45</f>
        <v>12416000</v>
      </c>
      <c r="Q80" s="38"/>
      <c r="R80" s="38"/>
      <c r="S80" s="305"/>
    </row>
    <row r="81" spans="2:19" x14ac:dyDescent="0.3">
      <c r="B81" s="304" t="s">
        <v>39</v>
      </c>
      <c r="C81" s="38"/>
      <c r="D81" s="38"/>
      <c r="E81" s="38"/>
      <c r="F81" s="38"/>
      <c r="G81" s="38"/>
      <c r="H81" s="38"/>
      <c r="I81" s="38"/>
      <c r="J81" s="38"/>
      <c r="K81" s="38"/>
      <c r="L81" s="38"/>
      <c r="M81" s="51">
        <f>M66</f>
        <v>51333000</v>
      </c>
      <c r="N81" s="51">
        <f t="shared" ref="N81:P81" si="16">N66</f>
        <v>70379000</v>
      </c>
      <c r="O81" s="51">
        <f t="shared" si="16"/>
        <v>75803000</v>
      </c>
      <c r="P81" s="51">
        <f t="shared" si="16"/>
        <v>78717000</v>
      </c>
      <c r="Q81" s="38"/>
      <c r="R81" s="38"/>
      <c r="S81" s="305"/>
    </row>
    <row r="82" spans="2:19" x14ac:dyDescent="0.3">
      <c r="B82" s="304" t="s">
        <v>161</v>
      </c>
      <c r="C82" s="38"/>
      <c r="D82" s="38"/>
      <c r="E82" s="38"/>
      <c r="F82" s="38"/>
      <c r="G82" s="38"/>
      <c r="H82" s="38"/>
      <c r="I82" s="38"/>
      <c r="J82" s="38"/>
      <c r="K82" s="38"/>
      <c r="L82" s="38"/>
      <c r="M82" s="39">
        <f>M80/M81</f>
        <v>0.22550795784388211</v>
      </c>
      <c r="N82" s="39">
        <f t="shared" ref="N82:P82" si="17">N80/N81</f>
        <v>0.17829182000312593</v>
      </c>
      <c r="O82" s="39">
        <f t="shared" si="17"/>
        <v>0.12591849926783899</v>
      </c>
      <c r="P82" s="39">
        <f t="shared" si="17"/>
        <v>0.15772958827191078</v>
      </c>
      <c r="Q82" s="38"/>
      <c r="R82" s="38"/>
      <c r="S82" s="305"/>
    </row>
    <row r="83" spans="2:19" x14ac:dyDescent="0.3">
      <c r="B83" s="304"/>
      <c r="C83" s="38"/>
      <c r="D83" s="38"/>
      <c r="E83" s="38"/>
      <c r="F83" s="38"/>
      <c r="G83" s="38"/>
      <c r="H83" s="38"/>
      <c r="I83" s="38"/>
      <c r="J83" s="38"/>
      <c r="K83" s="38"/>
      <c r="L83" s="38"/>
      <c r="M83" s="38"/>
      <c r="N83" s="38"/>
      <c r="O83" s="38"/>
      <c r="P83" s="38"/>
      <c r="Q83" s="38"/>
      <c r="R83" s="38"/>
      <c r="S83" s="305"/>
    </row>
    <row r="84" spans="2:19" x14ac:dyDescent="0.3">
      <c r="B84" s="491" t="s">
        <v>153</v>
      </c>
      <c r="C84" s="492"/>
      <c r="D84" s="492"/>
      <c r="E84" s="492"/>
      <c r="F84" s="492"/>
      <c r="G84" s="492"/>
      <c r="H84" s="492"/>
      <c r="I84" s="492"/>
      <c r="J84" s="492"/>
      <c r="K84" s="492"/>
      <c r="L84" s="492"/>
      <c r="M84" s="492"/>
      <c r="N84" s="492"/>
      <c r="O84" s="492"/>
      <c r="P84" s="492"/>
      <c r="Q84" s="492"/>
      <c r="R84" s="492"/>
      <c r="S84" s="493"/>
    </row>
    <row r="85" spans="2:19" x14ac:dyDescent="0.3">
      <c r="B85" s="304"/>
      <c r="C85" s="38"/>
      <c r="D85" s="38"/>
      <c r="E85" s="38"/>
      <c r="F85" s="38"/>
      <c r="G85" s="38"/>
      <c r="H85" s="38"/>
      <c r="I85" s="38"/>
      <c r="J85" s="38"/>
      <c r="K85" s="38"/>
      <c r="L85" s="38"/>
      <c r="M85" s="49">
        <f>M79</f>
        <v>43800</v>
      </c>
      <c r="N85" s="49">
        <f t="shared" ref="N85:P85" si="18">N79</f>
        <v>44166</v>
      </c>
      <c r="O85" s="49">
        <f t="shared" si="18"/>
        <v>44532</v>
      </c>
      <c r="P85" s="49">
        <f t="shared" si="18"/>
        <v>44898</v>
      </c>
      <c r="Q85" s="38"/>
      <c r="R85" s="38"/>
      <c r="S85" s="305"/>
    </row>
    <row r="86" spans="2:19" x14ac:dyDescent="0.3">
      <c r="B86" s="304" t="s">
        <v>186</v>
      </c>
      <c r="C86" s="38"/>
      <c r="D86" s="38"/>
      <c r="E86" s="38"/>
      <c r="F86" s="38"/>
      <c r="G86" s="38"/>
      <c r="H86" s="38"/>
      <c r="I86" s="38"/>
      <c r="J86" s="38"/>
      <c r="K86" s="38"/>
      <c r="L86" s="38"/>
      <c r="M86" s="51">
        <f>'PayPal- Financials'!D14</f>
        <v>2998000</v>
      </c>
      <c r="N86" s="51">
        <f>'PayPal- Financials'!E14</f>
        <v>5065000</v>
      </c>
      <c r="O86" s="51">
        <f>'PayPal- Financials'!F14</f>
        <v>4099000</v>
      </c>
      <c r="P86" s="51">
        <f>'PayPal- Financials'!G14</f>
        <v>3366000</v>
      </c>
      <c r="Q86" s="38"/>
      <c r="R86" s="38"/>
      <c r="S86" s="305"/>
    </row>
    <row r="87" spans="2:19" x14ac:dyDescent="0.3">
      <c r="B87" s="304" t="s">
        <v>39</v>
      </c>
      <c r="C87" s="38"/>
      <c r="D87" s="38"/>
      <c r="E87" s="38"/>
      <c r="F87" s="38"/>
      <c r="G87" s="38"/>
      <c r="H87" s="38"/>
      <c r="I87" s="38"/>
      <c r="J87" s="38"/>
      <c r="K87" s="38"/>
      <c r="L87" s="38"/>
      <c r="M87" s="51">
        <f>M81</f>
        <v>51333000</v>
      </c>
      <c r="N87" s="51">
        <f t="shared" ref="N87:P87" si="19">N81</f>
        <v>70379000</v>
      </c>
      <c r="O87" s="51">
        <f t="shared" si="19"/>
        <v>75803000</v>
      </c>
      <c r="P87" s="51">
        <f t="shared" si="19"/>
        <v>78717000</v>
      </c>
      <c r="Q87" s="38"/>
      <c r="R87" s="38"/>
      <c r="S87" s="305"/>
    </row>
    <row r="88" spans="2:19" x14ac:dyDescent="0.3">
      <c r="B88" s="304" t="s">
        <v>237</v>
      </c>
      <c r="C88" s="38"/>
      <c r="D88" s="38"/>
      <c r="E88" s="38"/>
      <c r="F88" s="38"/>
      <c r="G88" s="38"/>
      <c r="H88" s="38"/>
      <c r="I88" s="38"/>
      <c r="J88" s="38"/>
      <c r="K88" s="38"/>
      <c r="L88" s="38"/>
      <c r="M88" s="39">
        <f>M86/M87</f>
        <v>5.8402976642705474E-2</v>
      </c>
      <c r="N88" s="39">
        <f t="shared" ref="N88:P88" si="20">N86/N87</f>
        <v>7.1967490302505002E-2</v>
      </c>
      <c r="O88" s="39">
        <f t="shared" si="20"/>
        <v>5.4074377003548675E-2</v>
      </c>
      <c r="P88" s="39">
        <f t="shared" si="20"/>
        <v>4.2760775944205194E-2</v>
      </c>
      <c r="Q88" s="38"/>
      <c r="R88" s="38"/>
      <c r="S88" s="305"/>
    </row>
    <row r="89" spans="2:19" x14ac:dyDescent="0.3">
      <c r="B89" s="304"/>
      <c r="C89" s="38"/>
      <c r="D89" s="38"/>
      <c r="E89" s="38"/>
      <c r="F89" s="38"/>
      <c r="G89" s="38"/>
      <c r="H89" s="38"/>
      <c r="I89" s="38"/>
      <c r="J89" s="38"/>
      <c r="K89" s="38"/>
      <c r="L89" s="38"/>
      <c r="M89" s="38"/>
      <c r="N89" s="38"/>
      <c r="O89" s="38"/>
      <c r="P89" s="38"/>
      <c r="Q89" s="38"/>
      <c r="R89" s="38"/>
      <c r="S89" s="305"/>
    </row>
    <row r="90" spans="2:19" x14ac:dyDescent="0.3">
      <c r="B90" s="491" t="s">
        <v>154</v>
      </c>
      <c r="C90" s="492"/>
      <c r="D90" s="492"/>
      <c r="E90" s="492"/>
      <c r="F90" s="492"/>
      <c r="G90" s="492"/>
      <c r="H90" s="492"/>
      <c r="I90" s="492"/>
      <c r="J90" s="492"/>
      <c r="K90" s="492"/>
      <c r="L90" s="492"/>
      <c r="M90" s="492"/>
      <c r="N90" s="492"/>
      <c r="O90" s="492"/>
      <c r="P90" s="492"/>
      <c r="Q90" s="492"/>
      <c r="R90" s="492"/>
      <c r="S90" s="493"/>
    </row>
    <row r="91" spans="2:19" x14ac:dyDescent="0.3">
      <c r="B91" s="304"/>
      <c r="C91" s="38"/>
      <c r="D91" s="38"/>
      <c r="E91" s="38"/>
      <c r="F91" s="38"/>
      <c r="G91" s="38"/>
      <c r="H91" s="38"/>
      <c r="I91" s="38"/>
      <c r="J91" s="38"/>
      <c r="K91" s="38"/>
      <c r="L91" s="38"/>
      <c r="M91" s="49">
        <f>M85</f>
        <v>43800</v>
      </c>
      <c r="N91" s="49">
        <f t="shared" ref="N91:P91" si="21">N85</f>
        <v>44166</v>
      </c>
      <c r="O91" s="49">
        <f t="shared" si="21"/>
        <v>44532</v>
      </c>
      <c r="P91" s="49">
        <f t="shared" si="21"/>
        <v>44898</v>
      </c>
      <c r="Q91" s="38"/>
      <c r="R91" s="38"/>
      <c r="S91" s="305"/>
    </row>
    <row r="92" spans="2:19" x14ac:dyDescent="0.3">
      <c r="B92" s="304" t="s">
        <v>53</v>
      </c>
      <c r="C92" s="38"/>
      <c r="D92" s="38"/>
      <c r="E92" s="38"/>
      <c r="F92" s="38"/>
      <c r="G92" s="38"/>
      <c r="H92" s="38"/>
      <c r="I92" s="38"/>
      <c r="J92" s="38"/>
      <c r="K92" s="38"/>
      <c r="L92" s="38"/>
      <c r="M92" s="51">
        <f>'PayPal- Financials'!D55</f>
        <v>-6872000</v>
      </c>
      <c r="N92" s="51">
        <f>'PayPal- Financials'!E55</f>
        <v>-8507000</v>
      </c>
      <c r="O92" s="51">
        <f>'PayPal- Financials'!F55</f>
        <v>-11880000</v>
      </c>
      <c r="P92" s="51">
        <f>'PayPal- Financials'!G55</f>
        <v>-16079000</v>
      </c>
      <c r="Q92" s="38"/>
      <c r="R92" s="38"/>
      <c r="S92" s="305"/>
    </row>
    <row r="93" spans="2:19" x14ac:dyDescent="0.3">
      <c r="B93" s="304" t="s">
        <v>39</v>
      </c>
      <c r="C93" s="38"/>
      <c r="D93" s="38"/>
      <c r="E93" s="38"/>
      <c r="F93" s="38"/>
      <c r="G93" s="38"/>
      <c r="H93" s="38"/>
      <c r="I93" s="38"/>
      <c r="J93" s="38"/>
      <c r="K93" s="38"/>
      <c r="L93" s="38"/>
      <c r="M93" s="51">
        <f>M87</f>
        <v>51333000</v>
      </c>
      <c r="N93" s="51">
        <f t="shared" ref="N93:P93" si="22">N87</f>
        <v>70379000</v>
      </c>
      <c r="O93" s="51">
        <f t="shared" si="22"/>
        <v>75803000</v>
      </c>
      <c r="P93" s="51">
        <f t="shared" si="22"/>
        <v>78717000</v>
      </c>
      <c r="Q93" s="38"/>
      <c r="R93" s="38"/>
      <c r="S93" s="305"/>
    </row>
    <row r="94" spans="2:19" x14ac:dyDescent="0.3">
      <c r="B94" s="304" t="s">
        <v>238</v>
      </c>
      <c r="C94" s="38"/>
      <c r="D94" s="38"/>
      <c r="E94" s="38"/>
      <c r="F94" s="38"/>
      <c r="G94" s="38"/>
      <c r="H94" s="38"/>
      <c r="I94" s="38"/>
      <c r="J94" s="38"/>
      <c r="K94" s="38"/>
      <c r="L94" s="38"/>
      <c r="M94" s="39">
        <f>M92/M93</f>
        <v>-0.13387099916233222</v>
      </c>
      <c r="N94" s="39">
        <f t="shared" ref="N94:P94" si="23">N92/N93</f>
        <v>-0.12087412438369399</v>
      </c>
      <c r="O94" s="39">
        <f t="shared" si="23"/>
        <v>-0.15672202947112912</v>
      </c>
      <c r="P94" s="39">
        <f t="shared" si="23"/>
        <v>-0.20426337385825172</v>
      </c>
      <c r="Q94" s="38"/>
      <c r="R94" s="38"/>
      <c r="S94" s="305"/>
    </row>
    <row r="95" spans="2:19" x14ac:dyDescent="0.3">
      <c r="B95" s="304"/>
      <c r="C95" s="38"/>
      <c r="D95" s="38"/>
      <c r="E95" s="38"/>
      <c r="F95" s="38"/>
      <c r="G95" s="38"/>
      <c r="H95" s="38"/>
      <c r="I95" s="38"/>
      <c r="J95" s="38"/>
      <c r="K95" s="38"/>
      <c r="L95" s="38"/>
      <c r="M95" s="38"/>
      <c r="N95" s="38"/>
      <c r="O95" s="38"/>
      <c r="P95" s="38"/>
      <c r="Q95" s="38"/>
      <c r="R95" s="38"/>
      <c r="S95" s="305"/>
    </row>
    <row r="96" spans="2:19" x14ac:dyDescent="0.3">
      <c r="B96" s="491" t="s">
        <v>156</v>
      </c>
      <c r="C96" s="492"/>
      <c r="D96" s="492"/>
      <c r="E96" s="492"/>
      <c r="F96" s="492"/>
      <c r="G96" s="492"/>
      <c r="H96" s="492"/>
      <c r="I96" s="492"/>
      <c r="J96" s="492"/>
      <c r="K96" s="492"/>
      <c r="L96" s="492"/>
      <c r="M96" s="492"/>
      <c r="N96" s="492"/>
      <c r="O96" s="492"/>
      <c r="P96" s="492"/>
      <c r="Q96" s="492"/>
      <c r="R96" s="492"/>
      <c r="S96" s="493"/>
    </row>
    <row r="97" spans="2:19" x14ac:dyDescent="0.3">
      <c r="B97" s="304"/>
      <c r="C97" s="38"/>
      <c r="D97" s="38"/>
      <c r="E97" s="38"/>
      <c r="F97" s="38"/>
      <c r="G97" s="38"/>
      <c r="H97" s="38"/>
      <c r="I97" s="38"/>
      <c r="J97" s="38"/>
      <c r="K97" s="38"/>
      <c r="L97" s="38"/>
      <c r="M97" s="49">
        <f>M91</f>
        <v>43800</v>
      </c>
      <c r="N97" s="49">
        <f t="shared" ref="N97:P97" si="24">N91</f>
        <v>44166</v>
      </c>
      <c r="O97" s="49">
        <f t="shared" si="24"/>
        <v>44532</v>
      </c>
      <c r="P97" s="49">
        <f t="shared" si="24"/>
        <v>44898</v>
      </c>
      <c r="Q97" s="38"/>
      <c r="R97" s="38"/>
      <c r="S97" s="305"/>
    </row>
    <row r="98" spans="2:19" x14ac:dyDescent="0.3">
      <c r="B98" s="304" t="s">
        <v>213</v>
      </c>
      <c r="C98" s="38"/>
      <c r="D98" s="38"/>
      <c r="E98" s="38"/>
      <c r="F98" s="38"/>
      <c r="G98" s="38"/>
      <c r="H98" s="38"/>
      <c r="I98" s="38"/>
      <c r="J98" s="38"/>
      <c r="K98" s="38"/>
      <c r="L98" s="38"/>
      <c r="M98" s="51">
        <f>'PayPal- Financials'!D4</f>
        <v>17772000</v>
      </c>
      <c r="N98" s="51">
        <f>'PayPal- Financials'!E4</f>
        <v>21454000</v>
      </c>
      <c r="O98" s="51">
        <f>'PayPal- Financials'!F4</f>
        <v>25371000</v>
      </c>
      <c r="P98" s="51">
        <f>'PayPal- Financials'!G4</f>
        <v>27518000</v>
      </c>
      <c r="Q98" s="38"/>
      <c r="R98" s="38"/>
      <c r="S98" s="305"/>
    </row>
    <row r="99" spans="2:19" x14ac:dyDescent="0.3">
      <c r="B99" s="304" t="s">
        <v>39</v>
      </c>
      <c r="C99" s="38"/>
      <c r="D99" s="38"/>
      <c r="E99" s="38"/>
      <c r="F99" s="38"/>
      <c r="G99" s="38"/>
      <c r="H99" s="38"/>
      <c r="I99" s="38"/>
      <c r="J99" s="38"/>
      <c r="K99" s="38"/>
      <c r="L99" s="38"/>
      <c r="M99" s="51">
        <f>M93</f>
        <v>51333000</v>
      </c>
      <c r="N99" s="51">
        <f t="shared" ref="N99:P99" si="25">N93</f>
        <v>70379000</v>
      </c>
      <c r="O99" s="51">
        <f t="shared" si="25"/>
        <v>75803000</v>
      </c>
      <c r="P99" s="51">
        <f t="shared" si="25"/>
        <v>78717000</v>
      </c>
      <c r="Q99" s="38"/>
      <c r="R99" s="38"/>
      <c r="S99" s="305"/>
    </row>
    <row r="100" spans="2:19" x14ac:dyDescent="0.3">
      <c r="B100" s="304" t="s">
        <v>239</v>
      </c>
      <c r="C100" s="38"/>
      <c r="D100" s="38"/>
      <c r="E100" s="38"/>
      <c r="F100" s="38"/>
      <c r="G100" s="38"/>
      <c r="H100" s="38"/>
      <c r="I100" s="38"/>
      <c r="J100" s="38"/>
      <c r="K100" s="38"/>
      <c r="L100" s="38"/>
      <c r="M100" s="39">
        <f>M98/M99</f>
        <v>0.34621004032493718</v>
      </c>
      <c r="N100" s="39">
        <f t="shared" ref="N100:P100" si="26">N98/N99</f>
        <v>0.30483524915102517</v>
      </c>
      <c r="O100" s="39">
        <f t="shared" si="26"/>
        <v>0.334696515969025</v>
      </c>
      <c r="P100" s="39">
        <f t="shared" si="26"/>
        <v>0.34958141189323783</v>
      </c>
      <c r="Q100" s="38"/>
      <c r="R100" s="38"/>
      <c r="S100" s="305"/>
    </row>
    <row r="101" spans="2:19" x14ac:dyDescent="0.3">
      <c r="B101" s="304"/>
      <c r="C101" s="38"/>
      <c r="D101" s="38"/>
      <c r="E101" s="38"/>
      <c r="F101" s="38"/>
      <c r="G101" s="38"/>
      <c r="H101" s="38"/>
      <c r="I101" s="38"/>
      <c r="J101" s="38"/>
      <c r="K101" s="38"/>
      <c r="L101" s="38"/>
      <c r="M101" s="38"/>
      <c r="N101" s="38"/>
      <c r="O101" s="38"/>
      <c r="P101" s="38"/>
      <c r="Q101" s="38"/>
      <c r="R101" s="38"/>
      <c r="S101" s="305"/>
    </row>
    <row r="102" spans="2:19" x14ac:dyDescent="0.3">
      <c r="B102" s="491" t="s">
        <v>224</v>
      </c>
      <c r="C102" s="492"/>
      <c r="D102" s="492"/>
      <c r="E102" s="492"/>
      <c r="F102" s="492"/>
      <c r="G102" s="492"/>
      <c r="H102" s="492"/>
      <c r="I102" s="492"/>
      <c r="J102" s="492"/>
      <c r="K102" s="492"/>
      <c r="L102" s="492"/>
      <c r="M102" s="492"/>
      <c r="N102" s="492"/>
      <c r="O102" s="492"/>
      <c r="P102" s="492"/>
      <c r="Q102" s="492"/>
      <c r="R102" s="492"/>
      <c r="S102" s="493"/>
    </row>
    <row r="103" spans="2:19" x14ac:dyDescent="0.3">
      <c r="B103" s="304"/>
      <c r="C103" s="38"/>
      <c r="D103" s="38"/>
      <c r="E103" s="38"/>
      <c r="F103" s="38"/>
      <c r="G103" s="38"/>
      <c r="H103" s="38"/>
      <c r="I103" s="38"/>
      <c r="J103" s="38"/>
      <c r="K103" s="38"/>
      <c r="L103" s="38"/>
      <c r="M103" s="49">
        <f>M97</f>
        <v>43800</v>
      </c>
      <c r="N103" s="49">
        <f t="shared" ref="N103:P103" si="27">N97</f>
        <v>44166</v>
      </c>
      <c r="O103" s="49">
        <f t="shared" si="27"/>
        <v>44532</v>
      </c>
      <c r="P103" s="49">
        <f t="shared" si="27"/>
        <v>44898</v>
      </c>
      <c r="Q103" s="38"/>
      <c r="R103" s="38"/>
      <c r="S103" s="305"/>
    </row>
    <row r="104" spans="2:19" x14ac:dyDescent="0.3">
      <c r="B104" s="304" t="s">
        <v>160</v>
      </c>
      <c r="C104" s="38"/>
      <c r="D104" s="38"/>
      <c r="E104" s="38"/>
      <c r="F104" s="38"/>
      <c r="G104" s="38"/>
      <c r="H104" s="38"/>
      <c r="I104" s="38"/>
      <c r="J104" s="38"/>
      <c r="K104" s="38"/>
      <c r="L104" s="38"/>
      <c r="M104" s="51">
        <f>'PayPal- Financials'!D23</f>
        <v>126880000</v>
      </c>
      <c r="N104" s="51">
        <f>'PayPal- Financials'!E23</f>
        <v>274410000</v>
      </c>
      <c r="O104" s="51">
        <f>'PayPal- Financials'!F23</f>
        <v>220260000</v>
      </c>
      <c r="P104" s="51">
        <f>'PayPal- Financials'!G23</f>
        <v>81190000</v>
      </c>
      <c r="Q104" s="38"/>
      <c r="R104" s="38"/>
      <c r="S104" s="305"/>
    </row>
    <row r="105" spans="2:19" x14ac:dyDescent="0.3">
      <c r="B105" s="304" t="s">
        <v>159</v>
      </c>
      <c r="C105" s="38"/>
      <c r="D105" s="38"/>
      <c r="E105" s="38"/>
      <c r="F105" s="38"/>
      <c r="G105" s="38"/>
      <c r="H105" s="38"/>
      <c r="I105" s="38"/>
      <c r="J105" s="38"/>
      <c r="K105" s="38"/>
      <c r="L105" s="38"/>
      <c r="M105" s="51">
        <f>'PayPal- Financials'!D46</f>
        <v>4965000</v>
      </c>
      <c r="N105" s="51">
        <f>'PayPal- Financials'!E46</f>
        <v>8939000</v>
      </c>
      <c r="O105" s="51">
        <f>'PayPal- Financials'!F46</f>
        <v>8049000</v>
      </c>
      <c r="P105" s="51">
        <f>'PayPal- Financials'!G46</f>
        <v>10417000</v>
      </c>
      <c r="Q105" s="38"/>
      <c r="R105" s="38"/>
      <c r="S105" s="305"/>
    </row>
    <row r="106" spans="2:19" ht="15" thickBot="1" x14ac:dyDescent="0.35">
      <c r="B106" s="311" t="s">
        <v>240</v>
      </c>
      <c r="C106" s="312"/>
      <c r="D106" s="312"/>
      <c r="E106" s="312"/>
      <c r="F106" s="312"/>
      <c r="G106" s="312"/>
      <c r="H106" s="312"/>
      <c r="I106" s="312"/>
      <c r="J106" s="312"/>
      <c r="K106" s="312"/>
      <c r="L106" s="312"/>
      <c r="M106" s="313">
        <f>M104/M105</f>
        <v>25.554884189325278</v>
      </c>
      <c r="N106" s="313">
        <f t="shared" ref="N106:P106" si="28">N104/N105</f>
        <v>30.698064660476565</v>
      </c>
      <c r="O106" s="313">
        <f t="shared" si="28"/>
        <v>27.364890048453223</v>
      </c>
      <c r="P106" s="313">
        <f t="shared" si="28"/>
        <v>7.7939905923010464</v>
      </c>
      <c r="Q106" s="312"/>
      <c r="R106" s="312"/>
      <c r="S106" s="314"/>
    </row>
    <row r="108" spans="2:19" x14ac:dyDescent="0.3">
      <c r="B108" s="488" t="s">
        <v>188</v>
      </c>
      <c r="C108" s="489"/>
      <c r="D108" s="489"/>
      <c r="E108" s="489"/>
      <c r="F108" s="489"/>
      <c r="G108" s="489"/>
      <c r="H108" s="489"/>
      <c r="I108" s="489"/>
      <c r="J108" s="489"/>
      <c r="K108" s="489"/>
      <c r="L108" s="489"/>
      <c r="M108" s="489"/>
      <c r="N108" s="489"/>
      <c r="O108" s="489"/>
      <c r="P108" s="489"/>
      <c r="Q108" s="489"/>
      <c r="R108" s="489"/>
      <c r="S108" s="490"/>
    </row>
    <row r="109" spans="2:19" x14ac:dyDescent="0.3">
      <c r="B109" s="296"/>
      <c r="C109" s="166"/>
      <c r="D109" s="170" t="s">
        <v>169</v>
      </c>
      <c r="E109" s="170" t="s">
        <v>170</v>
      </c>
      <c r="F109" s="170" t="s">
        <v>171</v>
      </c>
      <c r="G109" s="170" t="s">
        <v>172</v>
      </c>
      <c r="H109" s="170" t="s">
        <v>173</v>
      </c>
      <c r="I109" s="166"/>
      <c r="J109" s="166"/>
      <c r="K109" s="166"/>
      <c r="L109" s="166"/>
      <c r="M109" s="166"/>
      <c r="N109" s="166"/>
      <c r="O109" s="166"/>
      <c r="P109" s="168" t="s">
        <v>166</v>
      </c>
      <c r="Q109" s="166"/>
      <c r="R109" s="168" t="s">
        <v>174</v>
      </c>
      <c r="S109" s="297"/>
    </row>
    <row r="110" spans="2:19" x14ac:dyDescent="0.3">
      <c r="B110" s="296" t="s">
        <v>226</v>
      </c>
      <c r="C110" s="166" t="s">
        <v>168</v>
      </c>
      <c r="D110" s="170">
        <v>1.2</v>
      </c>
      <c r="E110" s="170">
        <v>3.3</v>
      </c>
      <c r="F110" s="170">
        <v>1.4</v>
      </c>
      <c r="G110" s="170">
        <v>1</v>
      </c>
      <c r="H110" s="170">
        <v>0.6</v>
      </c>
      <c r="I110" s="166"/>
      <c r="J110" s="166"/>
      <c r="K110" s="166"/>
      <c r="L110" s="166"/>
      <c r="M110" s="166"/>
      <c r="N110" s="166"/>
      <c r="O110" s="166"/>
      <c r="P110" s="166"/>
      <c r="Q110" s="166"/>
      <c r="R110" s="166"/>
      <c r="S110" s="297"/>
    </row>
    <row r="111" spans="2:19" x14ac:dyDescent="0.3">
      <c r="B111" s="300">
        <f t="array" ref="B111:B114">TRANSPOSE(M103:P103)</f>
        <v>43800</v>
      </c>
      <c r="C111" s="166"/>
      <c r="D111" s="39">
        <f t="array" ref="D111:D114">TRANSPOSE(M82:P82)</f>
        <v>0.22550795784388211</v>
      </c>
      <c r="E111" s="39">
        <f t="array" ref="E111:E114">TRANSPOSE(M88:P88)</f>
        <v>5.8402976642705474E-2</v>
      </c>
      <c r="F111" s="39">
        <f t="array" ref="F111:F114">TRANSPOSE(M94:P94)</f>
        <v>-0.13387099916233222</v>
      </c>
      <c r="G111" s="39">
        <f t="array" ref="G111:G114">TRANSPOSE(M100:P100)</f>
        <v>0.34621004032493718</v>
      </c>
      <c r="H111" s="39">
        <f t="array" ref="H111:H114">TRANSPOSE(M106:P106)</f>
        <v>25.554884189325278</v>
      </c>
      <c r="I111" s="166"/>
      <c r="J111" s="166"/>
      <c r="K111" s="166"/>
      <c r="L111" s="166"/>
      <c r="M111" s="166"/>
      <c r="N111" s="166"/>
      <c r="O111" s="166"/>
      <c r="P111" s="65">
        <f>SUMPRODUCT(D111:H111,$D$110:$H$110)</f>
        <v>15.955060527426424</v>
      </c>
      <c r="Q111" s="166"/>
      <c r="R111" s="166" t="str">
        <f>IF(P111&lt;3.1,"Distress Zone", " Safe Zone")</f>
        <v xml:space="preserve"> Safe Zone</v>
      </c>
      <c r="S111" s="297"/>
    </row>
    <row r="112" spans="2:19" x14ac:dyDescent="0.3">
      <c r="B112" s="300">
        <v>44166</v>
      </c>
      <c r="C112" s="166"/>
      <c r="D112" s="39">
        <v>0.17829182000312593</v>
      </c>
      <c r="E112" s="39">
        <v>7.1967490302505002E-2</v>
      </c>
      <c r="F112" s="39">
        <v>-0.12087412438369399</v>
      </c>
      <c r="G112" s="39">
        <v>0.30483524915102517</v>
      </c>
      <c r="H112" s="39">
        <v>30.698064660476565</v>
      </c>
      <c r="I112" s="166"/>
      <c r="J112" s="166"/>
      <c r="K112" s="166"/>
      <c r="L112" s="166"/>
      <c r="M112" s="166"/>
      <c r="N112" s="166"/>
      <c r="O112" s="166"/>
      <c r="P112" s="65">
        <f t="shared" ref="P112:P114" si="29">SUMPRODUCT(D112:H112,$D$110:$H$110)</f>
        <v>19.005893173301811</v>
      </c>
      <c r="Q112" s="166"/>
      <c r="R112" s="166" t="str">
        <f t="shared" ref="R112:R114" si="30">IF(P112&lt;3.1,"Distress Zone", " Safe Zone")</f>
        <v xml:space="preserve"> Safe Zone</v>
      </c>
      <c r="S112" s="297"/>
    </row>
    <row r="113" spans="2:19" x14ac:dyDescent="0.3">
      <c r="B113" s="300">
        <v>44532</v>
      </c>
      <c r="C113" s="166"/>
      <c r="D113" s="39">
        <v>0.12591849926783899</v>
      </c>
      <c r="E113" s="39">
        <v>5.4074377003548675E-2</v>
      </c>
      <c r="F113" s="39">
        <v>-0.15672202947112912</v>
      </c>
      <c r="G113" s="39">
        <v>0.334696515969025</v>
      </c>
      <c r="H113" s="39">
        <v>27.364890048453223</v>
      </c>
      <c r="I113" s="166"/>
      <c r="J113" s="166"/>
      <c r="K113" s="166"/>
      <c r="L113" s="166"/>
      <c r="M113" s="166"/>
      <c r="N113" s="166"/>
      <c r="O113" s="166"/>
      <c r="P113" s="65">
        <f t="shared" si="29"/>
        <v>16.863767347014495</v>
      </c>
      <c r="Q113" s="166"/>
      <c r="R113" s="166" t="str">
        <f t="shared" si="30"/>
        <v xml:space="preserve"> Safe Zone</v>
      </c>
      <c r="S113" s="297"/>
    </row>
    <row r="114" spans="2:19" ht="15" thickBot="1" x14ac:dyDescent="0.35">
      <c r="B114" s="301">
        <v>44898</v>
      </c>
      <c r="C114" s="298"/>
      <c r="D114" s="302">
        <v>0.15772958827191078</v>
      </c>
      <c r="E114" s="302">
        <v>4.2760775944205194E-2</v>
      </c>
      <c r="F114" s="302">
        <v>-0.20426337385825172</v>
      </c>
      <c r="G114" s="302">
        <v>0.34958141189323783</v>
      </c>
      <c r="H114" s="302">
        <v>7.7939905923010464</v>
      </c>
      <c r="I114" s="298"/>
      <c r="J114" s="298"/>
      <c r="K114" s="298"/>
      <c r="L114" s="298"/>
      <c r="M114" s="298"/>
      <c r="N114" s="298"/>
      <c r="O114" s="298"/>
      <c r="P114" s="303">
        <f t="shared" si="29"/>
        <v>5.070393110414483</v>
      </c>
      <c r="Q114" s="298"/>
      <c r="R114" s="298" t="str">
        <f t="shared" si="30"/>
        <v xml:space="preserve"> Safe Zone</v>
      </c>
      <c r="S114" s="299"/>
    </row>
  </sheetData>
  <sheetProtection sheet="1" objects="1" scenarios="1"/>
  <customSheetViews>
    <customSheetView guid="{157A7F57-E932-4D71-AAC5-1BA0DA6A9C96}" showGridLines="0">
      <selection activeCell="R111" sqref="R111"/>
      <pageMargins left="0.7" right="0.7" top="0.75" bottom="0.75" header="0.3" footer="0.3"/>
      <pageSetup paperSize="9" orientation="portrait" r:id="rId1"/>
    </customSheetView>
  </customSheetViews>
  <mergeCells count="17">
    <mergeCell ref="B76:S76"/>
    <mergeCell ref="B2:F3"/>
    <mergeCell ref="B7:S9"/>
    <mergeCell ref="B11:S11"/>
    <mergeCell ref="B13:S13"/>
    <mergeCell ref="B19:S19"/>
    <mergeCell ref="B28:S28"/>
    <mergeCell ref="B35:S35"/>
    <mergeCell ref="B44:S44"/>
    <mergeCell ref="B51:S51"/>
    <mergeCell ref="B62:S62"/>
    <mergeCell ref="B108:S108"/>
    <mergeCell ref="B78:S78"/>
    <mergeCell ref="B84:S84"/>
    <mergeCell ref="B90:S90"/>
    <mergeCell ref="B96:S96"/>
    <mergeCell ref="B102:S102"/>
  </mergeCells>
  <conditionalFormatting sqref="P111:P114">
    <cfRule type="cellIs" dxfId="5" priority="1" operator="greaterThan">
      <formula>3.1</formula>
    </cfRule>
  </conditionalFormatting>
  <pageMargins left="0.7" right="0.7" top="0.75" bottom="0.75" header="0.3" footer="0.3"/>
  <pageSetup paperSize="9" orientation="portrait" r:id="rId2"/>
  <ignoredErrors>
    <ignoredError sqref="M31" evalError="1"/>
  </ignoredErrors>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4"/>
  <sheetViews>
    <sheetView showGridLines="0" workbookViewId="0">
      <selection activeCell="G24" sqref="G24"/>
    </sheetView>
  </sheetViews>
  <sheetFormatPr defaultRowHeight="14.4" x14ac:dyDescent="0.3"/>
  <cols>
    <col min="1" max="1" width="1.88671875" customWidth="1"/>
    <col min="2" max="2" width="41.21875" bestFit="1" customWidth="1"/>
    <col min="4" max="5" width="11.33203125" bestFit="1" customWidth="1"/>
    <col min="6" max="6" width="11.44140625" bestFit="1" customWidth="1"/>
    <col min="7" max="7" width="11.33203125" bestFit="1" customWidth="1"/>
  </cols>
  <sheetData>
    <row r="2" spans="2:7" ht="21" x14ac:dyDescent="0.4">
      <c r="B2" s="5" t="s">
        <v>113</v>
      </c>
    </row>
    <row r="3" spans="2:7" x14ac:dyDescent="0.3">
      <c r="B3" t="s">
        <v>0</v>
      </c>
      <c r="D3" t="s">
        <v>106</v>
      </c>
      <c r="E3" t="s">
        <v>3</v>
      </c>
      <c r="F3" t="s">
        <v>105</v>
      </c>
      <c r="G3" t="s">
        <v>104</v>
      </c>
    </row>
    <row r="4" spans="2:7" x14ac:dyDescent="0.3">
      <c r="B4" t="s">
        <v>5</v>
      </c>
      <c r="D4" s="19">
        <v>17098000</v>
      </c>
      <c r="E4" s="19">
        <v>21252000</v>
      </c>
      <c r="F4" s="19">
        <v>26492000</v>
      </c>
      <c r="G4" s="19">
        <v>31352000</v>
      </c>
    </row>
    <row r="5" spans="2:7" x14ac:dyDescent="0.3">
      <c r="B5" t="s">
        <v>6</v>
      </c>
      <c r="D5" s="19">
        <v>4235000</v>
      </c>
      <c r="E5" s="19">
        <v>5438000</v>
      </c>
      <c r="F5" s="19">
        <v>7026000</v>
      </c>
      <c r="G5" s="19">
        <v>8360000</v>
      </c>
    </row>
    <row r="6" spans="2:7" x14ac:dyDescent="0.3">
      <c r="B6" t="s">
        <v>7</v>
      </c>
      <c r="D6" s="19">
        <v>12863000</v>
      </c>
      <c r="E6" s="19">
        <v>15814000</v>
      </c>
      <c r="F6" s="19">
        <v>19466000</v>
      </c>
      <c r="G6" s="19">
        <v>22992000</v>
      </c>
    </row>
    <row r="7" spans="2:7" x14ac:dyDescent="0.3">
      <c r="B7" t="s">
        <v>8</v>
      </c>
      <c r="D7" s="19"/>
      <c r="E7" s="19"/>
      <c r="F7" s="19"/>
      <c r="G7" s="19"/>
    </row>
    <row r="8" spans="2:7" x14ac:dyDescent="0.3">
      <c r="B8" t="s">
        <v>9</v>
      </c>
      <c r="D8" s="19">
        <v>2766000</v>
      </c>
      <c r="E8" s="19">
        <v>3598000</v>
      </c>
      <c r="F8" s="19">
        <v>4465000</v>
      </c>
      <c r="G8" s="19">
        <v>5055000</v>
      </c>
    </row>
    <row r="9" spans="2:7" x14ac:dyDescent="0.3">
      <c r="B9" t="s">
        <v>10</v>
      </c>
      <c r="D9" s="19">
        <v>9800000</v>
      </c>
      <c r="E9" s="19">
        <v>11761000</v>
      </c>
      <c r="F9" s="19">
        <v>14453000</v>
      </c>
      <c r="G9" s="19">
        <v>16079000</v>
      </c>
    </row>
    <row r="10" spans="2:7" x14ac:dyDescent="0.3">
      <c r="B10" t="s">
        <v>11</v>
      </c>
      <c r="D10" s="19">
        <v>0</v>
      </c>
      <c r="E10" s="19">
        <v>0</v>
      </c>
      <c r="F10" s="19">
        <v>0</v>
      </c>
      <c r="G10" s="19">
        <v>828000</v>
      </c>
    </row>
    <row r="11" spans="2:7" x14ac:dyDescent="0.3">
      <c r="B11" t="s">
        <v>13</v>
      </c>
      <c r="D11" s="19">
        <v>0</v>
      </c>
      <c r="E11" s="19">
        <v>0</v>
      </c>
      <c r="F11" s="19">
        <v>0</v>
      </c>
      <c r="G11" s="19">
        <v>0</v>
      </c>
    </row>
    <row r="12" spans="2:7" x14ac:dyDescent="0.3">
      <c r="B12" t="s">
        <v>14</v>
      </c>
      <c r="D12" s="19">
        <v>297000</v>
      </c>
      <c r="E12" s="19">
        <v>455000</v>
      </c>
      <c r="F12" s="19">
        <v>548000</v>
      </c>
      <c r="G12" s="19">
        <v>1030000</v>
      </c>
    </row>
    <row r="13" spans="2:7" x14ac:dyDescent="0.3">
      <c r="B13" t="s">
        <v>15</v>
      </c>
      <c r="D13" s="19">
        <v>409000</v>
      </c>
      <c r="E13" s="19">
        <v>2106000</v>
      </c>
      <c r="F13" s="19">
        <v>984000</v>
      </c>
      <c r="G13" s="19">
        <v>-370000</v>
      </c>
    </row>
    <row r="14" spans="2:7" x14ac:dyDescent="0.3">
      <c r="B14" t="s">
        <v>16</v>
      </c>
      <c r="D14" s="19">
        <v>706000</v>
      </c>
      <c r="E14" s="19">
        <v>2561000</v>
      </c>
      <c r="F14" s="19">
        <v>1532000</v>
      </c>
      <c r="G14" s="19">
        <v>660000</v>
      </c>
    </row>
    <row r="15" spans="2:7" x14ac:dyDescent="0.3">
      <c r="B15" t="s">
        <v>17</v>
      </c>
      <c r="D15" s="19">
        <v>0</v>
      </c>
      <c r="E15" s="19">
        <v>0</v>
      </c>
      <c r="F15" s="19">
        <v>0</v>
      </c>
      <c r="G15" s="19">
        <v>0</v>
      </c>
    </row>
    <row r="16" spans="2:7" x14ac:dyDescent="0.3">
      <c r="B16" t="s">
        <v>18</v>
      </c>
      <c r="D16" s="19">
        <v>706000</v>
      </c>
      <c r="E16" s="19">
        <v>2561000</v>
      </c>
      <c r="F16" s="19">
        <v>1532000</v>
      </c>
      <c r="G16" s="19">
        <v>660000</v>
      </c>
    </row>
    <row r="17" spans="2:7" x14ac:dyDescent="0.3">
      <c r="B17" t="s">
        <v>19</v>
      </c>
      <c r="D17" s="19">
        <v>580000</v>
      </c>
      <c r="E17" s="19">
        <v>-1511000</v>
      </c>
      <c r="F17" s="19">
        <v>88000</v>
      </c>
      <c r="G17" s="19">
        <v>452000</v>
      </c>
    </row>
    <row r="18" spans="2:7" x14ac:dyDescent="0.3">
      <c r="B18" t="s">
        <v>20</v>
      </c>
      <c r="D18" s="19">
        <v>0</v>
      </c>
      <c r="E18" s="19">
        <v>0</v>
      </c>
      <c r="F18" s="19">
        <v>0</v>
      </c>
      <c r="G18" s="19">
        <v>0</v>
      </c>
    </row>
    <row r="19" spans="2:7" x14ac:dyDescent="0.3">
      <c r="B19" t="s">
        <v>21</v>
      </c>
      <c r="D19" s="19">
        <v>0</v>
      </c>
      <c r="E19" s="19">
        <v>0</v>
      </c>
      <c r="F19" s="19">
        <v>0</v>
      </c>
      <c r="G19" s="19">
        <v>0</v>
      </c>
    </row>
    <row r="20" spans="2:7" x14ac:dyDescent="0.3">
      <c r="B20" t="s">
        <v>22</v>
      </c>
      <c r="D20" s="19">
        <v>126000</v>
      </c>
      <c r="E20" s="19">
        <v>4072000</v>
      </c>
      <c r="F20" s="19">
        <v>1444000</v>
      </c>
      <c r="G20" s="19">
        <v>208000</v>
      </c>
    </row>
    <row r="21" spans="2:7" x14ac:dyDescent="0.3">
      <c r="B21" t="s">
        <v>23</v>
      </c>
      <c r="D21" s="19">
        <v>126000</v>
      </c>
      <c r="E21" s="19">
        <v>4072000</v>
      </c>
      <c r="F21" s="19">
        <v>1444000</v>
      </c>
      <c r="G21" s="19">
        <v>208000</v>
      </c>
    </row>
    <row r="22" spans="2:7" x14ac:dyDescent="0.3">
      <c r="B22" t="s">
        <v>24</v>
      </c>
      <c r="D22" s="19">
        <v>126000</v>
      </c>
      <c r="E22" s="19">
        <v>4072000</v>
      </c>
      <c r="F22" s="19">
        <v>1444000</v>
      </c>
      <c r="G22" s="19">
        <v>208000</v>
      </c>
    </row>
    <row r="23" spans="2:7" x14ac:dyDescent="0.3">
      <c r="B23" t="s">
        <v>160</v>
      </c>
      <c r="D23" s="19">
        <v>204220000</v>
      </c>
      <c r="E23" s="19">
        <v>250310000</v>
      </c>
      <c r="F23" s="19">
        <v>132580000</v>
      </c>
      <c r="G23" s="19">
        <v>205670000</v>
      </c>
    </row>
    <row r="24" spans="2:7" ht="18" x14ac:dyDescent="0.35">
      <c r="B24" s="2" t="s">
        <v>114</v>
      </c>
      <c r="D24" s="19"/>
      <c r="E24" s="19"/>
      <c r="F24" s="19"/>
      <c r="G24" s="19"/>
    </row>
    <row r="25" spans="2:7" x14ac:dyDescent="0.3">
      <c r="B25" t="s">
        <v>0</v>
      </c>
      <c r="D25" s="19" t="s">
        <v>106</v>
      </c>
      <c r="E25" s="19" t="s">
        <v>3</v>
      </c>
      <c r="F25" s="19" t="s">
        <v>105</v>
      </c>
      <c r="G25" s="19" t="s">
        <v>104</v>
      </c>
    </row>
    <row r="26" spans="2:7" x14ac:dyDescent="0.3">
      <c r="B26" t="s">
        <v>25</v>
      </c>
      <c r="D26" s="19"/>
      <c r="E26" s="19"/>
      <c r="F26" s="19"/>
      <c r="G26" s="19"/>
    </row>
    <row r="27" spans="2:7" x14ac:dyDescent="0.3">
      <c r="B27" t="s">
        <v>26</v>
      </c>
      <c r="D27" s="19">
        <v>4145000</v>
      </c>
      <c r="E27" s="19">
        <v>6195000</v>
      </c>
      <c r="F27" s="19">
        <v>5464000</v>
      </c>
      <c r="G27" s="19">
        <v>7016000</v>
      </c>
    </row>
    <row r="28" spans="2:7" x14ac:dyDescent="0.3">
      <c r="B28" t="s">
        <v>27</v>
      </c>
      <c r="D28" s="19">
        <v>3802000</v>
      </c>
      <c r="E28" s="19">
        <v>5771000</v>
      </c>
      <c r="F28" s="19">
        <v>5073000</v>
      </c>
      <c r="G28" s="19">
        <v>5492000</v>
      </c>
    </row>
    <row r="29" spans="2:7" x14ac:dyDescent="0.3">
      <c r="B29" t="s">
        <v>28</v>
      </c>
      <c r="D29" s="19">
        <v>6174000</v>
      </c>
      <c r="E29" s="19">
        <v>7786000</v>
      </c>
      <c r="F29" s="19">
        <v>9739000</v>
      </c>
      <c r="G29" s="19">
        <v>10755000</v>
      </c>
    </row>
    <row r="30" spans="2:7" x14ac:dyDescent="0.3">
      <c r="B30" t="s">
        <v>29</v>
      </c>
      <c r="D30" s="19">
        <v>0</v>
      </c>
      <c r="E30" s="19">
        <v>0</v>
      </c>
      <c r="F30" s="19">
        <v>0</v>
      </c>
      <c r="G30" s="19">
        <v>0</v>
      </c>
    </row>
    <row r="31" spans="2:7" x14ac:dyDescent="0.3">
      <c r="B31" t="s">
        <v>30</v>
      </c>
      <c r="D31" s="19">
        <v>1842000</v>
      </c>
      <c r="E31" s="19">
        <v>2137000</v>
      </c>
      <c r="F31" s="19">
        <v>2574000</v>
      </c>
      <c r="G31" s="19">
        <v>3132000</v>
      </c>
    </row>
    <row r="32" spans="2:7" x14ac:dyDescent="0.3">
      <c r="B32" t="s">
        <v>31</v>
      </c>
      <c r="D32" s="19">
        <v>15963000</v>
      </c>
      <c r="E32" s="19">
        <v>21889000</v>
      </c>
      <c r="F32" s="19">
        <v>22850000</v>
      </c>
      <c r="G32" s="19">
        <v>26395000</v>
      </c>
    </row>
    <row r="33" spans="2:7" x14ac:dyDescent="0.3">
      <c r="B33" t="s">
        <v>32</v>
      </c>
      <c r="D33" s="19"/>
      <c r="E33" s="19"/>
      <c r="F33" s="19"/>
      <c r="G33" s="19"/>
    </row>
    <row r="34" spans="2:7" x14ac:dyDescent="0.3">
      <c r="B34" t="s">
        <v>33</v>
      </c>
      <c r="D34" s="19">
        <v>1963000</v>
      </c>
      <c r="E34" s="19">
        <v>3909000</v>
      </c>
      <c r="F34" s="19">
        <v>4784000</v>
      </c>
      <c r="G34" s="19">
        <v>4672000</v>
      </c>
    </row>
    <row r="35" spans="2:7" x14ac:dyDescent="0.3">
      <c r="B35" t="s">
        <v>34</v>
      </c>
      <c r="D35" s="19">
        <v>5415000</v>
      </c>
      <c r="E35" s="19">
        <v>5663000</v>
      </c>
      <c r="F35" s="19">
        <v>5695000</v>
      </c>
      <c r="G35" s="19">
        <v>6592000</v>
      </c>
    </row>
    <row r="36" spans="2:7" x14ac:dyDescent="0.3">
      <c r="B36" t="s">
        <v>35</v>
      </c>
      <c r="D36" s="19">
        <v>25134000</v>
      </c>
      <c r="E36" s="19">
        <v>26318000</v>
      </c>
      <c r="F36" s="19">
        <v>47937000</v>
      </c>
      <c r="G36" s="19">
        <v>48568000</v>
      </c>
    </row>
    <row r="37" spans="2:7" x14ac:dyDescent="0.3">
      <c r="B37" t="s">
        <v>36</v>
      </c>
      <c r="D37" s="19">
        <v>4724000</v>
      </c>
      <c r="E37" s="19">
        <v>4114000</v>
      </c>
      <c r="F37" s="19">
        <v>8978000</v>
      </c>
      <c r="G37" s="19">
        <v>7125000</v>
      </c>
    </row>
    <row r="38" spans="2:7" x14ac:dyDescent="0.3">
      <c r="B38" t="s">
        <v>37</v>
      </c>
      <c r="D38" s="19">
        <v>1348000</v>
      </c>
      <c r="E38" s="19">
        <v>1715000</v>
      </c>
      <c r="F38" s="19">
        <v>2342000</v>
      </c>
      <c r="G38" s="19">
        <v>2697000</v>
      </c>
    </row>
    <row r="39" spans="2:7" x14ac:dyDescent="0.3">
      <c r="B39" t="s">
        <v>38</v>
      </c>
      <c r="D39" s="19">
        <v>579000</v>
      </c>
      <c r="E39" s="19">
        <v>2693000</v>
      </c>
      <c r="F39" s="19">
        <v>2623000</v>
      </c>
      <c r="G39" s="19">
        <v>2800000</v>
      </c>
    </row>
    <row r="40" spans="2:7" x14ac:dyDescent="0.3">
      <c r="B40" t="s">
        <v>39</v>
      </c>
      <c r="D40" s="19">
        <v>55126000</v>
      </c>
      <c r="E40" s="19">
        <v>66301000</v>
      </c>
      <c r="F40" s="19">
        <v>95209000</v>
      </c>
      <c r="G40" s="19">
        <v>98849000</v>
      </c>
    </row>
    <row r="41" spans="2:7" x14ac:dyDescent="0.3">
      <c r="B41" t="s">
        <v>40</v>
      </c>
      <c r="D41" s="19"/>
      <c r="E41" s="19"/>
      <c r="F41" s="19"/>
      <c r="G41" s="19"/>
    </row>
    <row r="42" spans="2:7" x14ac:dyDescent="0.3">
      <c r="B42" t="s">
        <v>41</v>
      </c>
      <c r="D42" s="19">
        <v>3433000</v>
      </c>
      <c r="E42" s="19">
        <v>4355000</v>
      </c>
      <c r="F42" s="19">
        <v>5470000</v>
      </c>
      <c r="G42" s="19">
        <v>6743000</v>
      </c>
    </row>
    <row r="43" spans="2:7" x14ac:dyDescent="0.3">
      <c r="B43" t="s">
        <v>42</v>
      </c>
      <c r="D43" s="19">
        <v>0</v>
      </c>
      <c r="E43" s="19">
        <v>0</v>
      </c>
      <c r="F43" s="19">
        <v>4000</v>
      </c>
      <c r="G43" s="19">
        <v>1182000</v>
      </c>
    </row>
    <row r="44" spans="2:7" x14ac:dyDescent="0.3">
      <c r="B44" t="s">
        <v>43</v>
      </c>
      <c r="D44" s="19">
        <v>11412000</v>
      </c>
      <c r="E44" s="19">
        <v>13373000</v>
      </c>
      <c r="F44" s="19">
        <v>16314000</v>
      </c>
      <c r="G44" s="19">
        <v>17966000</v>
      </c>
    </row>
    <row r="45" spans="2:7" x14ac:dyDescent="0.3">
      <c r="B45" t="s">
        <v>44</v>
      </c>
      <c r="D45" s="19">
        <v>14845000</v>
      </c>
      <c r="E45" s="19">
        <v>17728000</v>
      </c>
      <c r="F45" s="19">
        <v>21788000</v>
      </c>
      <c r="G45" s="19">
        <v>25891000</v>
      </c>
    </row>
    <row r="46" spans="2:7" x14ac:dyDescent="0.3">
      <c r="B46" t="s">
        <v>45</v>
      </c>
      <c r="D46" s="19">
        <v>2673000</v>
      </c>
      <c r="E46" s="19">
        <v>2673000</v>
      </c>
      <c r="F46" s="19">
        <v>10592000</v>
      </c>
      <c r="G46" s="19">
        <v>9419000</v>
      </c>
    </row>
    <row r="47" spans="2:7" x14ac:dyDescent="0.3">
      <c r="B47" t="s">
        <v>46</v>
      </c>
      <c r="D47" s="19">
        <v>3723000</v>
      </c>
      <c r="E47" s="19">
        <v>4407000</v>
      </c>
      <c r="F47" s="19">
        <v>4698000</v>
      </c>
      <c r="G47" s="19">
        <v>5180000</v>
      </c>
    </row>
    <row r="48" spans="2:7" x14ac:dyDescent="0.3">
      <c r="B48" t="s">
        <v>47</v>
      </c>
      <c r="D48" s="19">
        <v>0</v>
      </c>
      <c r="E48" s="19">
        <v>0</v>
      </c>
      <c r="F48" s="19">
        <v>0</v>
      </c>
      <c r="G48" s="19">
        <v>0</v>
      </c>
    </row>
    <row r="49" spans="2:7" x14ac:dyDescent="0.3">
      <c r="B49" t="s">
        <v>48</v>
      </c>
      <c r="D49" s="19">
        <v>0</v>
      </c>
      <c r="E49" s="19">
        <v>0</v>
      </c>
      <c r="F49" s="19">
        <v>0</v>
      </c>
      <c r="G49" s="19">
        <v>0</v>
      </c>
    </row>
    <row r="50" spans="2:7" x14ac:dyDescent="0.3">
      <c r="B50" t="s">
        <v>20</v>
      </c>
      <c r="D50" s="19">
        <v>0</v>
      </c>
      <c r="E50" s="19">
        <v>0</v>
      </c>
      <c r="F50" s="19">
        <v>0</v>
      </c>
      <c r="G50" s="19">
        <v>0</v>
      </c>
    </row>
    <row r="51" spans="2:7" x14ac:dyDescent="0.3">
      <c r="B51" t="s">
        <v>49</v>
      </c>
      <c r="D51" s="19">
        <v>21241000</v>
      </c>
      <c r="E51" s="19">
        <v>24808000</v>
      </c>
      <c r="F51" s="19">
        <v>37078000</v>
      </c>
      <c r="G51" s="19">
        <v>40490000</v>
      </c>
    </row>
    <row r="52" spans="2:7" x14ac:dyDescent="0.3">
      <c r="B52" t="s">
        <v>50</v>
      </c>
      <c r="D52" s="19"/>
      <c r="E52" s="19"/>
      <c r="F52" s="19"/>
      <c r="G52" s="19"/>
    </row>
    <row r="53" spans="2:7" x14ac:dyDescent="0.3">
      <c r="B53" t="s">
        <v>51</v>
      </c>
      <c r="D53" s="19">
        <v>1000</v>
      </c>
      <c r="E53" s="19">
        <v>1000</v>
      </c>
      <c r="F53" s="19">
        <v>1000</v>
      </c>
      <c r="G53" s="19">
        <v>1000</v>
      </c>
    </row>
    <row r="54" spans="2:7" x14ac:dyDescent="0.3">
      <c r="B54" t="s">
        <v>52</v>
      </c>
      <c r="D54" s="19">
        <v>1861000</v>
      </c>
      <c r="E54" s="19">
        <v>5933000</v>
      </c>
      <c r="F54" s="19">
        <v>7377000</v>
      </c>
      <c r="G54" s="19">
        <v>7585000</v>
      </c>
    </row>
    <row r="55" spans="2:7" x14ac:dyDescent="0.3">
      <c r="B55" t="s">
        <v>53</v>
      </c>
      <c r="D55" s="19">
        <v>0</v>
      </c>
      <c r="E55" s="19">
        <v>0</v>
      </c>
      <c r="F55" s="19">
        <v>0</v>
      </c>
      <c r="G55" s="19">
        <v>-4000000</v>
      </c>
    </row>
    <row r="56" spans="2:7" x14ac:dyDescent="0.3">
      <c r="B56" t="s">
        <v>54</v>
      </c>
      <c r="D56" s="19">
        <v>32116000</v>
      </c>
      <c r="E56" s="19">
        <v>35601000</v>
      </c>
      <c r="F56" s="19">
        <v>50919000</v>
      </c>
      <c r="G56" s="19">
        <v>55047000</v>
      </c>
    </row>
    <row r="57" spans="2:7" x14ac:dyDescent="0.3">
      <c r="B57" t="s">
        <v>55</v>
      </c>
      <c r="D57" s="19">
        <v>-93000</v>
      </c>
      <c r="E57" s="19">
        <v>-42000</v>
      </c>
      <c r="F57" s="19">
        <v>-166000</v>
      </c>
      <c r="G57" s="19">
        <v>-274000</v>
      </c>
    </row>
    <row r="58" spans="2:7" x14ac:dyDescent="0.3">
      <c r="B58" t="s">
        <v>56</v>
      </c>
      <c r="D58" s="19">
        <v>33885000</v>
      </c>
      <c r="E58" s="19">
        <v>41493000</v>
      </c>
      <c r="F58" s="19">
        <v>58131000</v>
      </c>
      <c r="G58" s="19">
        <v>58359000</v>
      </c>
    </row>
    <row r="59" spans="2:7" x14ac:dyDescent="0.3">
      <c r="B59" t="s">
        <v>57</v>
      </c>
      <c r="D59" s="19">
        <v>55126000</v>
      </c>
      <c r="E59" s="19">
        <v>66301000</v>
      </c>
      <c r="F59" s="19">
        <v>95209000</v>
      </c>
      <c r="G59" s="19">
        <v>98849000</v>
      </c>
    </row>
    <row r="60" spans="2:7" x14ac:dyDescent="0.3">
      <c r="D60" s="19"/>
      <c r="E60" s="19"/>
      <c r="F60" s="19"/>
      <c r="G60" s="19"/>
    </row>
    <row r="61" spans="2:7" ht="18" x14ac:dyDescent="0.35">
      <c r="B61" s="2" t="s">
        <v>115</v>
      </c>
      <c r="D61" s="19"/>
      <c r="E61" s="19"/>
      <c r="F61" s="19"/>
      <c r="G61" s="19"/>
    </row>
    <row r="62" spans="2:7" x14ac:dyDescent="0.3">
      <c r="B62" t="s">
        <v>0</v>
      </c>
      <c r="D62" s="19" t="s">
        <v>106</v>
      </c>
      <c r="E62" s="19" t="s">
        <v>3</v>
      </c>
      <c r="F62" s="19" t="s">
        <v>105</v>
      </c>
      <c r="G62" s="19" t="s">
        <v>104</v>
      </c>
    </row>
    <row r="63" spans="2:7" x14ac:dyDescent="0.3">
      <c r="B63" t="s">
        <v>23</v>
      </c>
      <c r="D63" s="19">
        <v>126000</v>
      </c>
      <c r="E63" s="19">
        <v>4072000</v>
      </c>
      <c r="F63" s="19">
        <v>1444000</v>
      </c>
      <c r="G63" s="19">
        <v>208000</v>
      </c>
    </row>
    <row r="64" spans="2:7" x14ac:dyDescent="0.3">
      <c r="B64" t="s">
        <v>72</v>
      </c>
      <c r="D64" s="19"/>
      <c r="E64" s="19"/>
      <c r="F64" s="19"/>
      <c r="G64" s="19"/>
    </row>
    <row r="65" spans="2:7" x14ac:dyDescent="0.3">
      <c r="B65" t="s">
        <v>73</v>
      </c>
      <c r="D65" s="19">
        <v>3011000</v>
      </c>
      <c r="E65" s="19">
        <v>3904000</v>
      </c>
      <c r="F65" s="19">
        <v>4646000</v>
      </c>
      <c r="G65" s="19">
        <v>5454000</v>
      </c>
    </row>
    <row r="66" spans="2:7" x14ac:dyDescent="0.3">
      <c r="B66" t="s">
        <v>74</v>
      </c>
      <c r="D66" s="19">
        <v>1524000</v>
      </c>
      <c r="E66" s="19">
        <v>-1983000</v>
      </c>
      <c r="F66" s="19">
        <v>1568000</v>
      </c>
      <c r="G66" s="19">
        <v>3518000</v>
      </c>
    </row>
    <row r="67" spans="2:7" x14ac:dyDescent="0.3">
      <c r="B67" t="s">
        <v>75</v>
      </c>
      <c r="D67" s="19"/>
      <c r="E67" s="19"/>
      <c r="F67" s="19"/>
      <c r="G67" s="19"/>
    </row>
    <row r="68" spans="2:7" x14ac:dyDescent="0.3">
      <c r="B68" t="s">
        <v>76</v>
      </c>
      <c r="D68" s="19">
        <v>-1000000</v>
      </c>
      <c r="E68" s="19">
        <v>-1556000</v>
      </c>
      <c r="F68" s="19">
        <v>-1824000</v>
      </c>
      <c r="G68" s="19">
        <v>-995000</v>
      </c>
    </row>
    <row r="69" spans="2:7" x14ac:dyDescent="0.3">
      <c r="B69" t="s">
        <v>77</v>
      </c>
      <c r="D69" s="19">
        <v>0</v>
      </c>
      <c r="E69" s="19">
        <v>0</v>
      </c>
      <c r="F69" s="19">
        <v>0</v>
      </c>
      <c r="G69" s="19">
        <v>0</v>
      </c>
    </row>
    <row r="70" spans="2:7" x14ac:dyDescent="0.3">
      <c r="B70" t="s">
        <v>78</v>
      </c>
      <c r="D70" s="19">
        <v>-1249000</v>
      </c>
      <c r="E70" s="19">
        <v>-1778000</v>
      </c>
      <c r="F70" s="19">
        <v>-2169000</v>
      </c>
      <c r="G70" s="19">
        <v>-2647000</v>
      </c>
    </row>
    <row r="71" spans="2:7" x14ac:dyDescent="0.3">
      <c r="B71" t="s">
        <v>79</v>
      </c>
      <c r="D71" s="19">
        <v>1919000</v>
      </c>
      <c r="E71" s="19">
        <v>2142000</v>
      </c>
      <c r="F71" s="19">
        <v>2335000</v>
      </c>
      <c r="G71" s="19">
        <v>1573000</v>
      </c>
    </row>
    <row r="72" spans="2:7" x14ac:dyDescent="0.3">
      <c r="B72" t="s">
        <v>80</v>
      </c>
      <c r="D72" s="19">
        <v>4331000</v>
      </c>
      <c r="E72" s="19">
        <v>4801000</v>
      </c>
      <c r="F72" s="19">
        <v>6000000</v>
      </c>
      <c r="G72" s="19">
        <v>7111000</v>
      </c>
    </row>
    <row r="73" spans="2:7" x14ac:dyDescent="0.3">
      <c r="B73" t="s">
        <v>81</v>
      </c>
      <c r="D73" s="19"/>
      <c r="E73" s="19"/>
      <c r="F73" s="19"/>
      <c r="G73" s="19"/>
    </row>
    <row r="74" spans="2:7" x14ac:dyDescent="0.3">
      <c r="B74" t="s">
        <v>82</v>
      </c>
      <c r="D74" s="19">
        <v>-643000</v>
      </c>
      <c r="E74" s="19">
        <v>-710000</v>
      </c>
      <c r="F74" s="19">
        <v>-717000</v>
      </c>
      <c r="G74" s="19">
        <v>-798000</v>
      </c>
    </row>
    <row r="75" spans="2:7" x14ac:dyDescent="0.3">
      <c r="B75" t="s">
        <v>83</v>
      </c>
      <c r="D75" s="19">
        <v>-1968000</v>
      </c>
      <c r="E75" s="19">
        <v>-1980000</v>
      </c>
      <c r="F75" s="19">
        <v>1057000</v>
      </c>
      <c r="G75" s="19">
        <v>-752000</v>
      </c>
    </row>
    <row r="76" spans="2:7" x14ac:dyDescent="0.3">
      <c r="B76" t="s">
        <v>84</v>
      </c>
      <c r="D76" s="19">
        <v>-369000</v>
      </c>
      <c r="E76" s="19">
        <v>-1281000</v>
      </c>
      <c r="F76" s="19">
        <v>-14876000</v>
      </c>
      <c r="G76" s="19">
        <v>-439000</v>
      </c>
    </row>
    <row r="77" spans="2:7" x14ac:dyDescent="0.3">
      <c r="B77" t="s">
        <v>85</v>
      </c>
      <c r="D77" s="19">
        <v>-2980000</v>
      </c>
      <c r="E77" s="19">
        <v>-3971000</v>
      </c>
      <c r="F77" s="19">
        <v>-14536000</v>
      </c>
      <c r="G77" s="19">
        <v>-1989000</v>
      </c>
    </row>
    <row r="78" spans="2:7" x14ac:dyDescent="0.3">
      <c r="B78" t="s">
        <v>86</v>
      </c>
      <c r="D78" s="19"/>
      <c r="E78" s="19"/>
      <c r="F78" s="19"/>
      <c r="G78" s="19"/>
    </row>
    <row r="79" spans="2:7" x14ac:dyDescent="0.3">
      <c r="B79" t="s">
        <v>87</v>
      </c>
      <c r="D79" s="19">
        <v>840000</v>
      </c>
      <c r="E79" s="19">
        <v>1321000</v>
      </c>
      <c r="F79" s="19">
        <v>1289000</v>
      </c>
      <c r="G79" s="19">
        <v>-3139000</v>
      </c>
    </row>
    <row r="80" spans="2:7" x14ac:dyDescent="0.3">
      <c r="B80" t="s">
        <v>88</v>
      </c>
      <c r="D80" s="19">
        <v>-676000</v>
      </c>
      <c r="E80" s="19">
        <v>-127000</v>
      </c>
      <c r="F80" s="19">
        <v>6549000</v>
      </c>
      <c r="G80" s="19">
        <v>-423000</v>
      </c>
    </row>
    <row r="81" spans="2:7" x14ac:dyDescent="0.3">
      <c r="B81" t="s">
        <v>89</v>
      </c>
      <c r="D81" s="19">
        <v>0</v>
      </c>
      <c r="E81" s="19">
        <v>0</v>
      </c>
      <c r="F81" s="19">
        <v>0</v>
      </c>
      <c r="G81" s="19">
        <v>0</v>
      </c>
    </row>
    <row r="82" spans="2:7" x14ac:dyDescent="0.3">
      <c r="B82" t="s">
        <v>90</v>
      </c>
      <c r="D82" s="19">
        <v>164000</v>
      </c>
      <c r="E82" s="19">
        <v>1194000</v>
      </c>
      <c r="F82" s="19">
        <v>7838000</v>
      </c>
      <c r="G82" s="19">
        <v>-3562000</v>
      </c>
    </row>
    <row r="83" spans="2:7" x14ac:dyDescent="0.3">
      <c r="B83" t="s">
        <v>91</v>
      </c>
      <c r="D83" s="19">
        <v>-39000</v>
      </c>
      <c r="E83" s="19">
        <v>26000</v>
      </c>
      <c r="F83" s="19">
        <v>-33000</v>
      </c>
      <c r="G83" s="19">
        <v>-8000</v>
      </c>
    </row>
    <row r="84" spans="2:7" x14ac:dyDescent="0.3">
      <c r="B84" t="s">
        <v>92</v>
      </c>
      <c r="D84" s="19">
        <v>1476000</v>
      </c>
      <c r="E84" s="19">
        <v>2050000</v>
      </c>
      <c r="F84" s="19">
        <v>-731000</v>
      </c>
      <c r="G84" s="19">
        <v>1552000</v>
      </c>
    </row>
  </sheetData>
  <sheetProtection sheet="1" objects="1" scenarios="1"/>
  <customSheetViews>
    <customSheetView guid="{157A7F57-E932-4D71-AAC5-1BA0DA6A9C96}" showGridLines="0">
      <selection activeCell="G24" sqref="G24"/>
      <pageMargins left="0.7" right="0.7" top="0.75" bottom="0.75" header="0.3" footer="0.3"/>
    </customSheetView>
  </customSheetView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18"/>
  <sheetViews>
    <sheetView showGridLines="0" zoomScale="90" zoomScaleNormal="90" workbookViewId="0">
      <selection activeCell="S115" sqref="S115"/>
    </sheetView>
  </sheetViews>
  <sheetFormatPr defaultRowHeight="14.4" x14ac:dyDescent="0.3"/>
  <cols>
    <col min="1" max="1" width="1.88671875" customWidth="1"/>
    <col min="9" max="9" width="3.109375" customWidth="1"/>
    <col min="10" max="10" width="3.88671875" customWidth="1"/>
    <col min="11" max="11" width="2.77734375" customWidth="1"/>
    <col min="14" max="14" width="16.21875" customWidth="1"/>
    <col min="15" max="15" width="13.88671875" customWidth="1"/>
    <col min="16" max="16" width="13.5546875" customWidth="1"/>
    <col min="17" max="17" width="13.6640625" customWidth="1"/>
  </cols>
  <sheetData>
    <row r="2" spans="2:20" x14ac:dyDescent="0.3">
      <c r="B2" s="509" t="s">
        <v>298</v>
      </c>
      <c r="C2" s="509"/>
      <c r="D2" s="509"/>
      <c r="E2" s="509"/>
      <c r="F2" s="317"/>
      <c r="G2" s="317"/>
      <c r="H2" s="317"/>
      <c r="I2" s="317"/>
      <c r="J2" s="317"/>
      <c r="K2" s="317"/>
      <c r="L2" s="317"/>
      <c r="M2" s="317"/>
      <c r="N2" s="317"/>
      <c r="O2" s="317"/>
      <c r="P2" s="317"/>
      <c r="Q2" s="317"/>
      <c r="R2" s="317"/>
      <c r="S2" s="317"/>
      <c r="T2" s="317"/>
    </row>
    <row r="3" spans="2:20" x14ac:dyDescent="0.3">
      <c r="B3" s="509"/>
      <c r="C3" s="509"/>
      <c r="D3" s="509"/>
      <c r="E3" s="509"/>
      <c r="F3" s="317"/>
      <c r="G3" s="317"/>
      <c r="H3" s="317"/>
      <c r="I3" s="317"/>
      <c r="J3" s="317"/>
      <c r="K3" s="317"/>
      <c r="L3" s="317"/>
      <c r="M3" s="317"/>
      <c r="N3" s="317"/>
      <c r="O3" s="317"/>
      <c r="P3" s="317"/>
      <c r="Q3" s="317"/>
      <c r="R3" s="317"/>
      <c r="S3" s="317"/>
      <c r="T3" s="317"/>
    </row>
    <row r="4" spans="2:20" x14ac:dyDescent="0.3">
      <c r="B4" s="317"/>
      <c r="C4" s="317"/>
      <c r="D4" s="317"/>
      <c r="E4" s="317"/>
      <c r="F4" s="317"/>
      <c r="G4" s="317"/>
      <c r="H4" s="317"/>
      <c r="I4" s="317"/>
      <c r="J4" s="317"/>
      <c r="K4" s="317"/>
      <c r="L4" s="317"/>
      <c r="M4" s="317"/>
      <c r="N4" s="317"/>
      <c r="O4" s="317"/>
      <c r="P4" s="317"/>
      <c r="Q4" s="317"/>
      <c r="R4" s="317"/>
      <c r="S4" s="317"/>
      <c r="T4" s="317"/>
    </row>
    <row r="5" spans="2:20" x14ac:dyDescent="0.3">
      <c r="B5" s="318" t="s">
        <v>299</v>
      </c>
      <c r="C5" s="317"/>
      <c r="D5" s="317"/>
      <c r="E5" s="317"/>
      <c r="F5" s="317"/>
      <c r="G5" s="317"/>
      <c r="H5" s="317"/>
      <c r="I5" s="317"/>
      <c r="J5" s="317"/>
      <c r="K5" s="317"/>
      <c r="L5" s="317"/>
      <c r="M5" s="317"/>
      <c r="N5" s="317"/>
      <c r="O5" s="317"/>
      <c r="P5" s="317"/>
      <c r="Q5" s="317"/>
      <c r="R5" s="317"/>
      <c r="S5" s="317"/>
      <c r="T5" s="317"/>
    </row>
    <row r="6" spans="2:20" x14ac:dyDescent="0.3">
      <c r="B6" s="318" t="s">
        <v>300</v>
      </c>
      <c r="C6" s="317"/>
      <c r="D6" s="317"/>
      <c r="E6" s="317"/>
      <c r="F6" s="317"/>
      <c r="G6" s="317"/>
      <c r="H6" s="317"/>
      <c r="I6" s="317"/>
      <c r="J6" s="317"/>
      <c r="K6" s="317"/>
      <c r="L6" s="317"/>
      <c r="M6" s="317"/>
      <c r="N6" s="317"/>
      <c r="O6" s="317"/>
      <c r="P6" s="317"/>
      <c r="Q6" s="317"/>
      <c r="R6" s="317"/>
      <c r="S6" s="317"/>
      <c r="T6" s="317"/>
    </row>
    <row r="8" spans="2:20" ht="14.4" customHeight="1" x14ac:dyDescent="0.3">
      <c r="B8" s="510" t="s">
        <v>301</v>
      </c>
      <c r="C8" s="510"/>
      <c r="D8" s="510"/>
      <c r="E8" s="510"/>
      <c r="F8" s="510"/>
      <c r="G8" s="510"/>
      <c r="H8" s="510"/>
      <c r="I8" s="510"/>
      <c r="J8" s="510"/>
      <c r="K8" s="510"/>
      <c r="L8" s="510"/>
      <c r="M8" s="510"/>
      <c r="N8" s="510"/>
      <c r="O8" s="510"/>
      <c r="P8" s="510"/>
      <c r="Q8" s="510"/>
      <c r="R8" s="510"/>
      <c r="S8" s="510"/>
      <c r="T8" s="510"/>
    </row>
    <row r="9" spans="2:20" x14ac:dyDescent="0.3">
      <c r="B9" s="510"/>
      <c r="C9" s="510"/>
      <c r="D9" s="510"/>
      <c r="E9" s="510"/>
      <c r="F9" s="510"/>
      <c r="G9" s="510"/>
      <c r="H9" s="510"/>
      <c r="I9" s="510"/>
      <c r="J9" s="510"/>
      <c r="K9" s="510"/>
      <c r="L9" s="510"/>
      <c r="M9" s="510"/>
      <c r="N9" s="510"/>
      <c r="O9" s="510"/>
      <c r="P9" s="510"/>
      <c r="Q9" s="510"/>
      <c r="R9" s="510"/>
      <c r="S9" s="510"/>
      <c r="T9" s="510"/>
    </row>
    <row r="10" spans="2:20" x14ac:dyDescent="0.3">
      <c r="B10" s="510"/>
      <c r="C10" s="510"/>
      <c r="D10" s="510"/>
      <c r="E10" s="510"/>
      <c r="F10" s="510"/>
      <c r="G10" s="510"/>
      <c r="H10" s="510"/>
      <c r="I10" s="510"/>
      <c r="J10" s="510"/>
      <c r="K10" s="510"/>
      <c r="L10" s="510"/>
      <c r="M10" s="510"/>
      <c r="N10" s="510"/>
      <c r="O10" s="510"/>
      <c r="P10" s="510"/>
      <c r="Q10" s="510"/>
      <c r="R10" s="510"/>
      <c r="S10" s="510"/>
      <c r="T10" s="510"/>
    </row>
    <row r="11" spans="2:20" x14ac:dyDescent="0.3">
      <c r="B11" s="510"/>
      <c r="C11" s="510"/>
      <c r="D11" s="510"/>
      <c r="E11" s="510"/>
      <c r="F11" s="510"/>
      <c r="G11" s="510"/>
      <c r="H11" s="510"/>
      <c r="I11" s="510"/>
      <c r="J11" s="510"/>
      <c r="K11" s="510"/>
      <c r="L11" s="510"/>
      <c r="M11" s="510"/>
      <c r="N11" s="510"/>
      <c r="O11" s="510"/>
      <c r="P11" s="510"/>
      <c r="Q11" s="510"/>
      <c r="R11" s="510"/>
      <c r="S11" s="510"/>
      <c r="T11" s="510"/>
    </row>
    <row r="12" spans="2:20" x14ac:dyDescent="0.3">
      <c r="B12" s="510"/>
      <c r="C12" s="510"/>
      <c r="D12" s="510"/>
      <c r="E12" s="510"/>
      <c r="F12" s="510"/>
      <c r="G12" s="510"/>
      <c r="H12" s="510"/>
      <c r="I12" s="510"/>
      <c r="J12" s="510"/>
      <c r="K12" s="510"/>
      <c r="L12" s="510"/>
      <c r="M12" s="510"/>
      <c r="N12" s="510"/>
      <c r="O12" s="510"/>
      <c r="P12" s="510"/>
      <c r="Q12" s="510"/>
      <c r="R12" s="510"/>
      <c r="S12" s="510"/>
      <c r="T12" s="510"/>
    </row>
    <row r="13" spans="2:20" x14ac:dyDescent="0.3">
      <c r="B13" s="510"/>
      <c r="C13" s="510"/>
      <c r="D13" s="510"/>
      <c r="E13" s="510"/>
      <c r="F13" s="510"/>
      <c r="G13" s="510"/>
      <c r="H13" s="510"/>
      <c r="I13" s="510"/>
      <c r="J13" s="510"/>
      <c r="K13" s="510"/>
      <c r="L13" s="510"/>
      <c r="M13" s="510"/>
      <c r="N13" s="510"/>
      <c r="O13" s="510"/>
      <c r="P13" s="510"/>
      <c r="Q13" s="510"/>
      <c r="R13" s="510"/>
      <c r="S13" s="510"/>
      <c r="T13" s="510"/>
    </row>
    <row r="15" spans="2:20" x14ac:dyDescent="0.3">
      <c r="B15" s="504" t="s">
        <v>58</v>
      </c>
      <c r="C15" s="505"/>
      <c r="D15" s="505"/>
      <c r="E15" s="505"/>
      <c r="F15" s="505"/>
      <c r="G15" s="505"/>
      <c r="H15" s="505"/>
      <c r="I15" s="505"/>
      <c r="J15" s="505"/>
      <c r="K15" s="505"/>
      <c r="L15" s="505"/>
      <c r="M15" s="505"/>
      <c r="N15" s="505"/>
      <c r="O15" s="505"/>
      <c r="P15" s="505"/>
      <c r="Q15" s="505"/>
      <c r="R15" s="505"/>
      <c r="S15" s="505"/>
      <c r="T15" s="506"/>
    </row>
    <row r="16" spans="2:20" x14ac:dyDescent="0.3">
      <c r="B16" s="319"/>
      <c r="C16" s="38"/>
      <c r="D16" s="38"/>
      <c r="E16" s="38"/>
      <c r="F16" s="38"/>
      <c r="G16" s="38"/>
      <c r="H16" s="38"/>
      <c r="I16" s="38"/>
      <c r="J16" s="38"/>
      <c r="K16" s="38"/>
      <c r="L16" s="38"/>
      <c r="M16" s="38"/>
      <c r="N16" s="38"/>
      <c r="O16" s="38"/>
      <c r="P16" s="38"/>
      <c r="Q16" s="38"/>
      <c r="R16" s="38"/>
      <c r="S16" s="38"/>
      <c r="T16" s="320"/>
    </row>
    <row r="17" spans="2:20" x14ac:dyDescent="0.3">
      <c r="B17" s="507" t="s">
        <v>64</v>
      </c>
      <c r="C17" s="470"/>
      <c r="D17" s="470"/>
      <c r="E17" s="470"/>
      <c r="F17" s="470"/>
      <c r="G17" s="470"/>
      <c r="H17" s="470"/>
      <c r="I17" s="470"/>
      <c r="J17" s="470"/>
      <c r="K17" s="470"/>
      <c r="L17" s="470"/>
      <c r="M17" s="470"/>
      <c r="N17" s="470"/>
      <c r="O17" s="470"/>
      <c r="P17" s="470"/>
      <c r="Q17" s="470"/>
      <c r="R17" s="470"/>
      <c r="S17" s="470"/>
      <c r="T17" s="508"/>
    </row>
    <row r="18" spans="2:20" x14ac:dyDescent="0.3">
      <c r="B18" s="319"/>
      <c r="C18" s="38"/>
      <c r="D18" s="38"/>
      <c r="E18" s="38"/>
      <c r="F18" s="38"/>
      <c r="G18" s="38"/>
      <c r="H18" s="38"/>
      <c r="I18" s="38"/>
      <c r="J18" s="38"/>
      <c r="K18" s="38"/>
      <c r="L18" s="38"/>
      <c r="M18" s="38"/>
      <c r="N18" s="49">
        <v>43831</v>
      </c>
      <c r="O18" s="49">
        <f>N18+366</f>
        <v>44197</v>
      </c>
      <c r="P18" s="49">
        <f t="shared" ref="P18:Q18" si="0">O18+366</f>
        <v>44563</v>
      </c>
      <c r="Q18" s="49">
        <f t="shared" si="0"/>
        <v>44929</v>
      </c>
      <c r="R18" s="38"/>
      <c r="S18" s="38"/>
      <c r="T18" s="320"/>
    </row>
    <row r="19" spans="2:20" x14ac:dyDescent="0.3">
      <c r="B19" s="319" t="s">
        <v>179</v>
      </c>
      <c r="C19" s="38"/>
      <c r="D19" s="38"/>
      <c r="E19" s="38"/>
      <c r="F19" s="38"/>
      <c r="G19" s="38"/>
      <c r="H19" s="38"/>
      <c r="I19" s="38"/>
      <c r="J19" s="38"/>
      <c r="K19" s="38"/>
      <c r="L19" s="38"/>
      <c r="M19" s="38"/>
      <c r="N19" s="39">
        <f>'SalesForce-Finacials'!D32/'SalesForce-Finacials'!D45</f>
        <v>1.0753115527113506</v>
      </c>
      <c r="O19" s="39">
        <f>'SalesForce-Finacials'!E32/'SalesForce-Finacials'!E45</f>
        <v>1.2347134476534296</v>
      </c>
      <c r="P19" s="39">
        <f>'SalesForce-Finacials'!F32/'SalesForce-Finacials'!F45</f>
        <v>1.04874242702405</v>
      </c>
      <c r="Q19" s="39">
        <f>'SalesForce-Finacials'!G32/'SalesForce-Finacials'!G45</f>
        <v>1.0194662237843266</v>
      </c>
      <c r="R19" s="38"/>
      <c r="S19" s="38"/>
      <c r="T19" s="320"/>
    </row>
    <row r="20" spans="2:20" x14ac:dyDescent="0.3">
      <c r="B20" s="319" t="s">
        <v>180</v>
      </c>
      <c r="C20" s="38"/>
      <c r="D20" s="38"/>
      <c r="E20" s="38"/>
      <c r="F20" s="38"/>
      <c r="G20" s="38"/>
      <c r="H20" s="38"/>
      <c r="I20" s="38"/>
      <c r="J20" s="38"/>
      <c r="K20" s="38"/>
      <c r="L20" s="38"/>
      <c r="M20" s="38"/>
      <c r="N20" s="39">
        <f>('SalesForce-Finacials'!D32-'SalesForce-Finacials'!D30)/'SalesForce-Finacials'!D45</f>
        <v>1.0753115527113506</v>
      </c>
      <c r="O20" s="39">
        <f>('SalesForce-Finacials'!E32-'SalesForce-Finacials'!E30)/'SalesForce-Finacials'!E45</f>
        <v>1.2347134476534296</v>
      </c>
      <c r="P20" s="39">
        <f>('SalesForce-Finacials'!F32-'SalesForce-Finacials'!F30)/'SalesForce-Finacials'!F45</f>
        <v>1.04874242702405</v>
      </c>
      <c r="Q20" s="39">
        <f>('SalesForce-Finacials'!G32-'SalesForce-Finacials'!G30)/'SalesForce-Finacials'!G45</f>
        <v>1.0194662237843266</v>
      </c>
      <c r="R20" s="38"/>
      <c r="S20" s="38"/>
      <c r="T20" s="320"/>
    </row>
    <row r="21" spans="2:20" x14ac:dyDescent="0.3">
      <c r="B21" s="319" t="s">
        <v>67</v>
      </c>
      <c r="C21" s="38"/>
      <c r="D21" s="38"/>
      <c r="E21" s="38"/>
      <c r="F21" s="38"/>
      <c r="G21" s="38"/>
      <c r="H21" s="38"/>
      <c r="I21" s="38"/>
      <c r="J21" s="38"/>
      <c r="K21" s="38"/>
      <c r="L21" s="38"/>
      <c r="M21" s="38"/>
      <c r="N21" s="39">
        <f>('SalesForce-Finacials'!D27+'SalesForce-Finacials'!D28)/'SalesForce-Finacials'!D45</f>
        <v>0.5353317615358707</v>
      </c>
      <c r="O21" s="39">
        <f>('SalesForce-Finacials'!E27+'SalesForce-Finacials'!E28)/'SalesForce-Finacials'!E45</f>
        <v>0.67497743682310474</v>
      </c>
      <c r="P21" s="39">
        <f>('SalesForce-Finacials'!F27+'SalesForce-Finacials'!F28)/'SalesForce-Finacials'!F45</f>
        <v>0.48361483385349735</v>
      </c>
      <c r="Q21" s="39">
        <f>('SalesForce-Finacials'!G27+'SalesForce-Finacials'!G28)/'SalesForce-Finacials'!G45</f>
        <v>0.4831022362983276</v>
      </c>
      <c r="R21" s="38"/>
      <c r="S21" s="38"/>
      <c r="T21" s="320"/>
    </row>
    <row r="22" spans="2:20" x14ac:dyDescent="0.3">
      <c r="B22" s="319"/>
      <c r="C22" s="38"/>
      <c r="D22" s="38"/>
      <c r="E22" s="38"/>
      <c r="F22" s="38"/>
      <c r="G22" s="38"/>
      <c r="H22" s="38"/>
      <c r="I22" s="38"/>
      <c r="J22" s="38"/>
      <c r="K22" s="38"/>
      <c r="L22" s="38"/>
      <c r="M22" s="38"/>
      <c r="N22" s="38"/>
      <c r="O22" s="38"/>
      <c r="P22" s="38"/>
      <c r="Q22" s="38"/>
      <c r="R22" s="38"/>
      <c r="S22" s="38"/>
      <c r="T22" s="320"/>
    </row>
    <row r="23" spans="2:20" x14ac:dyDescent="0.3">
      <c r="B23" s="507" t="s">
        <v>116</v>
      </c>
      <c r="C23" s="470"/>
      <c r="D23" s="470"/>
      <c r="E23" s="470"/>
      <c r="F23" s="470"/>
      <c r="G23" s="470"/>
      <c r="H23" s="470"/>
      <c r="I23" s="470"/>
      <c r="J23" s="470"/>
      <c r="K23" s="470"/>
      <c r="L23" s="470"/>
      <c r="M23" s="470"/>
      <c r="N23" s="470"/>
      <c r="O23" s="470"/>
      <c r="P23" s="470"/>
      <c r="Q23" s="470"/>
      <c r="R23" s="470"/>
      <c r="S23" s="470"/>
      <c r="T23" s="508"/>
    </row>
    <row r="24" spans="2:20" x14ac:dyDescent="0.3">
      <c r="B24" s="319"/>
      <c r="C24" s="38"/>
      <c r="D24" s="38"/>
      <c r="E24" s="38"/>
      <c r="F24" s="38"/>
      <c r="G24" s="38"/>
      <c r="H24" s="38"/>
      <c r="I24" s="38"/>
      <c r="J24" s="38"/>
      <c r="K24" s="38"/>
      <c r="L24" s="38"/>
      <c r="M24" s="38"/>
      <c r="N24" s="49">
        <f>N18</f>
        <v>43831</v>
      </c>
      <c r="O24" s="49">
        <f t="shared" ref="O24:Q24" si="1">O18</f>
        <v>44197</v>
      </c>
      <c r="P24" s="49">
        <f t="shared" si="1"/>
        <v>44563</v>
      </c>
      <c r="Q24" s="49">
        <f t="shared" si="1"/>
        <v>44929</v>
      </c>
      <c r="R24" s="38"/>
      <c r="S24" s="38"/>
      <c r="T24" s="320"/>
    </row>
    <row r="25" spans="2:20" x14ac:dyDescent="0.3">
      <c r="B25" s="319" t="s">
        <v>117</v>
      </c>
      <c r="C25" s="38"/>
      <c r="D25" s="38"/>
      <c r="E25" s="38"/>
      <c r="F25" s="38"/>
      <c r="G25" s="38"/>
      <c r="H25" s="38"/>
      <c r="I25" s="38"/>
      <c r="J25" s="38"/>
      <c r="K25" s="38"/>
      <c r="L25" s="38"/>
      <c r="M25" s="38"/>
      <c r="N25" s="39">
        <f>('SalesForce-Finacials'!D43+'SalesForce-Finacials'!D46)/'SalesForce-Finacials'!D40</f>
        <v>4.8488916300838077E-2</v>
      </c>
      <c r="O25" s="39">
        <f>('SalesForce-Finacials'!E43+'SalesForce-Finacials'!E46)/'SalesForce-Finacials'!E40</f>
        <v>4.0316133994962366E-2</v>
      </c>
      <c r="P25" s="39">
        <f>('SalesForce-Finacials'!F43+'SalesForce-Finacials'!F46)/'SalesForce-Finacials'!F40</f>
        <v>0.11129199970591015</v>
      </c>
      <c r="Q25" s="39">
        <f>('SalesForce-Finacials'!G43+'SalesForce-Finacials'!G46)/'SalesForce-Finacials'!G40</f>
        <v>0.10724438284656396</v>
      </c>
      <c r="R25" s="38"/>
      <c r="S25" s="38"/>
      <c r="T25" s="320"/>
    </row>
    <row r="26" spans="2:20" x14ac:dyDescent="0.3">
      <c r="B26" s="319" t="s">
        <v>118</v>
      </c>
      <c r="C26" s="38"/>
      <c r="D26" s="38"/>
      <c r="E26" s="38"/>
      <c r="F26" s="38"/>
      <c r="G26" s="38"/>
      <c r="H26" s="38"/>
      <c r="I26" s="38"/>
      <c r="J26" s="38"/>
      <c r="K26" s="38"/>
      <c r="L26" s="38"/>
      <c r="M26" s="38"/>
      <c r="N26" s="39">
        <f>('SalesForce-Finacials'!D43+'SalesForce-Finacials'!D46)/'SalesForce-Finacials'!D58</f>
        <v>7.8884462151394427E-2</v>
      </c>
      <c r="O26" s="39">
        <f>('SalesForce-Finacials'!E43+'SalesForce-Finacials'!E46)/'SalesForce-Finacials'!E58</f>
        <v>6.4420504663437211E-2</v>
      </c>
      <c r="P26" s="39">
        <f>('SalesForce-Finacials'!F43+'SalesForce-Finacials'!F46)/'SalesForce-Finacials'!F58</f>
        <v>0.18227795840429376</v>
      </c>
      <c r="Q26" s="39">
        <f>('SalesForce-Finacials'!G43+'SalesForce-Finacials'!G46)/'SalesForce-Finacials'!G58</f>
        <v>0.1816515019105879</v>
      </c>
      <c r="R26" s="38"/>
      <c r="S26" s="38"/>
      <c r="T26" s="320"/>
    </row>
    <row r="27" spans="2:20" x14ac:dyDescent="0.3">
      <c r="B27" s="319" t="s">
        <v>120</v>
      </c>
      <c r="C27" s="38"/>
      <c r="D27" s="38"/>
      <c r="E27" s="38"/>
      <c r="F27" s="38"/>
      <c r="G27" s="38"/>
      <c r="H27" s="38"/>
      <c r="I27" s="38"/>
      <c r="J27" s="38"/>
      <c r="K27" s="38"/>
      <c r="L27" s="38"/>
      <c r="M27" s="38"/>
      <c r="N27" s="39">
        <f>N26/(1+N26)</f>
        <v>7.3116691285081248E-2</v>
      </c>
      <c r="O27" s="39">
        <f t="shared" ref="O27:Q27" si="2">O26/(1+O26)</f>
        <v>6.0521668251596258E-2</v>
      </c>
      <c r="P27" s="39">
        <f t="shared" si="2"/>
        <v>0.15417521498101183</v>
      </c>
      <c r="Q27" s="39">
        <f t="shared" si="2"/>
        <v>0.15372679814385148</v>
      </c>
      <c r="R27" s="38"/>
      <c r="S27" s="38"/>
      <c r="T27" s="320"/>
    </row>
    <row r="28" spans="2:20" x14ac:dyDescent="0.3">
      <c r="B28" s="319" t="s">
        <v>121</v>
      </c>
      <c r="C28" s="38"/>
      <c r="D28" s="38"/>
      <c r="E28" s="38"/>
      <c r="F28" s="38"/>
      <c r="G28" s="38"/>
      <c r="H28" s="38"/>
      <c r="I28" s="38"/>
      <c r="J28" s="38"/>
      <c r="K28" s="38"/>
      <c r="L28" s="38"/>
      <c r="M28" s="38"/>
      <c r="N28" s="328" t="str">
        <f>IFERROR(('SalesForce-Finacials'!D14+'SalesForce-Finacials'!D65)/'SalesForce-Finacials'!D15,"NA")</f>
        <v>NA</v>
      </c>
      <c r="O28" s="328" t="str">
        <f>IFERROR(('SalesForce-Finacials'!E14+'SalesForce-Finacials'!E65)/'SalesForce-Finacials'!E15,"NA")</f>
        <v>NA</v>
      </c>
      <c r="P28" s="328" t="str">
        <f>IFERROR(('SalesForce-Finacials'!F14+'SalesForce-Finacials'!F65)/'SalesForce-Finacials'!F15,"NA")</f>
        <v>NA</v>
      </c>
      <c r="Q28" s="328" t="str">
        <f>IFERROR(('SalesForce-Finacials'!G14+'SalesForce-Finacials'!G65)/'SalesForce-Finacials'!G15,"NA")</f>
        <v>NA</v>
      </c>
      <c r="R28" s="38"/>
      <c r="S28" s="38"/>
      <c r="T28" s="320"/>
    </row>
    <row r="29" spans="2:20" x14ac:dyDescent="0.3">
      <c r="B29" s="319" t="s">
        <v>119</v>
      </c>
      <c r="C29" s="38"/>
      <c r="D29" s="38"/>
      <c r="E29" s="38"/>
      <c r="F29" s="38"/>
      <c r="G29" s="38"/>
      <c r="H29" s="38"/>
      <c r="I29" s="38"/>
      <c r="J29" s="38"/>
      <c r="K29" s="38"/>
      <c r="L29" s="38"/>
      <c r="M29" s="38"/>
      <c r="N29" s="39">
        <f>'SalesForce-Finacials'!D40/'SalesForce-Finacials'!D58</f>
        <v>1.6268555407997638</v>
      </c>
      <c r="O29" s="39">
        <f>'SalesForce-Finacials'!E40/'SalesForce-Finacials'!E58</f>
        <v>1.5978839804304341</v>
      </c>
      <c r="P29" s="39">
        <f>'SalesForce-Finacials'!F40/'SalesForce-Finacials'!F58</f>
        <v>1.6378352342123823</v>
      </c>
      <c r="Q29" s="39">
        <f>'SalesForce-Finacials'!G40/'SalesForce-Finacials'!G58</f>
        <v>1.6938090097499958</v>
      </c>
      <c r="R29" s="38"/>
      <c r="S29" s="38"/>
      <c r="T29" s="320"/>
    </row>
    <row r="30" spans="2:20" x14ac:dyDescent="0.3">
      <c r="B30" s="319" t="s">
        <v>193</v>
      </c>
      <c r="C30" s="38"/>
      <c r="D30" s="38"/>
      <c r="E30" s="38"/>
      <c r="F30" s="38"/>
      <c r="G30" s="38"/>
      <c r="H30" s="38"/>
      <c r="I30" s="38"/>
      <c r="J30" s="38"/>
      <c r="K30" s="38"/>
      <c r="L30" s="38"/>
      <c r="M30" s="38"/>
      <c r="N30" s="39">
        <f>'SalesForce-Finacials'!D72/('SalesForce-Finacials'!D46+'SalesForce-Finacials'!D43)</f>
        <v>1.6202768424990648</v>
      </c>
      <c r="O30" s="39">
        <f>'SalesForce-Finacials'!E72/('SalesForce-Finacials'!E46+'SalesForce-Finacials'!E43)</f>
        <v>1.7961092405536849</v>
      </c>
      <c r="P30" s="39">
        <f>'SalesForce-Finacials'!F72/('SalesForce-Finacials'!F46+'SalesForce-Finacials'!F43)</f>
        <v>0.56625141562853909</v>
      </c>
      <c r="Q30" s="39">
        <f>'SalesForce-Finacials'!G72/('SalesForce-Finacials'!G46+'SalesForce-Finacials'!G43)</f>
        <v>0.67078577492689373</v>
      </c>
      <c r="R30" s="38"/>
      <c r="S30" s="38"/>
      <c r="T30" s="320"/>
    </row>
    <row r="31" spans="2:20" x14ac:dyDescent="0.3">
      <c r="B31" s="319"/>
      <c r="C31" s="38"/>
      <c r="D31" s="38"/>
      <c r="E31" s="38"/>
      <c r="F31" s="38"/>
      <c r="G31" s="38"/>
      <c r="H31" s="38"/>
      <c r="I31" s="38"/>
      <c r="J31" s="38"/>
      <c r="K31" s="38"/>
      <c r="L31" s="38"/>
      <c r="M31" s="38"/>
      <c r="N31" s="38"/>
      <c r="O31" s="38"/>
      <c r="P31" s="38"/>
      <c r="Q31" s="38"/>
      <c r="R31" s="38"/>
      <c r="S31" s="38"/>
      <c r="T31" s="320"/>
    </row>
    <row r="32" spans="2:20" x14ac:dyDescent="0.3">
      <c r="B32" s="507" t="s">
        <v>122</v>
      </c>
      <c r="C32" s="470"/>
      <c r="D32" s="470"/>
      <c r="E32" s="470"/>
      <c r="F32" s="470"/>
      <c r="G32" s="470"/>
      <c r="H32" s="470"/>
      <c r="I32" s="470"/>
      <c r="J32" s="470"/>
      <c r="K32" s="470"/>
      <c r="L32" s="470"/>
      <c r="M32" s="470"/>
      <c r="N32" s="470"/>
      <c r="O32" s="470"/>
      <c r="P32" s="470"/>
      <c r="Q32" s="470"/>
      <c r="R32" s="470"/>
      <c r="S32" s="470"/>
      <c r="T32" s="508"/>
    </row>
    <row r="33" spans="2:20" x14ac:dyDescent="0.3">
      <c r="B33" s="319"/>
      <c r="C33" s="38"/>
      <c r="D33" s="38"/>
      <c r="E33" s="38"/>
      <c r="F33" s="38"/>
      <c r="G33" s="38"/>
      <c r="H33" s="38"/>
      <c r="I33" s="38"/>
      <c r="J33" s="38"/>
      <c r="K33" s="38"/>
      <c r="L33" s="38"/>
      <c r="M33" s="38"/>
      <c r="N33" s="49">
        <f>N24</f>
        <v>43831</v>
      </c>
      <c r="O33" s="49">
        <f t="shared" ref="O33:Q33" si="3">O24</f>
        <v>44197</v>
      </c>
      <c r="P33" s="49">
        <f t="shared" si="3"/>
        <v>44563</v>
      </c>
      <c r="Q33" s="49">
        <f t="shared" si="3"/>
        <v>44929</v>
      </c>
      <c r="R33" s="38"/>
      <c r="S33" s="38"/>
      <c r="T33" s="320"/>
    </row>
    <row r="34" spans="2:20" x14ac:dyDescent="0.3">
      <c r="B34" s="319" t="s">
        <v>123</v>
      </c>
      <c r="C34" s="38"/>
      <c r="D34" s="38"/>
      <c r="E34" s="38"/>
      <c r="F34" s="38"/>
      <c r="G34" s="38"/>
      <c r="H34" s="38"/>
      <c r="I34" s="38"/>
      <c r="J34" s="38"/>
      <c r="K34" s="38"/>
      <c r="L34" s="38"/>
      <c r="M34" s="38"/>
      <c r="N34" s="39">
        <f>'SalesForce-Finacials'!D4/'SalesForce-Finacials'!D40</f>
        <v>0.31016217392881762</v>
      </c>
      <c r="O34" s="39">
        <f>'SalesForce-Finacials'!E4/'SalesForce-Finacials'!E40</f>
        <v>0.32053815176241685</v>
      </c>
      <c r="P34" s="39">
        <f>'SalesForce-Finacials'!F4/'SalesForce-Finacials'!F40</f>
        <v>0.27825100568223593</v>
      </c>
      <c r="Q34" s="39">
        <f>'SalesForce-Finacials'!G4/'SalesForce-Finacials'!G40</f>
        <v>0.31717063399730905</v>
      </c>
      <c r="R34" s="38"/>
      <c r="S34" s="38"/>
      <c r="T34" s="320"/>
    </row>
    <row r="35" spans="2:20" x14ac:dyDescent="0.3">
      <c r="B35" s="319" t="s">
        <v>124</v>
      </c>
      <c r="C35" s="38"/>
      <c r="D35" s="38"/>
      <c r="E35" s="38"/>
      <c r="F35" s="38"/>
      <c r="G35" s="38"/>
      <c r="H35" s="38"/>
      <c r="I35" s="38"/>
      <c r="J35" s="38"/>
      <c r="K35" s="38"/>
      <c r="L35" s="38"/>
      <c r="M35" s="38"/>
      <c r="N35" s="39">
        <f>'SalesForce-Finacials'!D4/'Analysis-SalesForce'!N84</f>
        <v>15.293381037567084</v>
      </c>
      <c r="O35" s="39">
        <f>'SalesForce-Finacials'!E4/'Analysis-SalesForce'!O84</f>
        <v>5.1074260994953136</v>
      </c>
      <c r="P35" s="39">
        <f>'SalesForce-Finacials'!F4/'Analysis-SalesForce'!P84</f>
        <v>24.945386064030131</v>
      </c>
      <c r="Q35" s="39">
        <f>'SalesForce-Finacials'!G4/'Analysis-SalesForce'!Q84</f>
        <v>62.206349206349209</v>
      </c>
      <c r="R35" s="38"/>
      <c r="S35" s="38"/>
      <c r="T35" s="320"/>
    </row>
    <row r="36" spans="2:20" x14ac:dyDescent="0.3">
      <c r="B36" s="319" t="s">
        <v>125</v>
      </c>
      <c r="C36" s="38"/>
      <c r="D36" s="38"/>
      <c r="E36" s="38"/>
      <c r="F36" s="38"/>
      <c r="G36" s="38"/>
      <c r="H36" s="38"/>
      <c r="I36" s="38"/>
      <c r="J36" s="38"/>
      <c r="K36" s="38"/>
      <c r="L36" s="38"/>
      <c r="M36" s="38"/>
      <c r="N36" s="328" t="s">
        <v>294</v>
      </c>
      <c r="O36" s="328" t="s">
        <v>294</v>
      </c>
      <c r="P36" s="328" t="s">
        <v>294</v>
      </c>
      <c r="Q36" s="328" t="s">
        <v>294</v>
      </c>
      <c r="R36" s="38"/>
      <c r="S36" s="38"/>
      <c r="T36" s="320"/>
    </row>
    <row r="37" spans="2:20" x14ac:dyDescent="0.3">
      <c r="B37" s="319" t="s">
        <v>126</v>
      </c>
      <c r="C37" s="38"/>
      <c r="D37" s="38"/>
      <c r="E37" s="38"/>
      <c r="F37" s="38"/>
      <c r="G37" s="38"/>
      <c r="H37" s="38"/>
      <c r="I37" s="38"/>
      <c r="J37" s="38"/>
      <c r="K37" s="38"/>
      <c r="L37" s="38"/>
      <c r="M37" s="38"/>
      <c r="N37" s="39">
        <f>'SalesForce-Finacials'!D4/'SalesForce-Finacials'!D29</f>
        <v>2.7693553611920958</v>
      </c>
      <c r="O37" s="39">
        <f>'SalesForce-Finacials'!E4/'SalesForce-Finacials'!E29</f>
        <v>2.7295145132288723</v>
      </c>
      <c r="P37" s="39">
        <f>'SalesForce-Finacials'!F4/'SalesForce-Finacials'!F29</f>
        <v>2.7201971454974845</v>
      </c>
      <c r="Q37" s="39">
        <f>'SalesForce-Finacials'!G4/'SalesForce-Finacials'!G29</f>
        <v>2.9151092515109251</v>
      </c>
      <c r="R37" s="38"/>
      <c r="S37" s="38"/>
      <c r="T37" s="320"/>
    </row>
    <row r="38" spans="2:20" x14ac:dyDescent="0.3">
      <c r="B38" s="319"/>
      <c r="C38" s="38"/>
      <c r="D38" s="38"/>
      <c r="E38" s="38"/>
      <c r="F38" s="38"/>
      <c r="G38" s="38"/>
      <c r="H38" s="38"/>
      <c r="I38" s="38"/>
      <c r="J38" s="38"/>
      <c r="K38" s="38"/>
      <c r="L38" s="38"/>
      <c r="M38" s="38"/>
      <c r="N38" s="38"/>
      <c r="O38" s="38"/>
      <c r="P38" s="38"/>
      <c r="Q38" s="38"/>
      <c r="R38" s="38"/>
      <c r="S38" s="38"/>
      <c r="T38" s="320"/>
    </row>
    <row r="39" spans="2:20" x14ac:dyDescent="0.3">
      <c r="B39" s="507" t="s">
        <v>302</v>
      </c>
      <c r="C39" s="470"/>
      <c r="D39" s="470"/>
      <c r="E39" s="470"/>
      <c r="F39" s="470"/>
      <c r="G39" s="470"/>
      <c r="H39" s="470"/>
      <c r="I39" s="470"/>
      <c r="J39" s="470"/>
      <c r="K39" s="470"/>
      <c r="L39" s="470"/>
      <c r="M39" s="470"/>
      <c r="N39" s="470"/>
      <c r="O39" s="470"/>
      <c r="P39" s="470"/>
      <c r="Q39" s="470"/>
      <c r="R39" s="470"/>
      <c r="S39" s="470"/>
      <c r="T39" s="508"/>
    </row>
    <row r="40" spans="2:20" x14ac:dyDescent="0.3">
      <c r="B40" s="319"/>
      <c r="C40" s="38"/>
      <c r="D40" s="38"/>
      <c r="E40" s="38"/>
      <c r="F40" s="38"/>
      <c r="G40" s="38"/>
      <c r="H40" s="38"/>
      <c r="I40" s="38"/>
      <c r="J40" s="38"/>
      <c r="K40" s="38"/>
      <c r="L40" s="38"/>
      <c r="M40" s="38"/>
      <c r="N40" s="49">
        <f>N33</f>
        <v>43831</v>
      </c>
      <c r="O40" s="49">
        <f t="shared" ref="O40:Q40" si="4">O33</f>
        <v>44197</v>
      </c>
      <c r="P40" s="49">
        <f t="shared" si="4"/>
        <v>44563</v>
      </c>
      <c r="Q40" s="49">
        <f t="shared" si="4"/>
        <v>44929</v>
      </c>
      <c r="R40" s="38"/>
      <c r="S40" s="38"/>
      <c r="T40" s="320"/>
    </row>
    <row r="41" spans="2:20" x14ac:dyDescent="0.3">
      <c r="B41" s="319" t="s">
        <v>132</v>
      </c>
      <c r="C41" s="38"/>
      <c r="D41" s="38"/>
      <c r="E41" s="38"/>
      <c r="F41" s="38"/>
      <c r="G41" s="38"/>
      <c r="H41" s="38"/>
      <c r="I41" s="38"/>
      <c r="J41" s="38"/>
      <c r="K41" s="38"/>
      <c r="L41" s="38"/>
      <c r="M41" s="38"/>
      <c r="N41" s="67">
        <f>'SalesForce-Finacials'!D22/'SalesForce-Finacials'!D58</f>
        <v>3.7184594953519256E-3</v>
      </c>
      <c r="O41" s="67">
        <f>'SalesForce-Finacials'!E22/'SalesForce-Finacials'!E58</f>
        <v>9.8137035162557534E-2</v>
      </c>
      <c r="P41" s="67">
        <f>'SalesForce-Finacials'!F22/'SalesForce-Finacials'!F58</f>
        <v>2.4840446577557584E-2</v>
      </c>
      <c r="Q41" s="67">
        <f>'SalesForce-Finacials'!G22/'SalesForce-Finacials'!G58</f>
        <v>3.564146061447249E-3</v>
      </c>
      <c r="R41" s="38"/>
      <c r="S41" s="38"/>
      <c r="T41" s="320"/>
    </row>
    <row r="42" spans="2:20" x14ac:dyDescent="0.3">
      <c r="B42" s="319" t="s">
        <v>133</v>
      </c>
      <c r="C42" s="38"/>
      <c r="D42" s="38"/>
      <c r="E42" s="38"/>
      <c r="F42" s="38"/>
      <c r="G42" s="38"/>
      <c r="H42" s="38"/>
      <c r="I42" s="38"/>
      <c r="J42" s="38"/>
      <c r="K42" s="38"/>
      <c r="L42" s="38"/>
      <c r="M42" s="38"/>
      <c r="N42" s="67">
        <f>'SalesForce-Finacials'!D22/'SalesForce-Finacials'!D40</f>
        <v>2.2856728222617278E-3</v>
      </c>
      <c r="O42" s="67">
        <f>'SalesForce-Finacials'!E22/'SalesForce-Finacials'!E40</f>
        <v>6.1416871540399091E-2</v>
      </c>
      <c r="P42" s="67">
        <f>'SalesForce-Finacials'!F22/'SalesForce-Finacials'!F40</f>
        <v>1.5166633406505687E-2</v>
      </c>
      <c r="Q42" s="67">
        <f>'SalesForce-Finacials'!G22/'SalesForce-Finacials'!G40</f>
        <v>2.104219567218687E-3</v>
      </c>
      <c r="R42" s="38"/>
      <c r="S42" s="38"/>
      <c r="T42" s="320"/>
    </row>
    <row r="43" spans="2:20" x14ac:dyDescent="0.3">
      <c r="B43" s="319" t="s">
        <v>134</v>
      </c>
      <c r="C43" s="38"/>
      <c r="D43" s="38"/>
      <c r="E43" s="38"/>
      <c r="F43" s="38"/>
      <c r="G43" s="38"/>
      <c r="H43" s="38"/>
      <c r="I43" s="38"/>
      <c r="J43" s="38"/>
      <c r="K43" s="38"/>
      <c r="L43" s="38"/>
      <c r="M43" s="38"/>
      <c r="N43" s="67">
        <f>'SalesForce-Finacials'!D22/('SalesForce-Finacials'!D46+'SalesForce-Finacials'!D43+'SalesForce-Finacials'!D58)</f>
        <v>3.4465780403741997E-3</v>
      </c>
      <c r="O43" s="67">
        <f>'SalesForce-Finacials'!E22/('SalesForce-Finacials'!E46+'SalesForce-Finacials'!E43+'SalesForce-Finacials'!E58)</f>
        <v>9.219761807725399E-2</v>
      </c>
      <c r="P43" s="67">
        <f>'SalesForce-Finacials'!F22/('SalesForce-Finacials'!F46+'SalesForce-Finacials'!F43+'SalesForce-Finacials'!F58)</f>
        <v>2.1010665386238307E-2</v>
      </c>
      <c r="Q43" s="67">
        <f>'SalesForce-Finacials'!G22/('SalesForce-Finacials'!G46+'SalesForce-Finacials'!G43+'SalesForce-Finacials'!G58)</f>
        <v>3.0162412993039443E-3</v>
      </c>
      <c r="R43" s="38"/>
      <c r="S43" s="38"/>
      <c r="T43" s="320"/>
    </row>
    <row r="44" spans="2:20" x14ac:dyDescent="0.3">
      <c r="B44" s="319" t="s">
        <v>135</v>
      </c>
      <c r="C44" s="38"/>
      <c r="D44" s="38"/>
      <c r="E44" s="38"/>
      <c r="F44" s="38"/>
      <c r="G44" s="38"/>
      <c r="H44" s="38"/>
      <c r="I44" s="38"/>
      <c r="J44" s="38"/>
      <c r="K44" s="38"/>
      <c r="L44" s="38"/>
      <c r="M44" s="38"/>
      <c r="N44" s="67">
        <f>'SalesForce-Finacials'!D22/('SalesForce-Finacials'!D35+'Analysis-SalesForce'!N84)</f>
        <v>1.928669830093372E-2</v>
      </c>
      <c r="O44" s="67">
        <f>'SalesForce-Finacials'!E22/('SalesForce-Finacials'!E35+'Analysis-SalesForce'!O84)</f>
        <v>0.41449511400651468</v>
      </c>
      <c r="P44" s="67">
        <f>'SalesForce-Finacials'!F22/('SalesForce-Finacials'!F35+'Analysis-SalesForce'!P84)</f>
        <v>0.21370430664496079</v>
      </c>
      <c r="Q44" s="67">
        <f>'SalesForce-Finacials'!G22/('SalesForce-Finacials'!G35+'Analysis-SalesForce'!Q84)</f>
        <v>2.9312288613303268E-2</v>
      </c>
      <c r="R44" s="38"/>
      <c r="S44" s="38"/>
      <c r="T44" s="320"/>
    </row>
    <row r="45" spans="2:20" x14ac:dyDescent="0.3">
      <c r="B45" s="319" t="s">
        <v>136</v>
      </c>
      <c r="C45" s="38"/>
      <c r="D45" s="38"/>
      <c r="E45" s="38"/>
      <c r="F45" s="38"/>
      <c r="G45" s="38"/>
      <c r="H45" s="38"/>
      <c r="I45" s="38"/>
      <c r="J45" s="38"/>
      <c r="K45" s="38"/>
      <c r="L45" s="38"/>
      <c r="M45" s="38"/>
      <c r="N45" s="67">
        <f>('SalesForce-Finacials'!D14+'SalesForce-Finacials'!D65)/'SalesForce-Finacials'!D4</f>
        <v>0.21739384723359456</v>
      </c>
      <c r="O45" s="67">
        <f>('SalesForce-Finacials'!E14+'SalesForce-Finacials'!E65)/'SalesForce-Finacials'!E4</f>
        <v>0.30420666290231507</v>
      </c>
      <c r="P45" s="67">
        <f>('SalesForce-Finacials'!F14+'SalesForce-Finacials'!F65)/'SalesForce-Finacials'!F4</f>
        <v>0.23320247621923598</v>
      </c>
      <c r="Q45" s="67">
        <f>('SalesForce-Finacials'!G14+'SalesForce-Finacials'!G65)/'SalesForce-Finacials'!G4</f>
        <v>0.1950114825210513</v>
      </c>
      <c r="R45" s="38"/>
      <c r="S45" s="38"/>
      <c r="T45" s="320"/>
    </row>
    <row r="46" spans="2:20" x14ac:dyDescent="0.3">
      <c r="B46" s="319" t="s">
        <v>137</v>
      </c>
      <c r="C46" s="38"/>
      <c r="D46" s="38"/>
      <c r="E46" s="38"/>
      <c r="F46" s="38"/>
      <c r="G46" s="38"/>
      <c r="H46" s="38"/>
      <c r="I46" s="38"/>
      <c r="J46" s="38"/>
      <c r="K46" s="38"/>
      <c r="L46" s="38"/>
      <c r="M46" s="38"/>
      <c r="N46" s="67">
        <f>'SalesForce-Finacials'!D22/'SalesForce-Finacials'!D4</f>
        <v>7.3692829570710027E-3</v>
      </c>
      <c r="O46" s="67">
        <f>'SalesForce-Finacials'!E22/'SalesForce-Finacials'!E4</f>
        <v>0.19160549595332205</v>
      </c>
      <c r="P46" s="67">
        <f>'SalesForce-Finacials'!F22/'SalesForce-Finacials'!F4</f>
        <v>5.4507020987467916E-2</v>
      </c>
      <c r="Q46" s="67">
        <f>'SalesForce-Finacials'!G22/'SalesForce-Finacials'!G4</f>
        <v>6.6343454963000764E-3</v>
      </c>
      <c r="R46" s="38"/>
      <c r="S46" s="38"/>
      <c r="T46" s="320"/>
    </row>
    <row r="47" spans="2:20" x14ac:dyDescent="0.3">
      <c r="B47" s="319"/>
      <c r="C47" s="38"/>
      <c r="D47" s="38"/>
      <c r="E47" s="38"/>
      <c r="F47" s="38"/>
      <c r="G47" s="38"/>
      <c r="H47" s="38"/>
      <c r="I47" s="38"/>
      <c r="J47" s="38"/>
      <c r="K47" s="38"/>
      <c r="L47" s="38"/>
      <c r="M47" s="38"/>
      <c r="N47" s="38"/>
      <c r="O47" s="38"/>
      <c r="P47" s="38"/>
      <c r="Q47" s="38"/>
      <c r="R47" s="38"/>
      <c r="S47" s="38"/>
      <c r="T47" s="320"/>
    </row>
    <row r="48" spans="2:20" x14ac:dyDescent="0.3">
      <c r="B48" s="507" t="s">
        <v>127</v>
      </c>
      <c r="C48" s="470"/>
      <c r="D48" s="470"/>
      <c r="E48" s="470"/>
      <c r="F48" s="470"/>
      <c r="G48" s="470"/>
      <c r="H48" s="470"/>
      <c r="I48" s="470"/>
      <c r="J48" s="470"/>
      <c r="K48" s="470"/>
      <c r="L48" s="470"/>
      <c r="M48" s="470"/>
      <c r="N48" s="470"/>
      <c r="O48" s="470"/>
      <c r="P48" s="470"/>
      <c r="Q48" s="470"/>
      <c r="R48" s="470"/>
      <c r="S48" s="470"/>
      <c r="T48" s="508"/>
    </row>
    <row r="49" spans="2:20" x14ac:dyDescent="0.3">
      <c r="B49" s="319"/>
      <c r="C49" s="38"/>
      <c r="D49" s="38"/>
      <c r="E49" s="38"/>
      <c r="F49" s="38"/>
      <c r="G49" s="38"/>
      <c r="H49" s="38"/>
      <c r="I49" s="38"/>
      <c r="J49" s="38"/>
      <c r="K49" s="38"/>
      <c r="L49" s="38"/>
      <c r="M49" s="38"/>
      <c r="N49" s="49">
        <f>N40</f>
        <v>43831</v>
      </c>
      <c r="O49" s="49">
        <f t="shared" ref="O49:Q49" si="5">O40</f>
        <v>44197</v>
      </c>
      <c r="P49" s="49">
        <f t="shared" si="5"/>
        <v>44563</v>
      </c>
      <c r="Q49" s="49">
        <f t="shared" si="5"/>
        <v>44929</v>
      </c>
      <c r="R49" s="38"/>
      <c r="S49" s="38"/>
      <c r="T49" s="320"/>
    </row>
    <row r="50" spans="2:20" x14ac:dyDescent="0.3">
      <c r="B50" s="319" t="s">
        <v>128</v>
      </c>
      <c r="C50" s="38"/>
      <c r="D50" s="38"/>
      <c r="E50" s="38"/>
      <c r="F50" s="38"/>
      <c r="G50" s="38"/>
      <c r="H50" s="38"/>
      <c r="I50" s="38"/>
      <c r="J50" s="38"/>
      <c r="K50" s="38"/>
      <c r="L50" s="38"/>
      <c r="M50" s="38"/>
      <c r="N50" s="39">
        <f>'SalesForce-Finacials'!D23/'SalesForce-Finacials'!D4</f>
        <v>11.94408702772254</v>
      </c>
      <c r="O50" s="39">
        <f>'SalesForce-Finacials'!E23/'SalesForce-Finacials'!E4</f>
        <v>11.778185582533409</v>
      </c>
      <c r="P50" s="39">
        <f>'SalesForce-Finacials'!F23/'SalesForce-Finacials'!F4</f>
        <v>5.004529669334139</v>
      </c>
      <c r="Q50" s="39">
        <f>'SalesForce-Finacials'!G23/'SalesForce-Finacials'!G4</f>
        <v>6.560028068384792</v>
      </c>
      <c r="R50" s="38"/>
      <c r="S50" s="38"/>
      <c r="T50" s="320"/>
    </row>
    <row r="51" spans="2:20" x14ac:dyDescent="0.3">
      <c r="B51" s="319" t="s">
        <v>129</v>
      </c>
      <c r="C51" s="38"/>
      <c r="D51" s="38"/>
      <c r="E51" s="38"/>
      <c r="F51" s="38"/>
      <c r="G51" s="38"/>
      <c r="H51" s="38"/>
      <c r="I51" s="38"/>
      <c r="J51" s="38"/>
      <c r="K51" s="38"/>
      <c r="L51" s="38"/>
      <c r="M51" s="38"/>
      <c r="N51" s="39">
        <f>'SalesForce-Finacials'!D23/'SalesForce-Finacials'!D22</f>
        <v>1620.7936507936508</v>
      </c>
      <c r="O51" s="39">
        <f>'SalesForce-Finacials'!E23/'SalesForce-Finacials'!E22</f>
        <v>61.471021611001966</v>
      </c>
      <c r="P51" s="39">
        <f>'SalesForce-Finacials'!F23/'SalesForce-Finacials'!F22</f>
        <v>91.81440443213296</v>
      </c>
      <c r="Q51" s="39">
        <f>'SalesForce-Finacials'!G23/'SalesForce-Finacials'!G22</f>
        <v>988.79807692307691</v>
      </c>
      <c r="R51" s="38"/>
      <c r="S51" s="38"/>
      <c r="T51" s="320"/>
    </row>
    <row r="52" spans="2:20" x14ac:dyDescent="0.3">
      <c r="B52" s="319" t="s">
        <v>140</v>
      </c>
      <c r="C52" s="38"/>
      <c r="D52" s="38"/>
      <c r="E52" s="38"/>
      <c r="F52" s="38"/>
      <c r="G52" s="38"/>
      <c r="H52" s="38"/>
      <c r="I52" s="38"/>
      <c r="J52" s="38"/>
      <c r="K52" s="38"/>
      <c r="L52" s="38"/>
      <c r="M52" s="38"/>
      <c r="N52" s="39">
        <f>'SalesForce-Finacials'!D23/'SalesForce-Finacials'!D72</f>
        <v>47.153082429000229</v>
      </c>
      <c r="O52" s="39">
        <f>'SalesForce-Finacials'!E23/'SalesForce-Finacials'!E72</f>
        <v>52.137054780254111</v>
      </c>
      <c r="P52" s="39">
        <f>'SalesForce-Finacials'!F23/'SalesForce-Finacials'!F72</f>
        <v>22.096666666666668</v>
      </c>
      <c r="Q52" s="39">
        <f>'SalesForce-Finacials'!G23/'SalesForce-Finacials'!G72</f>
        <v>28.922795668682323</v>
      </c>
      <c r="R52" s="38"/>
      <c r="S52" s="38"/>
      <c r="T52" s="320"/>
    </row>
    <row r="53" spans="2:20" x14ac:dyDescent="0.3">
      <c r="B53" s="319" t="s">
        <v>130</v>
      </c>
      <c r="C53" s="38"/>
      <c r="D53" s="38"/>
      <c r="E53" s="38"/>
      <c r="F53" s="38"/>
      <c r="G53" s="38"/>
      <c r="H53" s="38"/>
      <c r="I53" s="38"/>
      <c r="J53" s="38"/>
      <c r="K53" s="38"/>
      <c r="L53" s="38"/>
      <c r="M53" s="38"/>
      <c r="N53" s="39">
        <f>'SalesForce-Finacials'!D23/'SalesForce-Finacials'!D58</f>
        <v>6.0268555407997635</v>
      </c>
      <c r="O53" s="39">
        <f>'SalesForce-Finacials'!E23/'SalesForce-Finacials'!E58</f>
        <v>6.0325838093172344</v>
      </c>
      <c r="P53" s="39">
        <f>'SalesForce-Finacials'!F23/'SalesForce-Finacials'!F58</f>
        <v>2.2807108083466652</v>
      </c>
      <c r="Q53" s="39">
        <f>'SalesForce-Finacials'!G23/'SalesForce-Finacials'!G58</f>
        <v>3.5242207714319984</v>
      </c>
      <c r="R53" s="38"/>
      <c r="S53" s="38"/>
      <c r="T53" s="320"/>
    </row>
    <row r="54" spans="2:20" x14ac:dyDescent="0.3">
      <c r="B54" s="319"/>
      <c r="C54" s="38"/>
      <c r="D54" s="38"/>
      <c r="E54" s="38"/>
      <c r="F54" s="38"/>
      <c r="G54" s="38"/>
      <c r="H54" s="38"/>
      <c r="I54" s="38"/>
      <c r="J54" s="38"/>
      <c r="K54" s="38"/>
      <c r="L54" s="38"/>
      <c r="M54" s="38"/>
      <c r="N54" s="38"/>
      <c r="O54" s="38"/>
      <c r="P54" s="38"/>
      <c r="Q54" s="38"/>
      <c r="R54" s="38"/>
      <c r="S54" s="38"/>
      <c r="T54" s="320"/>
    </row>
    <row r="55" spans="2:20" x14ac:dyDescent="0.3">
      <c r="B55" s="507" t="s">
        <v>264</v>
      </c>
      <c r="C55" s="470"/>
      <c r="D55" s="470"/>
      <c r="E55" s="470"/>
      <c r="F55" s="470"/>
      <c r="G55" s="470"/>
      <c r="H55" s="470"/>
      <c r="I55" s="470"/>
      <c r="J55" s="470"/>
      <c r="K55" s="470"/>
      <c r="L55" s="470"/>
      <c r="M55" s="470"/>
      <c r="N55" s="470"/>
      <c r="O55" s="470"/>
      <c r="P55" s="470"/>
      <c r="Q55" s="470"/>
      <c r="R55" s="470"/>
      <c r="S55" s="470"/>
      <c r="T55" s="508"/>
    </row>
    <row r="56" spans="2:20" x14ac:dyDescent="0.3">
      <c r="B56" s="319"/>
      <c r="C56" s="38"/>
      <c r="D56" s="38"/>
      <c r="E56" s="38"/>
      <c r="F56" s="38"/>
      <c r="G56" s="38"/>
      <c r="H56" s="38"/>
      <c r="I56" s="38"/>
      <c r="J56" s="38"/>
      <c r="K56" s="38"/>
      <c r="L56" s="38"/>
      <c r="M56" s="38"/>
      <c r="N56" s="49">
        <f>N49</f>
        <v>43831</v>
      </c>
      <c r="O56" s="49">
        <f t="shared" ref="O56:Q56" si="6">O49</f>
        <v>44197</v>
      </c>
      <c r="P56" s="49">
        <f t="shared" si="6"/>
        <v>44563</v>
      </c>
      <c r="Q56" s="49">
        <f t="shared" si="6"/>
        <v>44929</v>
      </c>
      <c r="R56" s="38"/>
      <c r="S56" s="38"/>
      <c r="T56" s="320"/>
    </row>
    <row r="57" spans="2:20" x14ac:dyDescent="0.3">
      <c r="B57" s="319" t="s">
        <v>23</v>
      </c>
      <c r="C57" s="38"/>
      <c r="D57" s="38"/>
      <c r="E57" s="38"/>
      <c r="F57" s="38"/>
      <c r="G57" s="38"/>
      <c r="H57" s="38"/>
      <c r="I57" s="38"/>
      <c r="J57" s="38"/>
      <c r="K57" s="38"/>
      <c r="L57" s="38"/>
      <c r="M57" s="38"/>
      <c r="N57" s="51">
        <f>'SalesForce-Finacials'!D22</f>
        <v>126000</v>
      </c>
      <c r="O57" s="51">
        <f>'SalesForce-Finacials'!E22</f>
        <v>4072000</v>
      </c>
      <c r="P57" s="51">
        <f>'SalesForce-Finacials'!F22</f>
        <v>1444000</v>
      </c>
      <c r="Q57" s="51">
        <f>'SalesForce-Finacials'!G22</f>
        <v>208000</v>
      </c>
      <c r="R57" s="38"/>
      <c r="S57" s="38"/>
      <c r="T57" s="320"/>
    </row>
    <row r="58" spans="2:20" x14ac:dyDescent="0.3">
      <c r="B58" s="319" t="s">
        <v>139</v>
      </c>
      <c r="C58" s="38"/>
      <c r="D58" s="38"/>
      <c r="E58" s="38"/>
      <c r="F58" s="38"/>
      <c r="G58" s="38"/>
      <c r="H58" s="38"/>
      <c r="I58" s="38"/>
      <c r="J58" s="38"/>
      <c r="K58" s="38"/>
      <c r="L58" s="38"/>
      <c r="M58" s="38"/>
      <c r="N58" s="51">
        <f>'SalesForce-Finacials'!D4</f>
        <v>17098000</v>
      </c>
      <c r="O58" s="51">
        <f>'SalesForce-Finacials'!E4</f>
        <v>21252000</v>
      </c>
      <c r="P58" s="51">
        <f>'SalesForce-Finacials'!F4</f>
        <v>26492000</v>
      </c>
      <c r="Q58" s="51">
        <f>'SalesForce-Finacials'!G4</f>
        <v>31352000</v>
      </c>
      <c r="R58" s="38"/>
      <c r="S58" s="38"/>
      <c r="T58" s="320"/>
    </row>
    <row r="59" spans="2:20" x14ac:dyDescent="0.3">
      <c r="B59" s="319" t="s">
        <v>39</v>
      </c>
      <c r="C59" s="38"/>
      <c r="D59" s="38"/>
      <c r="E59" s="38"/>
      <c r="F59" s="38"/>
      <c r="G59" s="38"/>
      <c r="H59" s="38"/>
      <c r="I59" s="38"/>
      <c r="J59" s="38"/>
      <c r="K59" s="38"/>
      <c r="L59" s="38"/>
      <c r="M59" s="38"/>
      <c r="N59" s="51">
        <f>'SalesForce-Finacials'!D40</f>
        <v>55126000</v>
      </c>
      <c r="O59" s="51">
        <f>'SalesForce-Finacials'!E40</f>
        <v>66301000</v>
      </c>
      <c r="P59" s="51">
        <f>'SalesForce-Finacials'!F40</f>
        <v>95209000</v>
      </c>
      <c r="Q59" s="51">
        <f>'SalesForce-Finacials'!G40</f>
        <v>98849000</v>
      </c>
      <c r="R59" s="38"/>
      <c r="S59" s="38"/>
      <c r="T59" s="320"/>
    </row>
    <row r="60" spans="2:20" x14ac:dyDescent="0.3">
      <c r="B60" s="319" t="s">
        <v>141</v>
      </c>
      <c r="C60" s="38"/>
      <c r="D60" s="38"/>
      <c r="E60" s="38"/>
      <c r="F60" s="38"/>
      <c r="G60" s="38"/>
      <c r="H60" s="38"/>
      <c r="I60" s="38"/>
      <c r="J60" s="38"/>
      <c r="K60" s="38"/>
      <c r="L60" s="38"/>
      <c r="M60" s="38"/>
      <c r="N60" s="51">
        <f>'SalesForce-Finacials'!D58</f>
        <v>33885000</v>
      </c>
      <c r="O60" s="51">
        <f>'SalesForce-Finacials'!E58</f>
        <v>41493000</v>
      </c>
      <c r="P60" s="51">
        <f>'SalesForce-Finacials'!F58</f>
        <v>58131000</v>
      </c>
      <c r="Q60" s="51">
        <f>'SalesForce-Finacials'!G58</f>
        <v>58359000</v>
      </c>
      <c r="R60" s="38"/>
      <c r="S60" s="38"/>
      <c r="T60" s="320"/>
    </row>
    <row r="61" spans="2:20" x14ac:dyDescent="0.3">
      <c r="B61" s="319" t="s">
        <v>142</v>
      </c>
      <c r="C61" s="38"/>
      <c r="D61" s="38"/>
      <c r="E61" s="38"/>
      <c r="F61" s="38"/>
      <c r="G61" s="38"/>
      <c r="H61" s="38"/>
      <c r="I61" s="38"/>
      <c r="J61" s="38"/>
      <c r="K61" s="38"/>
      <c r="L61" s="38"/>
      <c r="M61" s="38"/>
      <c r="N61" s="67">
        <f>N57/N58</f>
        <v>7.3692829570710027E-3</v>
      </c>
      <c r="O61" s="67">
        <f t="shared" ref="O61:Q61" si="7">O57/O58</f>
        <v>0.19160549595332205</v>
      </c>
      <c r="P61" s="67">
        <f t="shared" si="7"/>
        <v>5.4507020987467916E-2</v>
      </c>
      <c r="Q61" s="67">
        <f t="shared" si="7"/>
        <v>6.6343454963000764E-3</v>
      </c>
      <c r="R61" s="38"/>
      <c r="S61" s="38"/>
      <c r="T61" s="320"/>
    </row>
    <row r="62" spans="2:20" x14ac:dyDescent="0.3">
      <c r="B62" s="319" t="s">
        <v>143</v>
      </c>
      <c r="C62" s="38"/>
      <c r="D62" s="38"/>
      <c r="E62" s="38"/>
      <c r="F62" s="38"/>
      <c r="G62" s="38"/>
      <c r="H62" s="38"/>
      <c r="I62" s="38"/>
      <c r="J62" s="38"/>
      <c r="K62" s="38"/>
      <c r="L62" s="38"/>
      <c r="M62" s="38"/>
      <c r="N62" s="39">
        <f>N58/N59</f>
        <v>0.31016217392881762</v>
      </c>
      <c r="O62" s="39">
        <f t="shared" ref="O62:Q62" si="8">O58/O59</f>
        <v>0.32053815176241685</v>
      </c>
      <c r="P62" s="39">
        <f t="shared" si="8"/>
        <v>0.27825100568223593</v>
      </c>
      <c r="Q62" s="39">
        <f t="shared" si="8"/>
        <v>0.31717063399730905</v>
      </c>
      <c r="R62" s="38"/>
      <c r="S62" s="38"/>
      <c r="T62" s="320"/>
    </row>
    <row r="63" spans="2:20" x14ac:dyDescent="0.3">
      <c r="B63" s="319" t="s">
        <v>144</v>
      </c>
      <c r="C63" s="38"/>
      <c r="D63" s="38"/>
      <c r="E63" s="38"/>
      <c r="F63" s="38"/>
      <c r="G63" s="38"/>
      <c r="H63" s="38"/>
      <c r="I63" s="38"/>
      <c r="J63" s="38"/>
      <c r="K63" s="38"/>
      <c r="L63" s="38"/>
      <c r="M63" s="38"/>
      <c r="N63" s="39">
        <f>N59/N60</f>
        <v>1.6268555407997638</v>
      </c>
      <c r="O63" s="39">
        <f t="shared" ref="O63:Q63" si="9">O59/O60</f>
        <v>1.5978839804304341</v>
      </c>
      <c r="P63" s="39">
        <f t="shared" si="9"/>
        <v>1.6378352342123823</v>
      </c>
      <c r="Q63" s="39">
        <f t="shared" si="9"/>
        <v>1.6938090097499958</v>
      </c>
      <c r="R63" s="38"/>
      <c r="S63" s="38"/>
      <c r="T63" s="320"/>
    </row>
    <row r="64" spans="2:20" x14ac:dyDescent="0.3">
      <c r="B64" s="329" t="s">
        <v>145</v>
      </c>
      <c r="C64" s="255"/>
      <c r="D64" s="255"/>
      <c r="E64" s="255"/>
      <c r="F64" s="255"/>
      <c r="G64" s="255"/>
      <c r="H64" s="255"/>
      <c r="I64" s="255"/>
      <c r="J64" s="255"/>
      <c r="K64" s="255"/>
      <c r="L64" s="255"/>
      <c r="M64" s="255"/>
      <c r="N64" s="330">
        <f>N61*N62*N63</f>
        <v>3.7184594953519256E-3</v>
      </c>
      <c r="O64" s="330">
        <f t="shared" ref="O64:Q64" si="10">O61*O62*O63</f>
        <v>9.8137035162557548E-2</v>
      </c>
      <c r="P64" s="330">
        <f t="shared" si="10"/>
        <v>2.4840446577557587E-2</v>
      </c>
      <c r="Q64" s="330">
        <f t="shared" si="10"/>
        <v>3.564146061447249E-3</v>
      </c>
      <c r="R64" s="255"/>
      <c r="S64" s="255"/>
      <c r="T64" s="331"/>
    </row>
    <row r="65" spans="2:20" x14ac:dyDescent="0.3">
      <c r="B65" s="319"/>
      <c r="C65" s="38"/>
      <c r="D65" s="38"/>
      <c r="E65" s="38"/>
      <c r="F65" s="38"/>
      <c r="G65" s="38"/>
      <c r="H65" s="38"/>
      <c r="I65" s="38"/>
      <c r="J65" s="38"/>
      <c r="K65" s="38"/>
      <c r="L65" s="38"/>
      <c r="M65" s="38"/>
      <c r="N65" s="38"/>
      <c r="O65" s="38"/>
      <c r="P65" s="38"/>
      <c r="Q65" s="38"/>
      <c r="R65" s="38"/>
      <c r="S65" s="38"/>
      <c r="T65" s="320"/>
    </row>
    <row r="66" spans="2:20" x14ac:dyDescent="0.3">
      <c r="B66" s="507" t="s">
        <v>254</v>
      </c>
      <c r="C66" s="470"/>
      <c r="D66" s="470"/>
      <c r="E66" s="470"/>
      <c r="F66" s="470"/>
      <c r="G66" s="470"/>
      <c r="H66" s="470"/>
      <c r="I66" s="470"/>
      <c r="J66" s="470"/>
      <c r="K66" s="470"/>
      <c r="L66" s="470"/>
      <c r="M66" s="470"/>
      <c r="N66" s="470"/>
      <c r="O66" s="470"/>
      <c r="P66" s="470"/>
      <c r="Q66" s="470"/>
      <c r="R66" s="470"/>
      <c r="S66" s="470"/>
      <c r="T66" s="508"/>
    </row>
    <row r="67" spans="2:20" x14ac:dyDescent="0.3">
      <c r="B67" s="319"/>
      <c r="C67" s="38"/>
      <c r="D67" s="38"/>
      <c r="E67" s="38"/>
      <c r="F67" s="38"/>
      <c r="G67" s="38"/>
      <c r="H67" s="38"/>
      <c r="I67" s="38"/>
      <c r="J67" s="38"/>
      <c r="K67" s="38"/>
      <c r="L67" s="38"/>
      <c r="M67" s="38"/>
      <c r="N67" s="49">
        <f>N56</f>
        <v>43831</v>
      </c>
      <c r="O67" s="49">
        <f t="shared" ref="O67:Q67" si="11">O56</f>
        <v>44197</v>
      </c>
      <c r="P67" s="49">
        <f t="shared" si="11"/>
        <v>44563</v>
      </c>
      <c r="Q67" s="49">
        <f t="shared" si="11"/>
        <v>44929</v>
      </c>
      <c r="R67" s="38"/>
      <c r="S67" s="38"/>
      <c r="T67" s="320"/>
    </row>
    <row r="68" spans="2:20" x14ac:dyDescent="0.3">
      <c r="B68" s="319" t="s">
        <v>23</v>
      </c>
      <c r="C68" s="38"/>
      <c r="D68" s="38"/>
      <c r="E68" s="38"/>
      <c r="F68" s="38"/>
      <c r="G68" s="38"/>
      <c r="H68" s="38"/>
      <c r="I68" s="38"/>
      <c r="J68" s="38"/>
      <c r="K68" s="38"/>
      <c r="L68" s="38"/>
      <c r="M68" s="38"/>
      <c r="N68" s="51">
        <f>N57</f>
        <v>126000</v>
      </c>
      <c r="O68" s="51">
        <f t="shared" ref="O68:Q68" si="12">O57</f>
        <v>4072000</v>
      </c>
      <c r="P68" s="51">
        <f t="shared" si="12"/>
        <v>1444000</v>
      </c>
      <c r="Q68" s="51">
        <f t="shared" si="12"/>
        <v>208000</v>
      </c>
      <c r="R68" s="38"/>
      <c r="S68" s="38"/>
      <c r="T68" s="320"/>
    </row>
    <row r="69" spans="2:20" x14ac:dyDescent="0.3">
      <c r="B69" s="319" t="s">
        <v>139</v>
      </c>
      <c r="C69" s="38"/>
      <c r="D69" s="38"/>
      <c r="E69" s="38"/>
      <c r="F69" s="38"/>
      <c r="G69" s="38"/>
      <c r="H69" s="38"/>
      <c r="I69" s="38"/>
      <c r="J69" s="38"/>
      <c r="K69" s="38"/>
      <c r="L69" s="38"/>
      <c r="M69" s="38"/>
      <c r="N69" s="51">
        <f t="shared" ref="N69:Q69" si="13">N58</f>
        <v>17098000</v>
      </c>
      <c r="O69" s="51">
        <f t="shared" si="13"/>
        <v>21252000</v>
      </c>
      <c r="P69" s="51">
        <f t="shared" si="13"/>
        <v>26492000</v>
      </c>
      <c r="Q69" s="51">
        <f t="shared" si="13"/>
        <v>31352000</v>
      </c>
      <c r="R69" s="38"/>
      <c r="S69" s="38"/>
      <c r="T69" s="320"/>
    </row>
    <row r="70" spans="2:20" x14ac:dyDescent="0.3">
      <c r="B70" s="319" t="s">
        <v>39</v>
      </c>
      <c r="C70" s="38"/>
      <c r="D70" s="38"/>
      <c r="E70" s="38"/>
      <c r="F70" s="38"/>
      <c r="G70" s="38"/>
      <c r="H70" s="38"/>
      <c r="I70" s="38"/>
      <c r="J70" s="38"/>
      <c r="K70" s="38"/>
      <c r="L70" s="38"/>
      <c r="M70" s="38"/>
      <c r="N70" s="51">
        <f t="shared" ref="N70:Q70" si="14">N59</f>
        <v>55126000</v>
      </c>
      <c r="O70" s="51">
        <f t="shared" si="14"/>
        <v>66301000</v>
      </c>
      <c r="P70" s="51">
        <f t="shared" si="14"/>
        <v>95209000</v>
      </c>
      <c r="Q70" s="51">
        <f t="shared" si="14"/>
        <v>98849000</v>
      </c>
      <c r="R70" s="38"/>
      <c r="S70" s="38"/>
      <c r="T70" s="320"/>
    </row>
    <row r="71" spans="2:20" x14ac:dyDescent="0.3">
      <c r="B71" s="319" t="s">
        <v>142</v>
      </c>
      <c r="C71" s="38"/>
      <c r="D71" s="38"/>
      <c r="E71" s="38"/>
      <c r="F71" s="38"/>
      <c r="G71" s="38"/>
      <c r="H71" s="38"/>
      <c r="I71" s="38"/>
      <c r="J71" s="38"/>
      <c r="K71" s="38"/>
      <c r="L71" s="38"/>
      <c r="M71" s="38"/>
      <c r="N71" s="67">
        <f>N68/N69</f>
        <v>7.3692829570710027E-3</v>
      </c>
      <c r="O71" s="67">
        <f t="shared" ref="O71:Q71" si="15">O68/O69</f>
        <v>0.19160549595332205</v>
      </c>
      <c r="P71" s="67">
        <f t="shared" si="15"/>
        <v>5.4507020987467916E-2</v>
      </c>
      <c r="Q71" s="67">
        <f t="shared" si="15"/>
        <v>6.6343454963000764E-3</v>
      </c>
      <c r="R71" s="38"/>
      <c r="S71" s="38"/>
      <c r="T71" s="320"/>
    </row>
    <row r="72" spans="2:20" x14ac:dyDescent="0.3">
      <c r="B72" s="319" t="s">
        <v>143</v>
      </c>
      <c r="C72" s="38"/>
      <c r="D72" s="38"/>
      <c r="E72" s="38"/>
      <c r="F72" s="38"/>
      <c r="G72" s="38"/>
      <c r="H72" s="38"/>
      <c r="I72" s="38"/>
      <c r="J72" s="38"/>
      <c r="K72" s="38"/>
      <c r="L72" s="38"/>
      <c r="M72" s="38"/>
      <c r="N72" s="39">
        <f>N69/N70</f>
        <v>0.31016217392881762</v>
      </c>
      <c r="O72" s="39">
        <f t="shared" ref="O72:Q72" si="16">O69/O70</f>
        <v>0.32053815176241685</v>
      </c>
      <c r="P72" s="39">
        <f t="shared" si="16"/>
        <v>0.27825100568223593</v>
      </c>
      <c r="Q72" s="39">
        <f t="shared" si="16"/>
        <v>0.31717063399730905</v>
      </c>
      <c r="R72" s="38"/>
      <c r="S72" s="38"/>
      <c r="T72" s="320"/>
    </row>
    <row r="73" spans="2:20" x14ac:dyDescent="0.3">
      <c r="B73" s="329" t="s">
        <v>147</v>
      </c>
      <c r="C73" s="255"/>
      <c r="D73" s="255"/>
      <c r="E73" s="255"/>
      <c r="F73" s="255"/>
      <c r="G73" s="255"/>
      <c r="H73" s="255"/>
      <c r="I73" s="255"/>
      <c r="J73" s="255"/>
      <c r="K73" s="255"/>
      <c r="L73" s="255"/>
      <c r="M73" s="255"/>
      <c r="N73" s="330">
        <f>N71*N72</f>
        <v>2.2856728222617278E-3</v>
      </c>
      <c r="O73" s="330">
        <f t="shared" ref="O73:Q73" si="17">O71*O72</f>
        <v>6.1416871540399091E-2</v>
      </c>
      <c r="P73" s="330">
        <f t="shared" si="17"/>
        <v>1.5166633406505689E-2</v>
      </c>
      <c r="Q73" s="330">
        <f t="shared" si="17"/>
        <v>2.104219567218687E-3</v>
      </c>
      <c r="R73" s="255"/>
      <c r="S73" s="255"/>
      <c r="T73" s="331"/>
    </row>
    <row r="74" spans="2:20" x14ac:dyDescent="0.3">
      <c r="B74" s="319"/>
      <c r="C74" s="38"/>
      <c r="D74" s="38"/>
      <c r="E74" s="38"/>
      <c r="F74" s="38"/>
      <c r="G74" s="38"/>
      <c r="H74" s="38"/>
      <c r="I74" s="38"/>
      <c r="J74" s="38"/>
      <c r="K74" s="38"/>
      <c r="L74" s="38"/>
      <c r="M74" s="38"/>
      <c r="N74" s="38"/>
      <c r="O74" s="38"/>
      <c r="P74" s="38"/>
      <c r="Q74" s="38"/>
      <c r="R74" s="38"/>
      <c r="S74" s="38"/>
      <c r="T74" s="320"/>
    </row>
    <row r="75" spans="2:20" x14ac:dyDescent="0.3">
      <c r="B75" s="332" t="s">
        <v>194</v>
      </c>
      <c r="C75" s="38"/>
      <c r="D75" s="38"/>
      <c r="E75" s="38"/>
      <c r="F75" s="38"/>
      <c r="G75" s="38"/>
      <c r="H75" s="38"/>
      <c r="I75" s="38"/>
      <c r="J75" s="38"/>
      <c r="K75" s="38"/>
      <c r="L75" s="38"/>
      <c r="M75" s="38"/>
      <c r="N75" s="38"/>
      <c r="O75" s="38"/>
      <c r="P75" s="38"/>
      <c r="Q75" s="38"/>
      <c r="R75" s="38"/>
      <c r="S75" s="38"/>
      <c r="T75" s="320"/>
    </row>
    <row r="76" spans="2:20" x14ac:dyDescent="0.3">
      <c r="B76" s="333" t="s">
        <v>303</v>
      </c>
      <c r="C76" s="38"/>
      <c r="D76" s="38"/>
      <c r="E76" s="38"/>
      <c r="F76" s="38"/>
      <c r="G76" s="38"/>
      <c r="H76" s="38"/>
      <c r="I76" s="38"/>
      <c r="J76" s="38"/>
      <c r="K76" s="38"/>
      <c r="L76" s="38"/>
      <c r="M76" s="38"/>
      <c r="N76" s="38"/>
      <c r="O76" s="38"/>
      <c r="P76" s="38"/>
      <c r="Q76" s="38"/>
      <c r="R76" s="38"/>
      <c r="S76" s="38"/>
      <c r="T76" s="320"/>
    </row>
    <row r="77" spans="2:20" x14ac:dyDescent="0.3">
      <c r="B77" s="333" t="s">
        <v>304</v>
      </c>
      <c r="C77" s="38"/>
      <c r="D77" s="38"/>
      <c r="E77" s="38"/>
      <c r="F77" s="38"/>
      <c r="G77" s="38"/>
      <c r="H77" s="38"/>
      <c r="I77" s="38"/>
      <c r="J77" s="38"/>
      <c r="K77" s="38"/>
      <c r="L77" s="38"/>
      <c r="M77" s="38"/>
      <c r="N77" s="38"/>
      <c r="O77" s="38"/>
      <c r="P77" s="38"/>
      <c r="Q77" s="38"/>
      <c r="R77" s="38"/>
      <c r="S77" s="38"/>
      <c r="T77" s="320"/>
    </row>
    <row r="78" spans="2:20" ht="15" thickBot="1" x14ac:dyDescent="0.35">
      <c r="B78" s="334" t="s">
        <v>305</v>
      </c>
      <c r="C78" s="321"/>
      <c r="D78" s="321"/>
      <c r="E78" s="321"/>
      <c r="F78" s="321"/>
      <c r="G78" s="321"/>
      <c r="H78" s="321"/>
      <c r="I78" s="321"/>
      <c r="J78" s="321"/>
      <c r="K78" s="321"/>
      <c r="L78" s="321"/>
      <c r="M78" s="321"/>
      <c r="N78" s="321"/>
      <c r="O78" s="321"/>
      <c r="P78" s="321"/>
      <c r="Q78" s="321"/>
      <c r="R78" s="321"/>
      <c r="S78" s="321"/>
      <c r="T78" s="324"/>
    </row>
    <row r="80" spans="2:20" x14ac:dyDescent="0.3">
      <c r="B80" s="504" t="s">
        <v>209</v>
      </c>
      <c r="C80" s="505"/>
      <c r="D80" s="505"/>
      <c r="E80" s="505"/>
      <c r="F80" s="505"/>
      <c r="G80" s="505"/>
      <c r="H80" s="505"/>
      <c r="I80" s="505"/>
      <c r="J80" s="505"/>
      <c r="K80" s="505"/>
      <c r="L80" s="505"/>
      <c r="M80" s="505"/>
      <c r="N80" s="505"/>
      <c r="O80" s="505"/>
      <c r="P80" s="505"/>
      <c r="Q80" s="505"/>
      <c r="R80" s="505"/>
      <c r="S80" s="505"/>
      <c r="T80" s="506"/>
    </row>
    <row r="81" spans="2:20" x14ac:dyDescent="0.3">
      <c r="B81" s="319"/>
      <c r="C81" s="38"/>
      <c r="D81" s="38"/>
      <c r="E81" s="38"/>
      <c r="F81" s="38"/>
      <c r="G81" s="38"/>
      <c r="H81" s="38"/>
      <c r="I81" s="38"/>
      <c r="J81" s="38"/>
      <c r="K81" s="38"/>
      <c r="L81" s="38"/>
      <c r="M81" s="38"/>
      <c r="N81" s="38"/>
      <c r="O81" s="38"/>
      <c r="P81" s="38"/>
      <c r="Q81" s="38"/>
      <c r="R81" s="38"/>
      <c r="S81" s="38"/>
      <c r="T81" s="320"/>
    </row>
    <row r="82" spans="2:20" x14ac:dyDescent="0.3">
      <c r="B82" s="507" t="s">
        <v>151</v>
      </c>
      <c r="C82" s="470"/>
      <c r="D82" s="470"/>
      <c r="E82" s="470"/>
      <c r="F82" s="470"/>
      <c r="G82" s="470"/>
      <c r="H82" s="470"/>
      <c r="I82" s="470"/>
      <c r="J82" s="470"/>
      <c r="K82" s="470"/>
      <c r="L82" s="470"/>
      <c r="M82" s="470"/>
      <c r="N82" s="470"/>
      <c r="O82" s="470"/>
      <c r="P82" s="470"/>
      <c r="Q82" s="470"/>
      <c r="R82" s="470"/>
      <c r="S82" s="470"/>
      <c r="T82" s="508"/>
    </row>
    <row r="83" spans="2:20" x14ac:dyDescent="0.3">
      <c r="B83" s="319"/>
      <c r="C83" s="38"/>
      <c r="D83" s="38"/>
      <c r="E83" s="38"/>
      <c r="F83" s="38"/>
      <c r="G83" s="38"/>
      <c r="H83" s="38"/>
      <c r="I83" s="38"/>
      <c r="J83" s="38"/>
      <c r="K83" s="38"/>
      <c r="L83" s="38"/>
      <c r="M83" s="38"/>
      <c r="N83" s="49">
        <f>N67</f>
        <v>43831</v>
      </c>
      <c r="O83" s="49">
        <f t="shared" ref="O83:Q83" si="18">O67</f>
        <v>44197</v>
      </c>
      <c r="P83" s="49">
        <f t="shared" si="18"/>
        <v>44563</v>
      </c>
      <c r="Q83" s="49">
        <f t="shared" si="18"/>
        <v>44929</v>
      </c>
      <c r="R83" s="38"/>
      <c r="S83" s="38"/>
      <c r="T83" s="320"/>
    </row>
    <row r="84" spans="2:20" x14ac:dyDescent="0.3">
      <c r="B84" s="319" t="s">
        <v>152</v>
      </c>
      <c r="C84" s="38"/>
      <c r="D84" s="38"/>
      <c r="E84" s="38"/>
      <c r="F84" s="38"/>
      <c r="G84" s="38"/>
      <c r="H84" s="38"/>
      <c r="I84" s="38"/>
      <c r="J84" s="38"/>
      <c r="K84" s="38"/>
      <c r="L84" s="38"/>
      <c r="M84" s="38"/>
      <c r="N84" s="51">
        <f>'SalesForce-Finacials'!D32-'SalesForce-Finacials'!D45</f>
        <v>1118000</v>
      </c>
      <c r="O84" s="51">
        <f>'SalesForce-Finacials'!E32-'SalesForce-Finacials'!E45</f>
        <v>4161000</v>
      </c>
      <c r="P84" s="51">
        <f>'SalesForce-Finacials'!F32-'SalesForce-Finacials'!F45</f>
        <v>1062000</v>
      </c>
      <c r="Q84" s="51">
        <f>'SalesForce-Finacials'!G32-'SalesForce-Finacials'!G45</f>
        <v>504000</v>
      </c>
      <c r="R84" s="38"/>
      <c r="S84" s="38"/>
      <c r="T84" s="320"/>
    </row>
    <row r="85" spans="2:20" x14ac:dyDescent="0.3">
      <c r="B85" s="319" t="s">
        <v>39</v>
      </c>
      <c r="C85" s="38"/>
      <c r="D85" s="38"/>
      <c r="E85" s="38"/>
      <c r="F85" s="38"/>
      <c r="G85" s="38"/>
      <c r="H85" s="38"/>
      <c r="I85" s="38"/>
      <c r="J85" s="38"/>
      <c r="K85" s="38"/>
      <c r="L85" s="38"/>
      <c r="M85" s="38"/>
      <c r="N85" s="51">
        <f>N70</f>
        <v>55126000</v>
      </c>
      <c r="O85" s="51">
        <f t="shared" ref="O85:Q85" si="19">O70</f>
        <v>66301000</v>
      </c>
      <c r="P85" s="51">
        <f t="shared" si="19"/>
        <v>95209000</v>
      </c>
      <c r="Q85" s="51">
        <f t="shared" si="19"/>
        <v>98849000</v>
      </c>
      <c r="R85" s="38"/>
      <c r="S85" s="38"/>
      <c r="T85" s="320"/>
    </row>
    <row r="86" spans="2:20" x14ac:dyDescent="0.3">
      <c r="B86" s="319" t="s">
        <v>161</v>
      </c>
      <c r="C86" s="38"/>
      <c r="D86" s="38"/>
      <c r="E86" s="38"/>
      <c r="F86" s="38"/>
      <c r="G86" s="38"/>
      <c r="H86" s="38"/>
      <c r="I86" s="38"/>
      <c r="J86" s="38"/>
      <c r="K86" s="38"/>
      <c r="L86" s="38"/>
      <c r="M86" s="38"/>
      <c r="N86" s="39">
        <f>N84/N85</f>
        <v>2.0280811232449299E-2</v>
      </c>
      <c r="O86" s="39">
        <f t="shared" ref="O86:Q86" si="20">O84/O85</f>
        <v>6.2759234400687772E-2</v>
      </c>
      <c r="P86" s="39">
        <f t="shared" si="20"/>
        <v>1.1154407671543657E-2</v>
      </c>
      <c r="Q86" s="39">
        <f t="shared" si="20"/>
        <v>5.0986858744145108E-3</v>
      </c>
      <c r="R86" s="38"/>
      <c r="S86" s="38"/>
      <c r="T86" s="320"/>
    </row>
    <row r="87" spans="2:20" x14ac:dyDescent="0.3">
      <c r="B87" s="319"/>
      <c r="C87" s="38"/>
      <c r="D87" s="38"/>
      <c r="E87" s="38"/>
      <c r="F87" s="38"/>
      <c r="G87" s="38"/>
      <c r="H87" s="38"/>
      <c r="I87" s="38"/>
      <c r="J87" s="38"/>
      <c r="K87" s="38"/>
      <c r="L87" s="38"/>
      <c r="M87" s="38"/>
      <c r="N87" s="38"/>
      <c r="O87" s="38"/>
      <c r="P87" s="38"/>
      <c r="Q87" s="38"/>
      <c r="R87" s="38"/>
      <c r="S87" s="38"/>
      <c r="T87" s="320"/>
    </row>
    <row r="88" spans="2:20" x14ac:dyDescent="0.3">
      <c r="B88" s="507" t="s">
        <v>153</v>
      </c>
      <c r="C88" s="470"/>
      <c r="D88" s="470"/>
      <c r="E88" s="470"/>
      <c r="F88" s="470"/>
      <c r="G88" s="470"/>
      <c r="H88" s="470"/>
      <c r="I88" s="470"/>
      <c r="J88" s="470"/>
      <c r="K88" s="470"/>
      <c r="L88" s="470"/>
      <c r="M88" s="470"/>
      <c r="N88" s="470"/>
      <c r="O88" s="470"/>
      <c r="P88" s="470"/>
      <c r="Q88" s="470"/>
      <c r="R88" s="470"/>
      <c r="S88" s="470"/>
      <c r="T88" s="508"/>
    </row>
    <row r="89" spans="2:20" x14ac:dyDescent="0.3">
      <c r="B89" s="319"/>
      <c r="C89" s="38"/>
      <c r="D89" s="38"/>
      <c r="E89" s="38"/>
      <c r="F89" s="38"/>
      <c r="G89" s="38"/>
      <c r="H89" s="38"/>
      <c r="I89" s="38"/>
      <c r="J89" s="38"/>
      <c r="K89" s="38"/>
      <c r="L89" s="38"/>
      <c r="M89" s="38"/>
      <c r="N89" s="49">
        <f>N83</f>
        <v>43831</v>
      </c>
      <c r="O89" s="49">
        <f t="shared" ref="O89:Q89" si="21">O83</f>
        <v>44197</v>
      </c>
      <c r="P89" s="49">
        <f t="shared" si="21"/>
        <v>44563</v>
      </c>
      <c r="Q89" s="49">
        <f t="shared" si="21"/>
        <v>44929</v>
      </c>
      <c r="R89" s="38"/>
      <c r="S89" s="38"/>
      <c r="T89" s="320"/>
    </row>
    <row r="90" spans="2:20" x14ac:dyDescent="0.3">
      <c r="B90" s="319" t="s">
        <v>186</v>
      </c>
      <c r="C90" s="38"/>
      <c r="D90" s="38"/>
      <c r="E90" s="38"/>
      <c r="F90" s="38"/>
      <c r="G90" s="38"/>
      <c r="H90" s="38"/>
      <c r="I90" s="38"/>
      <c r="J90" s="38"/>
      <c r="K90" s="38"/>
      <c r="L90" s="38"/>
      <c r="M90" s="38"/>
      <c r="N90" s="51">
        <f>'SalesForce-Finacials'!D14</f>
        <v>706000</v>
      </c>
      <c r="O90" s="51">
        <f>'SalesForce-Finacials'!E14</f>
        <v>2561000</v>
      </c>
      <c r="P90" s="51">
        <f>'SalesForce-Finacials'!F14</f>
        <v>1532000</v>
      </c>
      <c r="Q90" s="51">
        <f>'SalesForce-Finacials'!G14</f>
        <v>660000</v>
      </c>
      <c r="R90" s="38"/>
      <c r="S90" s="38"/>
      <c r="T90" s="320"/>
    </row>
    <row r="91" spans="2:20" x14ac:dyDescent="0.3">
      <c r="B91" s="319" t="s">
        <v>39</v>
      </c>
      <c r="C91" s="38"/>
      <c r="D91" s="38"/>
      <c r="E91" s="38"/>
      <c r="F91" s="38"/>
      <c r="G91" s="38"/>
      <c r="H91" s="38"/>
      <c r="I91" s="38"/>
      <c r="J91" s="38"/>
      <c r="K91" s="38"/>
      <c r="L91" s="38"/>
      <c r="M91" s="38"/>
      <c r="N91" s="51">
        <f>N85</f>
        <v>55126000</v>
      </c>
      <c r="O91" s="51">
        <f t="shared" ref="O91:Q91" si="22">O85</f>
        <v>66301000</v>
      </c>
      <c r="P91" s="51">
        <f t="shared" si="22"/>
        <v>95209000</v>
      </c>
      <c r="Q91" s="51">
        <f t="shared" si="22"/>
        <v>98849000</v>
      </c>
      <c r="R91" s="38"/>
      <c r="S91" s="38"/>
      <c r="T91" s="320"/>
    </row>
    <row r="92" spans="2:20" x14ac:dyDescent="0.3">
      <c r="B92" s="319" t="s">
        <v>237</v>
      </c>
      <c r="C92" s="38"/>
      <c r="D92" s="38"/>
      <c r="E92" s="38"/>
      <c r="F92" s="38"/>
      <c r="G92" s="38"/>
      <c r="H92" s="38"/>
      <c r="I92" s="38"/>
      <c r="J92" s="38"/>
      <c r="K92" s="38"/>
      <c r="L92" s="38"/>
      <c r="M92" s="38"/>
      <c r="N92" s="39">
        <f>N90/N91</f>
        <v>1.2807023908863331E-2</v>
      </c>
      <c r="O92" s="39">
        <f t="shared" ref="O92:Q92" si="23">O90/O91</f>
        <v>3.8626868373026049E-2</v>
      </c>
      <c r="P92" s="39">
        <f t="shared" si="23"/>
        <v>1.6090915774769191E-2</v>
      </c>
      <c r="Q92" s="39">
        <f t="shared" si="23"/>
        <v>6.6768505498285263E-3</v>
      </c>
      <c r="R92" s="38"/>
      <c r="S92" s="38"/>
      <c r="T92" s="320"/>
    </row>
    <row r="93" spans="2:20" x14ac:dyDescent="0.3">
      <c r="B93" s="319"/>
      <c r="C93" s="38"/>
      <c r="D93" s="38"/>
      <c r="E93" s="38"/>
      <c r="F93" s="38"/>
      <c r="G93" s="38"/>
      <c r="H93" s="38"/>
      <c r="I93" s="38"/>
      <c r="J93" s="38"/>
      <c r="K93" s="38"/>
      <c r="L93" s="38"/>
      <c r="M93" s="38"/>
      <c r="N93" s="38"/>
      <c r="O93" s="38"/>
      <c r="P93" s="38"/>
      <c r="Q93" s="38"/>
      <c r="R93" s="38"/>
      <c r="S93" s="38"/>
      <c r="T93" s="320"/>
    </row>
    <row r="94" spans="2:20" x14ac:dyDescent="0.3">
      <c r="B94" s="507" t="s">
        <v>154</v>
      </c>
      <c r="C94" s="470"/>
      <c r="D94" s="470"/>
      <c r="E94" s="470"/>
      <c r="F94" s="470"/>
      <c r="G94" s="470"/>
      <c r="H94" s="470"/>
      <c r="I94" s="470"/>
      <c r="J94" s="470"/>
      <c r="K94" s="470"/>
      <c r="L94" s="470"/>
      <c r="M94" s="470"/>
      <c r="N94" s="470"/>
      <c r="O94" s="470"/>
      <c r="P94" s="470"/>
      <c r="Q94" s="470"/>
      <c r="R94" s="470"/>
      <c r="S94" s="470"/>
      <c r="T94" s="508"/>
    </row>
    <row r="95" spans="2:20" x14ac:dyDescent="0.3">
      <c r="B95" s="319"/>
      <c r="C95" s="38"/>
      <c r="D95" s="38"/>
      <c r="E95" s="38"/>
      <c r="F95" s="38"/>
      <c r="G95" s="38"/>
      <c r="H95" s="38"/>
      <c r="I95" s="38"/>
      <c r="J95" s="38"/>
      <c r="K95" s="38"/>
      <c r="L95" s="38"/>
      <c r="M95" s="38"/>
      <c r="N95" s="49">
        <f>N89</f>
        <v>43831</v>
      </c>
      <c r="O95" s="49">
        <f t="shared" ref="O95:Q95" si="24">O89</f>
        <v>44197</v>
      </c>
      <c r="P95" s="49">
        <f t="shared" si="24"/>
        <v>44563</v>
      </c>
      <c r="Q95" s="49">
        <f t="shared" si="24"/>
        <v>44929</v>
      </c>
      <c r="R95" s="38"/>
      <c r="S95" s="38"/>
      <c r="T95" s="320"/>
    </row>
    <row r="96" spans="2:20" x14ac:dyDescent="0.3">
      <c r="B96" s="319" t="s">
        <v>53</v>
      </c>
      <c r="C96" s="38"/>
      <c r="D96" s="38"/>
      <c r="E96" s="38"/>
      <c r="F96" s="38"/>
      <c r="G96" s="38"/>
      <c r="H96" s="38"/>
      <c r="I96" s="38"/>
      <c r="J96" s="38"/>
      <c r="K96" s="38"/>
      <c r="L96" s="38"/>
      <c r="M96" s="38"/>
      <c r="N96" s="51">
        <f>'SalesForce-Finacials'!D55</f>
        <v>0</v>
      </c>
      <c r="O96" s="51">
        <f>'SalesForce-Finacials'!E55</f>
        <v>0</v>
      </c>
      <c r="P96" s="51">
        <f>'SalesForce-Finacials'!F55</f>
        <v>0</v>
      </c>
      <c r="Q96" s="51">
        <f>'SalesForce-Finacials'!G55</f>
        <v>-4000000</v>
      </c>
      <c r="R96" s="38"/>
      <c r="S96" s="38"/>
      <c r="T96" s="320"/>
    </row>
    <row r="97" spans="2:20" x14ac:dyDescent="0.3">
      <c r="B97" s="319" t="s">
        <v>39</v>
      </c>
      <c r="C97" s="38"/>
      <c r="D97" s="38"/>
      <c r="E97" s="38"/>
      <c r="F97" s="38"/>
      <c r="G97" s="38"/>
      <c r="H97" s="38"/>
      <c r="I97" s="38"/>
      <c r="J97" s="38"/>
      <c r="K97" s="38"/>
      <c r="L97" s="38"/>
      <c r="M97" s="38"/>
      <c r="N97" s="51">
        <f>N91</f>
        <v>55126000</v>
      </c>
      <c r="O97" s="51">
        <f t="shared" ref="O97:Q97" si="25">O91</f>
        <v>66301000</v>
      </c>
      <c r="P97" s="51">
        <f t="shared" si="25"/>
        <v>95209000</v>
      </c>
      <c r="Q97" s="51">
        <f t="shared" si="25"/>
        <v>98849000</v>
      </c>
      <c r="R97" s="38"/>
      <c r="S97" s="38"/>
      <c r="T97" s="320"/>
    </row>
    <row r="98" spans="2:20" x14ac:dyDescent="0.3">
      <c r="B98" s="319" t="s">
        <v>238</v>
      </c>
      <c r="C98" s="38"/>
      <c r="D98" s="38"/>
      <c r="E98" s="38"/>
      <c r="F98" s="38"/>
      <c r="G98" s="38"/>
      <c r="H98" s="38"/>
      <c r="I98" s="38"/>
      <c r="J98" s="38"/>
      <c r="K98" s="38"/>
      <c r="L98" s="38"/>
      <c r="M98" s="38"/>
      <c r="N98" s="39">
        <f>N96/N97</f>
        <v>0</v>
      </c>
      <c r="O98" s="39">
        <f t="shared" ref="O98:Q98" si="26">O96/O97</f>
        <v>0</v>
      </c>
      <c r="P98" s="39">
        <f t="shared" si="26"/>
        <v>0</v>
      </c>
      <c r="Q98" s="39">
        <f t="shared" si="26"/>
        <v>-4.0465760908051672E-2</v>
      </c>
      <c r="R98" s="38"/>
      <c r="S98" s="38"/>
      <c r="T98" s="320"/>
    </row>
    <row r="99" spans="2:20" x14ac:dyDescent="0.3">
      <c r="B99" s="319"/>
      <c r="C99" s="38"/>
      <c r="D99" s="38"/>
      <c r="E99" s="38"/>
      <c r="F99" s="38"/>
      <c r="G99" s="38"/>
      <c r="H99" s="38"/>
      <c r="I99" s="38"/>
      <c r="J99" s="38"/>
      <c r="K99" s="38"/>
      <c r="L99" s="38"/>
      <c r="M99" s="38"/>
      <c r="N99" s="38"/>
      <c r="O99" s="38"/>
      <c r="P99" s="38"/>
      <c r="Q99" s="38"/>
      <c r="R99" s="38"/>
      <c r="S99" s="38"/>
      <c r="T99" s="320"/>
    </row>
    <row r="100" spans="2:20" x14ac:dyDescent="0.3">
      <c r="B100" s="507" t="s">
        <v>156</v>
      </c>
      <c r="C100" s="470"/>
      <c r="D100" s="470"/>
      <c r="E100" s="470"/>
      <c r="F100" s="470"/>
      <c r="G100" s="470"/>
      <c r="H100" s="470"/>
      <c r="I100" s="470"/>
      <c r="J100" s="470"/>
      <c r="K100" s="470"/>
      <c r="L100" s="470"/>
      <c r="M100" s="470"/>
      <c r="N100" s="470"/>
      <c r="O100" s="470"/>
      <c r="P100" s="470"/>
      <c r="Q100" s="470"/>
      <c r="R100" s="470"/>
      <c r="S100" s="470"/>
      <c r="T100" s="508"/>
    </row>
    <row r="101" spans="2:20" x14ac:dyDescent="0.3">
      <c r="B101" s="319"/>
      <c r="C101" s="38"/>
      <c r="D101" s="38"/>
      <c r="E101" s="38"/>
      <c r="F101" s="38"/>
      <c r="G101" s="38"/>
      <c r="H101" s="38"/>
      <c r="I101" s="38"/>
      <c r="J101" s="38"/>
      <c r="K101" s="38"/>
      <c r="L101" s="38"/>
      <c r="M101" s="38"/>
      <c r="N101" s="49">
        <f>N95</f>
        <v>43831</v>
      </c>
      <c r="O101" s="49">
        <f t="shared" ref="O101:Q101" si="27">O95</f>
        <v>44197</v>
      </c>
      <c r="P101" s="49">
        <f t="shared" si="27"/>
        <v>44563</v>
      </c>
      <c r="Q101" s="49">
        <f t="shared" si="27"/>
        <v>44929</v>
      </c>
      <c r="R101" s="38"/>
      <c r="S101" s="38"/>
      <c r="T101" s="320"/>
    </row>
    <row r="102" spans="2:20" x14ac:dyDescent="0.3">
      <c r="B102" s="319" t="s">
        <v>213</v>
      </c>
      <c r="C102" s="38"/>
      <c r="D102" s="38"/>
      <c r="E102" s="38"/>
      <c r="F102" s="38"/>
      <c r="G102" s="38"/>
      <c r="H102" s="38"/>
      <c r="I102" s="38"/>
      <c r="J102" s="38"/>
      <c r="K102" s="38"/>
      <c r="L102" s="38"/>
      <c r="M102" s="38"/>
      <c r="N102" s="51">
        <f>'SalesForce-Finacials'!D4</f>
        <v>17098000</v>
      </c>
      <c r="O102" s="51">
        <f>'SalesForce-Finacials'!E4</f>
        <v>21252000</v>
      </c>
      <c r="P102" s="51">
        <f>'SalesForce-Finacials'!F4</f>
        <v>26492000</v>
      </c>
      <c r="Q102" s="51">
        <f>'SalesForce-Finacials'!G4</f>
        <v>31352000</v>
      </c>
      <c r="R102" s="38"/>
      <c r="S102" s="38"/>
      <c r="T102" s="320"/>
    </row>
    <row r="103" spans="2:20" x14ac:dyDescent="0.3">
      <c r="B103" s="319" t="s">
        <v>39</v>
      </c>
      <c r="C103" s="38"/>
      <c r="D103" s="38"/>
      <c r="E103" s="38"/>
      <c r="F103" s="38"/>
      <c r="G103" s="38"/>
      <c r="H103" s="38"/>
      <c r="I103" s="38"/>
      <c r="J103" s="38"/>
      <c r="K103" s="38"/>
      <c r="L103" s="38"/>
      <c r="M103" s="38"/>
      <c r="N103" s="51">
        <f>N97</f>
        <v>55126000</v>
      </c>
      <c r="O103" s="51">
        <f t="shared" ref="O103:Q103" si="28">O97</f>
        <v>66301000</v>
      </c>
      <c r="P103" s="51">
        <f t="shared" si="28"/>
        <v>95209000</v>
      </c>
      <c r="Q103" s="51">
        <f t="shared" si="28"/>
        <v>98849000</v>
      </c>
      <c r="R103" s="38"/>
      <c r="S103" s="38"/>
      <c r="T103" s="320"/>
    </row>
    <row r="104" spans="2:20" x14ac:dyDescent="0.3">
      <c r="B104" s="319" t="s">
        <v>239</v>
      </c>
      <c r="C104" s="38"/>
      <c r="D104" s="38"/>
      <c r="E104" s="38"/>
      <c r="F104" s="38"/>
      <c r="G104" s="38"/>
      <c r="H104" s="38"/>
      <c r="I104" s="38"/>
      <c r="J104" s="38"/>
      <c r="K104" s="38"/>
      <c r="L104" s="38"/>
      <c r="M104" s="38"/>
      <c r="N104" s="39">
        <f>N102/N103</f>
        <v>0.31016217392881762</v>
      </c>
      <c r="O104" s="39">
        <f t="shared" ref="O104:Q104" si="29">O102/O103</f>
        <v>0.32053815176241685</v>
      </c>
      <c r="P104" s="39">
        <f t="shared" si="29"/>
        <v>0.27825100568223593</v>
      </c>
      <c r="Q104" s="39">
        <f t="shared" si="29"/>
        <v>0.31717063399730905</v>
      </c>
      <c r="R104" s="38"/>
      <c r="S104" s="38"/>
      <c r="T104" s="320"/>
    </row>
    <row r="105" spans="2:20" x14ac:dyDescent="0.3">
      <c r="B105" s="319"/>
      <c r="C105" s="38"/>
      <c r="D105" s="38"/>
      <c r="E105" s="38"/>
      <c r="F105" s="38"/>
      <c r="G105" s="38"/>
      <c r="H105" s="38"/>
      <c r="I105" s="38"/>
      <c r="J105" s="38"/>
      <c r="K105" s="38"/>
      <c r="L105" s="38"/>
      <c r="M105" s="38"/>
      <c r="N105" s="38"/>
      <c r="O105" s="38"/>
      <c r="P105" s="38"/>
      <c r="Q105" s="38"/>
      <c r="R105" s="38"/>
      <c r="S105" s="38"/>
      <c r="T105" s="320"/>
    </row>
    <row r="106" spans="2:20" x14ac:dyDescent="0.3">
      <c r="B106" s="507" t="s">
        <v>224</v>
      </c>
      <c r="C106" s="470"/>
      <c r="D106" s="470"/>
      <c r="E106" s="470"/>
      <c r="F106" s="470"/>
      <c r="G106" s="470"/>
      <c r="H106" s="470"/>
      <c r="I106" s="470"/>
      <c r="J106" s="470"/>
      <c r="K106" s="470"/>
      <c r="L106" s="470"/>
      <c r="M106" s="470"/>
      <c r="N106" s="470"/>
      <c r="O106" s="470"/>
      <c r="P106" s="470"/>
      <c r="Q106" s="470"/>
      <c r="R106" s="470"/>
      <c r="S106" s="470"/>
      <c r="T106" s="508"/>
    </row>
    <row r="107" spans="2:20" x14ac:dyDescent="0.3">
      <c r="B107" s="319"/>
      <c r="C107" s="38"/>
      <c r="D107" s="38"/>
      <c r="E107" s="38"/>
      <c r="F107" s="38"/>
      <c r="G107" s="38"/>
      <c r="H107" s="38"/>
      <c r="I107" s="38"/>
      <c r="J107" s="38"/>
      <c r="K107" s="38"/>
      <c r="L107" s="38"/>
      <c r="M107" s="38"/>
      <c r="N107" s="49">
        <f>N101</f>
        <v>43831</v>
      </c>
      <c r="O107" s="49">
        <f t="shared" ref="O107:Q107" si="30">O101</f>
        <v>44197</v>
      </c>
      <c r="P107" s="49">
        <f t="shared" si="30"/>
        <v>44563</v>
      </c>
      <c r="Q107" s="49">
        <f t="shared" si="30"/>
        <v>44929</v>
      </c>
      <c r="R107" s="38"/>
      <c r="S107" s="38"/>
      <c r="T107" s="320"/>
    </row>
    <row r="108" spans="2:20" x14ac:dyDescent="0.3">
      <c r="B108" s="319" t="s">
        <v>160</v>
      </c>
      <c r="C108" s="38"/>
      <c r="D108" s="38"/>
      <c r="E108" s="38"/>
      <c r="F108" s="38"/>
      <c r="G108" s="38"/>
      <c r="H108" s="38"/>
      <c r="I108" s="38"/>
      <c r="J108" s="38"/>
      <c r="K108" s="38"/>
      <c r="L108" s="38"/>
      <c r="M108" s="38"/>
      <c r="N108" s="51">
        <f>'SalesForce-Finacials'!D23</f>
        <v>204220000</v>
      </c>
      <c r="O108" s="51">
        <f>'SalesForce-Finacials'!E23</f>
        <v>250310000</v>
      </c>
      <c r="P108" s="51">
        <f>'SalesForce-Finacials'!F23</f>
        <v>132580000</v>
      </c>
      <c r="Q108" s="51">
        <f>'SalesForce-Finacials'!G23</f>
        <v>205670000</v>
      </c>
      <c r="R108" s="38"/>
      <c r="S108" s="38"/>
      <c r="T108" s="320"/>
    </row>
    <row r="109" spans="2:20" x14ac:dyDescent="0.3">
      <c r="B109" s="319" t="s">
        <v>159</v>
      </c>
      <c r="C109" s="38"/>
      <c r="D109" s="38"/>
      <c r="E109" s="38"/>
      <c r="F109" s="38"/>
      <c r="G109" s="38"/>
      <c r="H109" s="38"/>
      <c r="I109" s="38"/>
      <c r="J109" s="38"/>
      <c r="K109" s="38"/>
      <c r="L109" s="38"/>
      <c r="M109" s="38"/>
      <c r="N109" s="51">
        <f>'SalesForce-Finacials'!D46</f>
        <v>2673000</v>
      </c>
      <c r="O109" s="51">
        <f>'SalesForce-Finacials'!E46</f>
        <v>2673000</v>
      </c>
      <c r="P109" s="51">
        <f>'SalesForce-Finacials'!F46</f>
        <v>10592000</v>
      </c>
      <c r="Q109" s="51">
        <f>'SalesForce-Finacials'!G46</f>
        <v>9419000</v>
      </c>
      <c r="R109" s="38"/>
      <c r="S109" s="38"/>
      <c r="T109" s="320"/>
    </row>
    <row r="110" spans="2:20" ht="15" thickBot="1" x14ac:dyDescent="0.35">
      <c r="B110" s="327" t="s">
        <v>240</v>
      </c>
      <c r="C110" s="321"/>
      <c r="D110" s="321"/>
      <c r="E110" s="321"/>
      <c r="F110" s="321"/>
      <c r="G110" s="321"/>
      <c r="H110" s="321"/>
      <c r="I110" s="321"/>
      <c r="J110" s="321"/>
      <c r="K110" s="321"/>
      <c r="L110" s="321"/>
      <c r="M110" s="321"/>
      <c r="N110" s="322">
        <f>N108/N109</f>
        <v>76.401047512158627</v>
      </c>
      <c r="O110" s="322">
        <f t="shared" ref="O110:Q110" si="31">O108/O109</f>
        <v>93.643845866068091</v>
      </c>
      <c r="P110" s="322">
        <f t="shared" si="31"/>
        <v>12.516993957703928</v>
      </c>
      <c r="Q110" s="322">
        <f t="shared" si="31"/>
        <v>21.835651343030047</v>
      </c>
      <c r="R110" s="321"/>
      <c r="S110" s="321"/>
      <c r="T110" s="324"/>
    </row>
    <row r="112" spans="2:20" x14ac:dyDescent="0.3">
      <c r="B112" s="504" t="s">
        <v>166</v>
      </c>
      <c r="C112" s="505"/>
      <c r="D112" s="505"/>
      <c r="E112" s="505"/>
      <c r="F112" s="505"/>
      <c r="G112" s="505"/>
      <c r="H112" s="505"/>
      <c r="I112" s="505"/>
      <c r="J112" s="505"/>
      <c r="K112" s="505"/>
      <c r="L112" s="505"/>
      <c r="M112" s="505"/>
      <c r="N112" s="505"/>
      <c r="O112" s="505"/>
      <c r="P112" s="505"/>
      <c r="Q112" s="505"/>
      <c r="R112" s="505"/>
      <c r="S112" s="505"/>
      <c r="T112" s="506"/>
    </row>
    <row r="113" spans="2:20" x14ac:dyDescent="0.3">
      <c r="B113" s="319"/>
      <c r="C113" s="38"/>
      <c r="D113" s="88" t="s">
        <v>169</v>
      </c>
      <c r="E113" s="88" t="s">
        <v>170</v>
      </c>
      <c r="F113" s="88" t="s">
        <v>171</v>
      </c>
      <c r="G113" s="88" t="s">
        <v>172</v>
      </c>
      <c r="H113" s="88" t="s">
        <v>173</v>
      </c>
      <c r="I113" s="38"/>
      <c r="J113" s="38"/>
      <c r="K113" s="38"/>
      <c r="L113" s="38"/>
      <c r="M113" s="38"/>
      <c r="N113" s="38"/>
      <c r="O113" s="38"/>
      <c r="P113" s="38"/>
      <c r="Q113" s="37" t="s">
        <v>166</v>
      </c>
      <c r="R113" s="38"/>
      <c r="S113" s="37" t="s">
        <v>174</v>
      </c>
      <c r="T113" s="320"/>
    </row>
    <row r="114" spans="2:20" x14ac:dyDescent="0.3">
      <c r="B114" s="319" t="s">
        <v>226</v>
      </c>
      <c r="C114" s="38" t="s">
        <v>168</v>
      </c>
      <c r="D114" s="88">
        <v>1.2</v>
      </c>
      <c r="E114" s="88">
        <v>3.3</v>
      </c>
      <c r="F114" s="88">
        <v>1.4</v>
      </c>
      <c r="G114" s="88">
        <v>1</v>
      </c>
      <c r="H114" s="88">
        <v>0.6</v>
      </c>
      <c r="I114" s="38"/>
      <c r="J114" s="38"/>
      <c r="K114" s="38"/>
      <c r="L114" s="38"/>
      <c r="M114" s="38"/>
      <c r="N114" s="38"/>
      <c r="O114" s="38"/>
      <c r="P114" s="38"/>
      <c r="Q114" s="38"/>
      <c r="R114" s="38"/>
      <c r="S114" s="38"/>
      <c r="T114" s="320"/>
    </row>
    <row r="115" spans="2:20" x14ac:dyDescent="0.3">
      <c r="B115" s="325">
        <f t="array" ref="B115:B118">TRANSPOSE(N107:Q107)</f>
        <v>43831</v>
      </c>
      <c r="C115" s="38"/>
      <c r="D115" s="39">
        <f t="array" ref="D115:D118">TRANSPOSE(N86:Q86)</f>
        <v>2.0280811232449299E-2</v>
      </c>
      <c r="E115" s="39">
        <f t="array" ref="E115:E118">TRANSPOSE(N92:Q92)</f>
        <v>1.2807023908863331E-2</v>
      </c>
      <c r="F115" s="39">
        <f t="array" ref="F115:F118">TRANSPOSE(N98:Q98)</f>
        <v>0</v>
      </c>
      <c r="G115" s="39">
        <f t="array" ref="G115:G118">TRANSPOSE(N104:Q104)</f>
        <v>0.31016217392881762</v>
      </c>
      <c r="H115" s="39">
        <f t="array" ref="H115:H118">TRANSPOSE(N110:Q110)</f>
        <v>76.401047512158627</v>
      </c>
      <c r="I115" s="38"/>
      <c r="J115" s="38"/>
      <c r="K115" s="38"/>
      <c r="L115" s="38"/>
      <c r="M115" s="38"/>
      <c r="N115" s="38"/>
      <c r="O115" s="38"/>
      <c r="P115" s="38"/>
      <c r="Q115" s="65">
        <f>SUMPRODUCT(D115:H115,$D$114:$H$114)</f>
        <v>46.217390833602181</v>
      </c>
      <c r="R115" s="38"/>
      <c r="S115" s="38" t="str">
        <f>IF(Q115&lt;3.1,"Distress Zone", " Safe Zone")</f>
        <v xml:space="preserve"> Safe Zone</v>
      </c>
      <c r="T115" s="320"/>
    </row>
    <row r="116" spans="2:20" x14ac:dyDescent="0.3">
      <c r="B116" s="325">
        <v>44197</v>
      </c>
      <c r="C116" s="38"/>
      <c r="D116" s="39">
        <v>6.2759234400687772E-2</v>
      </c>
      <c r="E116" s="39">
        <v>3.8626868373026049E-2</v>
      </c>
      <c r="F116" s="39">
        <v>0</v>
      </c>
      <c r="G116" s="39">
        <v>0.32053815176241685</v>
      </c>
      <c r="H116" s="39">
        <v>93.643845866068091</v>
      </c>
      <c r="I116" s="38"/>
      <c r="J116" s="38"/>
      <c r="K116" s="38"/>
      <c r="L116" s="38"/>
      <c r="M116" s="38"/>
      <c r="N116" s="38"/>
      <c r="O116" s="38"/>
      <c r="P116" s="38"/>
      <c r="Q116" s="65">
        <f t="shared" ref="Q116:Q118" si="32">SUMPRODUCT(D116:H116,$D$114:$H$114)</f>
        <v>56.709625418315085</v>
      </c>
      <c r="R116" s="38"/>
      <c r="S116" s="38" t="str">
        <f t="shared" ref="S116:S118" si="33">IF(Q116&lt;3.1,"Distress Zone", " Safe Zone")</f>
        <v xml:space="preserve"> Safe Zone</v>
      </c>
      <c r="T116" s="320"/>
    </row>
    <row r="117" spans="2:20" x14ac:dyDescent="0.3">
      <c r="B117" s="325">
        <v>44563</v>
      </c>
      <c r="C117" s="38"/>
      <c r="D117" s="39">
        <v>1.1154407671543657E-2</v>
      </c>
      <c r="E117" s="39">
        <v>1.6090915774769191E-2</v>
      </c>
      <c r="F117" s="39">
        <v>0</v>
      </c>
      <c r="G117" s="39">
        <v>0.27825100568223593</v>
      </c>
      <c r="H117" s="39">
        <v>12.516993957703928</v>
      </c>
      <c r="I117" s="38"/>
      <c r="J117" s="38"/>
      <c r="K117" s="38"/>
      <c r="L117" s="38"/>
      <c r="M117" s="38"/>
      <c r="N117" s="38"/>
      <c r="O117" s="38"/>
      <c r="P117" s="38"/>
      <c r="Q117" s="65">
        <f t="shared" si="32"/>
        <v>7.8549326915671838</v>
      </c>
      <c r="R117" s="38"/>
      <c r="S117" s="38" t="str">
        <f t="shared" si="33"/>
        <v xml:space="preserve"> Safe Zone</v>
      </c>
      <c r="T117" s="320"/>
    </row>
    <row r="118" spans="2:20" ht="15" thickBot="1" x14ac:dyDescent="0.35">
      <c r="B118" s="326">
        <v>44929</v>
      </c>
      <c r="C118" s="321"/>
      <c r="D118" s="322">
        <v>5.0986858744145108E-3</v>
      </c>
      <c r="E118" s="322">
        <v>6.6768505498285263E-3</v>
      </c>
      <c r="F118" s="322">
        <v>-4.0465760908051672E-2</v>
      </c>
      <c r="G118" s="322">
        <v>0.31717063399730905</v>
      </c>
      <c r="H118" s="322">
        <v>21.835651343030047</v>
      </c>
      <c r="I118" s="321"/>
      <c r="J118" s="321"/>
      <c r="K118" s="321"/>
      <c r="L118" s="321"/>
      <c r="M118" s="321"/>
      <c r="N118" s="321"/>
      <c r="O118" s="321"/>
      <c r="P118" s="321"/>
      <c r="Q118" s="323">
        <f t="shared" si="32"/>
        <v>13.390061404407795</v>
      </c>
      <c r="R118" s="321"/>
      <c r="S118" s="321" t="str">
        <f t="shared" si="33"/>
        <v xml:space="preserve"> Safe Zone</v>
      </c>
      <c r="T118" s="324"/>
    </row>
  </sheetData>
  <sheetProtection sheet="1" objects="1" scenarios="1"/>
  <customSheetViews>
    <customSheetView guid="{157A7F57-E932-4D71-AAC5-1BA0DA6A9C96}" scale="90" showGridLines="0">
      <selection activeCell="S115" sqref="S115"/>
      <pageMargins left="0.7" right="0.7" top="0.75" bottom="0.75" header="0.3" footer="0.3"/>
      <pageSetup paperSize="9" orientation="portrait" r:id="rId1"/>
    </customSheetView>
  </customSheetViews>
  <mergeCells count="17">
    <mergeCell ref="B2:E3"/>
    <mergeCell ref="B8:T13"/>
    <mergeCell ref="B15:T15"/>
    <mergeCell ref="B17:T17"/>
    <mergeCell ref="B23:T23"/>
    <mergeCell ref="B112:T112"/>
    <mergeCell ref="B32:T32"/>
    <mergeCell ref="B39:T39"/>
    <mergeCell ref="B48:T48"/>
    <mergeCell ref="B55:T55"/>
    <mergeCell ref="B66:T66"/>
    <mergeCell ref="B80:T80"/>
    <mergeCell ref="B82:T82"/>
    <mergeCell ref="B88:T88"/>
    <mergeCell ref="B94:T94"/>
    <mergeCell ref="B100:T100"/>
    <mergeCell ref="B106:T106"/>
  </mergeCells>
  <conditionalFormatting sqref="Q115:Q118">
    <cfRule type="cellIs" dxfId="4" priority="1" operator="greaterThan">
      <formula>3.1</formula>
    </cfRule>
  </conditionalFormatting>
  <pageMargins left="0.7" right="0.7" top="0.75" bottom="0.75" header="0.3" footer="0.3"/>
  <pageSetup paperSize="9" orientation="portrait" r:id="rId2"/>
  <ignoredErrors>
    <ignoredError sqref="N35" evalError="1"/>
  </ignoredErrors>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4"/>
  <sheetViews>
    <sheetView showGridLines="0" topLeftCell="A43" workbookViewId="0">
      <selection activeCell="H23" sqref="H23"/>
    </sheetView>
  </sheetViews>
  <sheetFormatPr defaultRowHeight="14.4" x14ac:dyDescent="0.3"/>
  <cols>
    <col min="1" max="1" width="1.88671875" customWidth="1"/>
    <col min="2" max="2" width="41.21875" bestFit="1" customWidth="1"/>
    <col min="4" max="7" width="12.77734375" bestFit="1" customWidth="1"/>
  </cols>
  <sheetData>
    <row r="2" spans="2:7" ht="21" x14ac:dyDescent="0.4">
      <c r="B2" s="5" t="s">
        <v>113</v>
      </c>
    </row>
    <row r="3" spans="2:7" x14ac:dyDescent="0.3">
      <c r="B3" t="s">
        <v>0</v>
      </c>
      <c r="D3" t="s">
        <v>110</v>
      </c>
      <c r="E3" t="s">
        <v>109</v>
      </c>
      <c r="F3" t="s">
        <v>108</v>
      </c>
      <c r="G3" t="s">
        <v>107</v>
      </c>
    </row>
    <row r="4" spans="2:7" x14ac:dyDescent="0.3">
      <c r="B4" t="s">
        <v>5</v>
      </c>
      <c r="D4" s="19">
        <v>125843000</v>
      </c>
      <c r="E4" s="19">
        <v>143015000</v>
      </c>
      <c r="F4" s="19">
        <v>168088000</v>
      </c>
      <c r="G4" s="19">
        <v>198270000</v>
      </c>
    </row>
    <row r="5" spans="2:7" x14ac:dyDescent="0.3">
      <c r="B5" t="s">
        <v>6</v>
      </c>
      <c r="D5" s="19">
        <v>42910000</v>
      </c>
      <c r="E5" s="19">
        <v>46078000</v>
      </c>
      <c r="F5" s="19">
        <v>52232000</v>
      </c>
      <c r="G5" s="19">
        <v>62650000</v>
      </c>
    </row>
    <row r="6" spans="2:7" x14ac:dyDescent="0.3">
      <c r="B6" t="s">
        <v>7</v>
      </c>
      <c r="D6" s="19">
        <v>82933000</v>
      </c>
      <c r="E6" s="19">
        <v>96937000</v>
      </c>
      <c r="F6" s="19">
        <v>115856000</v>
      </c>
      <c r="G6" s="19">
        <v>135620000</v>
      </c>
    </row>
    <row r="7" spans="2:7" x14ac:dyDescent="0.3">
      <c r="B7" t="s">
        <v>8</v>
      </c>
      <c r="D7" s="19"/>
      <c r="E7" s="19"/>
      <c r="F7" s="19"/>
      <c r="G7" s="19"/>
    </row>
    <row r="8" spans="2:7" x14ac:dyDescent="0.3">
      <c r="B8" t="s">
        <v>9</v>
      </c>
      <c r="D8" s="19">
        <v>16876000</v>
      </c>
      <c r="E8" s="19">
        <v>19269000</v>
      </c>
      <c r="F8" s="19">
        <v>20716000</v>
      </c>
      <c r="G8" s="19">
        <v>24512000</v>
      </c>
    </row>
    <row r="9" spans="2:7" x14ac:dyDescent="0.3">
      <c r="B9" t="s">
        <v>10</v>
      </c>
      <c r="D9" s="19">
        <v>23098000</v>
      </c>
      <c r="E9" s="19">
        <v>24709000</v>
      </c>
      <c r="F9" s="19">
        <v>25224000</v>
      </c>
      <c r="G9" s="19">
        <v>27725000</v>
      </c>
    </row>
    <row r="10" spans="2:7" x14ac:dyDescent="0.3">
      <c r="B10" t="s">
        <v>11</v>
      </c>
      <c r="D10" s="19">
        <v>0</v>
      </c>
      <c r="E10" s="19">
        <v>0</v>
      </c>
      <c r="F10" s="19">
        <v>0</v>
      </c>
      <c r="G10" s="19">
        <v>0</v>
      </c>
    </row>
    <row r="11" spans="2:7" x14ac:dyDescent="0.3">
      <c r="B11" t="s">
        <v>13</v>
      </c>
      <c r="D11" s="19">
        <v>0</v>
      </c>
      <c r="E11" s="19">
        <v>0</v>
      </c>
      <c r="F11" s="19">
        <v>0</v>
      </c>
      <c r="G11" s="19">
        <v>0</v>
      </c>
    </row>
    <row r="12" spans="2:7" x14ac:dyDescent="0.3">
      <c r="B12" t="s">
        <v>14</v>
      </c>
      <c r="D12" s="19">
        <v>42959000</v>
      </c>
      <c r="E12" s="19">
        <v>52959000</v>
      </c>
      <c r="F12" s="19">
        <v>69916000</v>
      </c>
      <c r="G12" s="19">
        <v>83383000</v>
      </c>
    </row>
    <row r="13" spans="2:7" x14ac:dyDescent="0.3">
      <c r="B13" t="s">
        <v>15</v>
      </c>
      <c r="D13" s="19">
        <v>729000</v>
      </c>
      <c r="E13" s="19">
        <v>77000</v>
      </c>
      <c r="F13" s="19">
        <v>1186000</v>
      </c>
      <c r="G13" s="19">
        <v>333000</v>
      </c>
    </row>
    <row r="14" spans="2:7" x14ac:dyDescent="0.3">
      <c r="B14" t="s">
        <v>16</v>
      </c>
      <c r="D14" s="19">
        <v>43688000</v>
      </c>
      <c r="E14" s="19">
        <v>53036000</v>
      </c>
      <c r="F14" s="19">
        <v>71102000</v>
      </c>
      <c r="G14" s="19">
        <v>83716000</v>
      </c>
    </row>
    <row r="15" spans="2:7" x14ac:dyDescent="0.3">
      <c r="B15" t="s">
        <v>17</v>
      </c>
      <c r="D15" s="19">
        <v>0</v>
      </c>
      <c r="E15" s="19">
        <v>0</v>
      </c>
      <c r="F15" s="19">
        <v>0</v>
      </c>
      <c r="G15" s="19">
        <v>0</v>
      </c>
    </row>
    <row r="16" spans="2:7" x14ac:dyDescent="0.3">
      <c r="B16" t="s">
        <v>18</v>
      </c>
      <c r="D16" s="19">
        <v>43688000</v>
      </c>
      <c r="E16" s="19">
        <v>53036000</v>
      </c>
      <c r="F16" s="19">
        <v>71102000</v>
      </c>
      <c r="G16" s="19">
        <v>83716000</v>
      </c>
    </row>
    <row r="17" spans="2:7" x14ac:dyDescent="0.3">
      <c r="B17" t="s">
        <v>19</v>
      </c>
      <c r="D17" s="19">
        <v>4448000</v>
      </c>
      <c r="E17" s="19">
        <v>8755000</v>
      </c>
      <c r="F17" s="19">
        <v>9831000</v>
      </c>
      <c r="G17" s="19">
        <v>10978000</v>
      </c>
    </row>
    <row r="18" spans="2:7" x14ac:dyDescent="0.3">
      <c r="B18" t="s">
        <v>20</v>
      </c>
      <c r="D18" s="19">
        <v>0</v>
      </c>
      <c r="E18" s="19">
        <v>0</v>
      </c>
      <c r="F18" s="19">
        <v>0</v>
      </c>
      <c r="G18" s="19">
        <v>0</v>
      </c>
    </row>
    <row r="19" spans="2:7" x14ac:dyDescent="0.3">
      <c r="B19" t="s">
        <v>21</v>
      </c>
      <c r="D19" s="19">
        <v>0</v>
      </c>
      <c r="E19" s="19">
        <v>0</v>
      </c>
      <c r="F19" s="19">
        <v>0</v>
      </c>
      <c r="G19" s="19">
        <v>0</v>
      </c>
    </row>
    <row r="20" spans="2:7" x14ac:dyDescent="0.3">
      <c r="B20" t="s">
        <v>22</v>
      </c>
      <c r="D20" s="19">
        <v>39240000</v>
      </c>
      <c r="E20" s="19">
        <v>44281000</v>
      </c>
      <c r="F20" s="19">
        <v>61271000</v>
      </c>
      <c r="G20" s="19">
        <v>72738000</v>
      </c>
    </row>
    <row r="21" spans="2:7" x14ac:dyDescent="0.3">
      <c r="B21" t="s">
        <v>23</v>
      </c>
      <c r="D21" s="19">
        <v>39240000</v>
      </c>
      <c r="E21" s="19">
        <v>44281000</v>
      </c>
      <c r="F21" s="19">
        <v>61271000</v>
      </c>
      <c r="G21" s="19">
        <v>72738000</v>
      </c>
    </row>
    <row r="22" spans="2:7" x14ac:dyDescent="0.3">
      <c r="B22" t="s">
        <v>24</v>
      </c>
      <c r="D22" s="19">
        <v>39240000</v>
      </c>
      <c r="E22" s="19">
        <v>44281000</v>
      </c>
      <c r="F22" s="19">
        <v>61271000</v>
      </c>
      <c r="G22" s="19">
        <v>72738000</v>
      </c>
    </row>
    <row r="23" spans="2:7" x14ac:dyDescent="0.3">
      <c r="B23" t="s">
        <v>160</v>
      </c>
      <c r="D23" s="19">
        <v>1200000000</v>
      </c>
      <c r="E23" s="19">
        <v>1681000000</v>
      </c>
      <c r="F23" s="19">
        <v>2522000000</v>
      </c>
      <c r="G23" s="19">
        <v>1787000000</v>
      </c>
    </row>
    <row r="24" spans="2:7" ht="18" x14ac:dyDescent="0.35">
      <c r="B24" s="2" t="s">
        <v>114</v>
      </c>
      <c r="D24" s="19"/>
      <c r="E24" s="19"/>
      <c r="F24" s="19"/>
      <c r="G24" s="19"/>
    </row>
    <row r="25" spans="2:7" x14ac:dyDescent="0.3">
      <c r="B25" t="s">
        <v>0</v>
      </c>
      <c r="D25" s="19" t="s">
        <v>110</v>
      </c>
      <c r="E25" s="19" t="s">
        <v>109</v>
      </c>
      <c r="F25" s="19" t="s">
        <v>108</v>
      </c>
      <c r="G25" s="19" t="s">
        <v>107</v>
      </c>
    </row>
    <row r="26" spans="2:7" x14ac:dyDescent="0.3">
      <c r="B26" t="s">
        <v>25</v>
      </c>
      <c r="D26" s="19"/>
      <c r="E26" s="19"/>
      <c r="F26" s="19"/>
      <c r="G26" s="19"/>
    </row>
    <row r="27" spans="2:7" x14ac:dyDescent="0.3">
      <c r="B27" t="s">
        <v>26</v>
      </c>
      <c r="D27" s="19">
        <v>11356000</v>
      </c>
      <c r="E27" s="19">
        <v>13576000</v>
      </c>
      <c r="F27" s="19">
        <v>14224000</v>
      </c>
      <c r="G27" s="19">
        <v>13931000</v>
      </c>
    </row>
    <row r="28" spans="2:7" x14ac:dyDescent="0.3">
      <c r="B28" t="s">
        <v>27</v>
      </c>
      <c r="D28" s="19">
        <v>122463000</v>
      </c>
      <c r="E28" s="19">
        <v>122951000</v>
      </c>
      <c r="F28" s="19">
        <v>116110000</v>
      </c>
      <c r="G28" s="19">
        <v>90826000</v>
      </c>
    </row>
    <row r="29" spans="2:7" x14ac:dyDescent="0.3">
      <c r="B29" t="s">
        <v>28</v>
      </c>
      <c r="D29" s="19">
        <v>29524000</v>
      </c>
      <c r="E29" s="19">
        <v>32011000</v>
      </c>
      <c r="F29" s="19">
        <v>38043000</v>
      </c>
      <c r="G29" s="19">
        <v>44261000</v>
      </c>
    </row>
    <row r="30" spans="2:7" x14ac:dyDescent="0.3">
      <c r="B30" t="s">
        <v>29</v>
      </c>
      <c r="D30" s="19">
        <v>2063000</v>
      </c>
      <c r="E30" s="19">
        <v>1895000</v>
      </c>
      <c r="F30" s="19">
        <v>2636000</v>
      </c>
      <c r="G30" s="19">
        <v>3742000</v>
      </c>
    </row>
    <row r="31" spans="2:7" x14ac:dyDescent="0.3">
      <c r="B31" t="s">
        <v>30</v>
      </c>
      <c r="D31" s="19">
        <v>10146000</v>
      </c>
      <c r="E31" s="19">
        <v>11482000</v>
      </c>
      <c r="F31" s="19">
        <v>13393000</v>
      </c>
      <c r="G31" s="19">
        <v>16924000</v>
      </c>
    </row>
    <row r="32" spans="2:7" x14ac:dyDescent="0.3">
      <c r="B32" t="s">
        <v>31</v>
      </c>
      <c r="D32" s="19">
        <v>175552000</v>
      </c>
      <c r="E32" s="19">
        <v>181915000</v>
      </c>
      <c r="F32" s="19">
        <v>184406000</v>
      </c>
      <c r="G32" s="19">
        <v>169684000</v>
      </c>
    </row>
    <row r="33" spans="2:7" x14ac:dyDescent="0.3">
      <c r="B33" t="s">
        <v>32</v>
      </c>
      <c r="D33" s="19"/>
      <c r="E33" s="19"/>
      <c r="F33" s="19"/>
      <c r="G33" s="19"/>
    </row>
    <row r="34" spans="2:7" x14ac:dyDescent="0.3">
      <c r="B34" t="s">
        <v>33</v>
      </c>
      <c r="D34" s="19">
        <v>2649000</v>
      </c>
      <c r="E34" s="19">
        <v>2965000</v>
      </c>
      <c r="F34" s="19">
        <v>5984000</v>
      </c>
      <c r="G34" s="19">
        <v>6891000</v>
      </c>
    </row>
    <row r="35" spans="2:7" x14ac:dyDescent="0.3">
      <c r="B35" t="s">
        <v>34</v>
      </c>
      <c r="D35" s="19">
        <v>43856000</v>
      </c>
      <c r="E35" s="19">
        <v>52904000</v>
      </c>
      <c r="F35" s="19">
        <v>70803000</v>
      </c>
      <c r="G35" s="19">
        <v>87546000</v>
      </c>
    </row>
    <row r="36" spans="2:7" x14ac:dyDescent="0.3">
      <c r="B36" t="s">
        <v>35</v>
      </c>
      <c r="D36" s="19">
        <v>42026000</v>
      </c>
      <c r="E36" s="19">
        <v>43351000</v>
      </c>
      <c r="F36" s="19">
        <v>49711000</v>
      </c>
      <c r="G36" s="19">
        <v>67524000</v>
      </c>
    </row>
    <row r="37" spans="2:7" x14ac:dyDescent="0.3">
      <c r="B37" t="s">
        <v>36</v>
      </c>
      <c r="D37" s="19">
        <v>7750000</v>
      </c>
      <c r="E37" s="19">
        <v>7038000</v>
      </c>
      <c r="F37" s="19">
        <v>7800000</v>
      </c>
      <c r="G37" s="19">
        <v>11298000</v>
      </c>
    </row>
    <row r="38" spans="2:7" x14ac:dyDescent="0.3">
      <c r="B38" t="s">
        <v>37</v>
      </c>
      <c r="D38" s="19">
        <v>14723000</v>
      </c>
      <c r="E38" s="19">
        <v>13138000</v>
      </c>
      <c r="F38" s="19">
        <v>15075000</v>
      </c>
      <c r="G38" s="19">
        <v>21897000</v>
      </c>
    </row>
    <row r="39" spans="2:7" x14ac:dyDescent="0.3">
      <c r="B39" t="s">
        <v>38</v>
      </c>
      <c r="D39" s="19">
        <v>0</v>
      </c>
      <c r="E39" s="19">
        <v>0</v>
      </c>
      <c r="F39" s="19">
        <v>0</v>
      </c>
      <c r="G39" s="19">
        <v>0</v>
      </c>
    </row>
    <row r="40" spans="2:7" x14ac:dyDescent="0.3">
      <c r="B40" t="s">
        <v>39</v>
      </c>
      <c r="D40" s="19">
        <v>286556000</v>
      </c>
      <c r="E40" s="19">
        <v>301311000</v>
      </c>
      <c r="F40" s="19">
        <v>333779000</v>
      </c>
      <c r="G40" s="19">
        <v>364840000</v>
      </c>
    </row>
    <row r="41" spans="2:7" x14ac:dyDescent="0.3">
      <c r="B41" t="s">
        <v>40</v>
      </c>
      <c r="D41" s="19"/>
      <c r="E41" s="19"/>
      <c r="F41" s="19"/>
      <c r="G41" s="19"/>
    </row>
    <row r="42" spans="2:7" x14ac:dyDescent="0.3">
      <c r="B42" t="s">
        <v>41</v>
      </c>
      <c r="D42" s="19">
        <v>21877000</v>
      </c>
      <c r="E42" s="19">
        <v>22534000</v>
      </c>
      <c r="F42" s="19">
        <v>27394000</v>
      </c>
      <c r="G42" s="19">
        <v>33728000</v>
      </c>
    </row>
    <row r="43" spans="2:7" x14ac:dyDescent="0.3">
      <c r="B43" t="s">
        <v>42</v>
      </c>
      <c r="D43" s="19">
        <v>5516000</v>
      </c>
      <c r="E43" s="19">
        <v>3749000</v>
      </c>
      <c r="F43" s="19">
        <v>8072000</v>
      </c>
      <c r="G43" s="19">
        <v>2749000</v>
      </c>
    </row>
    <row r="44" spans="2:7" x14ac:dyDescent="0.3">
      <c r="B44" t="s">
        <v>43</v>
      </c>
      <c r="D44" s="19">
        <v>42027000</v>
      </c>
      <c r="E44" s="19">
        <v>46027000</v>
      </c>
      <c r="F44" s="19">
        <v>53191000</v>
      </c>
      <c r="G44" s="19">
        <v>58605000</v>
      </c>
    </row>
    <row r="45" spans="2:7" x14ac:dyDescent="0.3">
      <c r="B45" t="s">
        <v>44</v>
      </c>
      <c r="D45" s="19">
        <v>69420000</v>
      </c>
      <c r="E45" s="19">
        <v>72310000</v>
      </c>
      <c r="F45" s="19">
        <v>88657000</v>
      </c>
      <c r="G45" s="19">
        <v>95082000</v>
      </c>
    </row>
    <row r="46" spans="2:7" x14ac:dyDescent="0.3">
      <c r="B46" t="s">
        <v>45</v>
      </c>
      <c r="D46" s="19">
        <v>66662000</v>
      </c>
      <c r="E46" s="19">
        <v>59578000</v>
      </c>
      <c r="F46" s="19">
        <v>50074000</v>
      </c>
      <c r="G46" s="19">
        <v>47032000</v>
      </c>
    </row>
    <row r="47" spans="2:7" x14ac:dyDescent="0.3">
      <c r="B47" t="s">
        <v>46</v>
      </c>
      <c r="D47" s="19">
        <v>43381000</v>
      </c>
      <c r="E47" s="19">
        <v>47735000</v>
      </c>
      <c r="F47" s="19">
        <v>50246000</v>
      </c>
      <c r="G47" s="19">
        <v>53084000</v>
      </c>
    </row>
    <row r="48" spans="2:7" x14ac:dyDescent="0.3">
      <c r="B48" t="s">
        <v>47</v>
      </c>
      <c r="D48" s="19">
        <v>4763000</v>
      </c>
      <c r="E48" s="19">
        <v>3384000</v>
      </c>
      <c r="F48" s="19">
        <v>2814000</v>
      </c>
      <c r="G48" s="19">
        <v>3100000</v>
      </c>
    </row>
    <row r="49" spans="2:7" x14ac:dyDescent="0.3">
      <c r="B49" t="s">
        <v>48</v>
      </c>
      <c r="D49" s="19">
        <v>0</v>
      </c>
      <c r="E49" s="19">
        <v>0</v>
      </c>
      <c r="F49" s="19">
        <v>0</v>
      </c>
      <c r="G49" s="19">
        <v>0</v>
      </c>
    </row>
    <row r="50" spans="2:7" x14ac:dyDescent="0.3">
      <c r="B50" t="s">
        <v>20</v>
      </c>
      <c r="D50" s="19">
        <v>0</v>
      </c>
      <c r="E50" s="19">
        <v>0</v>
      </c>
      <c r="F50" s="19">
        <v>0</v>
      </c>
      <c r="G50" s="19">
        <v>0</v>
      </c>
    </row>
    <row r="51" spans="2:7" x14ac:dyDescent="0.3">
      <c r="B51" t="s">
        <v>49</v>
      </c>
      <c r="D51" s="19">
        <v>184226000</v>
      </c>
      <c r="E51" s="19">
        <v>183007000</v>
      </c>
      <c r="F51" s="19">
        <v>191791000</v>
      </c>
      <c r="G51" s="19">
        <v>198298000</v>
      </c>
    </row>
    <row r="52" spans="2:7" x14ac:dyDescent="0.3">
      <c r="B52" t="s">
        <v>50</v>
      </c>
      <c r="D52" s="19"/>
      <c r="E52" s="19"/>
      <c r="F52" s="19"/>
      <c r="G52" s="19"/>
    </row>
    <row r="53" spans="2:7" x14ac:dyDescent="0.3">
      <c r="B53" t="s">
        <v>51</v>
      </c>
      <c r="D53" s="19">
        <v>78520000</v>
      </c>
      <c r="E53" s="19">
        <v>80552000</v>
      </c>
      <c r="F53" s="19">
        <v>83111000</v>
      </c>
      <c r="G53" s="19">
        <v>86939000</v>
      </c>
    </row>
    <row r="54" spans="2:7" x14ac:dyDescent="0.3">
      <c r="B54" t="s">
        <v>52</v>
      </c>
      <c r="D54" s="19">
        <v>24150000</v>
      </c>
      <c r="E54" s="19">
        <v>34566000</v>
      </c>
      <c r="F54" s="19">
        <v>57055000</v>
      </c>
      <c r="G54" s="19">
        <v>84281000</v>
      </c>
    </row>
    <row r="55" spans="2:7" x14ac:dyDescent="0.3">
      <c r="B55" t="s">
        <v>53</v>
      </c>
      <c r="D55" s="19">
        <v>0</v>
      </c>
      <c r="E55" s="19">
        <v>0</v>
      </c>
      <c r="F55" s="19">
        <v>0</v>
      </c>
      <c r="G55" s="19">
        <v>0</v>
      </c>
    </row>
    <row r="56" spans="2:7" x14ac:dyDescent="0.3">
      <c r="B56" t="s">
        <v>54</v>
      </c>
      <c r="D56" s="19">
        <v>0</v>
      </c>
      <c r="E56" s="19">
        <v>0</v>
      </c>
      <c r="F56" s="19">
        <v>0</v>
      </c>
      <c r="G56" s="19">
        <v>0</v>
      </c>
    </row>
    <row r="57" spans="2:7" x14ac:dyDescent="0.3">
      <c r="B57" t="s">
        <v>55</v>
      </c>
      <c r="D57" s="19">
        <v>-340000</v>
      </c>
      <c r="E57" s="19">
        <v>3186000</v>
      </c>
      <c r="F57" s="19">
        <v>1822000</v>
      </c>
      <c r="G57" s="19">
        <v>-4678000</v>
      </c>
    </row>
    <row r="58" spans="2:7" x14ac:dyDescent="0.3">
      <c r="B58" t="s">
        <v>56</v>
      </c>
      <c r="D58" s="19">
        <v>102330000</v>
      </c>
      <c r="E58" s="19">
        <v>118304000</v>
      </c>
      <c r="F58" s="19">
        <v>141988000</v>
      </c>
      <c r="G58" s="19">
        <v>166542000</v>
      </c>
    </row>
    <row r="59" spans="2:7" x14ac:dyDescent="0.3">
      <c r="B59" t="s">
        <v>57</v>
      </c>
      <c r="D59" s="19">
        <v>286556000</v>
      </c>
      <c r="E59" s="19">
        <v>301311000</v>
      </c>
      <c r="F59" s="19">
        <v>333779000</v>
      </c>
      <c r="G59" s="19">
        <v>364840000</v>
      </c>
    </row>
    <row r="60" spans="2:7" x14ac:dyDescent="0.3">
      <c r="D60" s="19"/>
      <c r="E60" s="19"/>
      <c r="F60" s="19"/>
      <c r="G60" s="19"/>
    </row>
    <row r="61" spans="2:7" ht="18" x14ac:dyDescent="0.35">
      <c r="B61" s="2" t="s">
        <v>115</v>
      </c>
      <c r="D61" s="19"/>
      <c r="E61" s="19"/>
      <c r="F61" s="19"/>
      <c r="G61" s="19"/>
    </row>
    <row r="62" spans="2:7" x14ac:dyDescent="0.3">
      <c r="B62" t="s">
        <v>0</v>
      </c>
      <c r="D62" s="19" t="s">
        <v>110</v>
      </c>
      <c r="E62" s="19" t="s">
        <v>109</v>
      </c>
      <c r="F62" s="19" t="s">
        <v>108</v>
      </c>
      <c r="G62" s="19" t="s">
        <v>107</v>
      </c>
    </row>
    <row r="63" spans="2:7" x14ac:dyDescent="0.3">
      <c r="B63" t="s">
        <v>23</v>
      </c>
      <c r="D63" s="19">
        <v>39240000</v>
      </c>
      <c r="E63" s="19">
        <v>44281000</v>
      </c>
      <c r="F63" s="19">
        <v>61271000</v>
      </c>
      <c r="G63" s="19">
        <v>72738000</v>
      </c>
    </row>
    <row r="64" spans="2:7" x14ac:dyDescent="0.3">
      <c r="B64" t="s">
        <v>72</v>
      </c>
      <c r="D64" s="19"/>
      <c r="E64" s="19"/>
      <c r="F64" s="19"/>
      <c r="G64" s="19"/>
    </row>
    <row r="65" spans="2:7" x14ac:dyDescent="0.3">
      <c r="B65" t="s">
        <v>73</v>
      </c>
      <c r="D65" s="19">
        <v>11682000</v>
      </c>
      <c r="E65" s="19">
        <v>12796000</v>
      </c>
      <c r="F65" s="19">
        <v>11686000</v>
      </c>
      <c r="G65" s="19">
        <v>14460000</v>
      </c>
    </row>
    <row r="66" spans="2:7" x14ac:dyDescent="0.3">
      <c r="B66" t="s">
        <v>74</v>
      </c>
      <c r="D66" s="19">
        <v>-2603000</v>
      </c>
      <c r="E66" s="19">
        <v>5081000</v>
      </c>
      <c r="F66" s="19">
        <v>4719000</v>
      </c>
      <c r="G66" s="19">
        <v>1391000</v>
      </c>
    </row>
    <row r="67" spans="2:7" x14ac:dyDescent="0.3">
      <c r="B67" t="s">
        <v>75</v>
      </c>
      <c r="D67" s="19"/>
      <c r="E67" s="19"/>
      <c r="F67" s="19"/>
      <c r="G67" s="19"/>
    </row>
    <row r="68" spans="2:7" x14ac:dyDescent="0.3">
      <c r="B68" t="s">
        <v>76</v>
      </c>
      <c r="D68" s="19">
        <v>-2812000</v>
      </c>
      <c r="E68" s="19">
        <v>-2577000</v>
      </c>
      <c r="F68" s="19">
        <v>-6481000</v>
      </c>
      <c r="G68" s="19">
        <v>-6834000</v>
      </c>
    </row>
    <row r="69" spans="2:7" x14ac:dyDescent="0.3">
      <c r="B69" t="s">
        <v>77</v>
      </c>
      <c r="D69" s="19">
        <v>597000</v>
      </c>
      <c r="E69" s="19">
        <v>168000</v>
      </c>
      <c r="F69" s="19">
        <v>-737000</v>
      </c>
      <c r="G69" s="19">
        <v>-1123000</v>
      </c>
    </row>
    <row r="70" spans="2:7" x14ac:dyDescent="0.3">
      <c r="B70" t="s">
        <v>78</v>
      </c>
      <c r="D70" s="19">
        <v>-3552000</v>
      </c>
      <c r="E70" s="19">
        <v>-3367000</v>
      </c>
      <c r="F70" s="19">
        <v>-4391000</v>
      </c>
      <c r="G70" s="19">
        <v>-3514000</v>
      </c>
    </row>
    <row r="71" spans="2:7" x14ac:dyDescent="0.3">
      <c r="B71" t="s">
        <v>79</v>
      </c>
      <c r="D71" s="19">
        <v>9633000</v>
      </c>
      <c r="E71" s="19">
        <v>4293000</v>
      </c>
      <c r="F71" s="19">
        <v>10673000</v>
      </c>
      <c r="G71" s="19">
        <v>11917000</v>
      </c>
    </row>
    <row r="72" spans="2:7" x14ac:dyDescent="0.3">
      <c r="B72" t="s">
        <v>80</v>
      </c>
      <c r="D72" s="19">
        <v>52185000</v>
      </c>
      <c r="E72" s="19">
        <v>60675000</v>
      </c>
      <c r="F72" s="19">
        <v>76740000</v>
      </c>
      <c r="G72" s="19">
        <v>89035000</v>
      </c>
    </row>
    <row r="73" spans="2:7" x14ac:dyDescent="0.3">
      <c r="B73" t="s">
        <v>81</v>
      </c>
      <c r="D73" s="19"/>
      <c r="E73" s="19"/>
      <c r="F73" s="19"/>
      <c r="G73" s="19"/>
    </row>
    <row r="74" spans="2:7" x14ac:dyDescent="0.3">
      <c r="B74" t="s">
        <v>82</v>
      </c>
      <c r="D74" s="19">
        <v>-13925000</v>
      </c>
      <c r="E74" s="19">
        <v>-15441000</v>
      </c>
      <c r="F74" s="19">
        <v>-20622000</v>
      </c>
      <c r="G74" s="19">
        <v>-23886000</v>
      </c>
    </row>
    <row r="75" spans="2:7" x14ac:dyDescent="0.3">
      <c r="B75" t="s">
        <v>83</v>
      </c>
      <c r="D75" s="19">
        <v>540000</v>
      </c>
      <c r="E75" s="19">
        <v>6980000</v>
      </c>
      <c r="F75" s="19">
        <v>2876000</v>
      </c>
      <c r="G75" s="19">
        <v>18438000</v>
      </c>
    </row>
    <row r="76" spans="2:7" x14ac:dyDescent="0.3">
      <c r="B76" t="s">
        <v>84</v>
      </c>
      <c r="D76" s="19">
        <v>-2388000</v>
      </c>
      <c r="E76" s="19">
        <v>-3762000</v>
      </c>
      <c r="F76" s="19">
        <v>-9831000</v>
      </c>
      <c r="G76" s="19">
        <v>-24863000</v>
      </c>
    </row>
    <row r="77" spans="2:7" x14ac:dyDescent="0.3">
      <c r="B77" t="s">
        <v>85</v>
      </c>
      <c r="D77" s="19">
        <v>-15773000</v>
      </c>
      <c r="E77" s="19">
        <v>-12223000</v>
      </c>
      <c r="F77" s="19">
        <v>-27577000</v>
      </c>
      <c r="G77" s="19">
        <v>-30311000</v>
      </c>
    </row>
    <row r="78" spans="2:7" x14ac:dyDescent="0.3">
      <c r="B78" t="s">
        <v>86</v>
      </c>
      <c r="D78" s="19"/>
      <c r="E78" s="19"/>
      <c r="F78" s="19"/>
      <c r="G78" s="19"/>
    </row>
    <row r="79" spans="2:7" x14ac:dyDescent="0.3">
      <c r="B79" t="s">
        <v>87</v>
      </c>
      <c r="D79" s="19">
        <v>-18401000</v>
      </c>
      <c r="E79" s="19">
        <v>-21625000</v>
      </c>
      <c r="F79" s="19">
        <v>-25692000</v>
      </c>
      <c r="G79" s="19">
        <v>-30855000</v>
      </c>
    </row>
    <row r="80" spans="2:7" x14ac:dyDescent="0.3">
      <c r="B80" t="s">
        <v>88</v>
      </c>
      <c r="D80" s="19">
        <v>-4000000</v>
      </c>
      <c r="E80" s="19">
        <v>-5518000</v>
      </c>
      <c r="F80" s="19">
        <v>-3750000</v>
      </c>
      <c r="G80" s="19">
        <v>-9023000</v>
      </c>
    </row>
    <row r="81" spans="2:7" x14ac:dyDescent="0.3">
      <c r="B81" t="s">
        <v>89</v>
      </c>
      <c r="D81" s="19">
        <v>-675000</v>
      </c>
      <c r="E81" s="19">
        <v>-3751000</v>
      </c>
      <c r="F81" s="19">
        <v>-2523000</v>
      </c>
      <c r="G81" s="19">
        <v>-863000</v>
      </c>
    </row>
    <row r="82" spans="2:7" x14ac:dyDescent="0.3">
      <c r="B82" t="s">
        <v>90</v>
      </c>
      <c r="D82" s="19">
        <v>-36887000</v>
      </c>
      <c r="E82" s="19">
        <v>-46031000</v>
      </c>
      <c r="F82" s="19">
        <v>-48486000</v>
      </c>
      <c r="G82" s="19">
        <v>-58876000</v>
      </c>
    </row>
    <row r="83" spans="2:7" x14ac:dyDescent="0.3">
      <c r="B83" t="s">
        <v>91</v>
      </c>
      <c r="D83" s="19">
        <v>-115000</v>
      </c>
      <c r="E83" s="19">
        <v>-201000</v>
      </c>
      <c r="F83" s="19">
        <v>-29000</v>
      </c>
      <c r="G83" s="19">
        <v>-141000</v>
      </c>
    </row>
    <row r="84" spans="2:7" x14ac:dyDescent="0.3">
      <c r="B84" t="s">
        <v>92</v>
      </c>
      <c r="D84" s="19">
        <v>-590000</v>
      </c>
      <c r="E84" s="19">
        <v>2220000</v>
      </c>
      <c r="F84" s="19">
        <v>648000</v>
      </c>
      <c r="G84" s="19">
        <v>-293000</v>
      </c>
    </row>
  </sheetData>
  <sheetProtection sheet="1" objects="1" scenarios="1"/>
  <customSheetViews>
    <customSheetView guid="{157A7F57-E932-4D71-AAC5-1BA0DA6A9C96}" showGridLines="0" topLeftCell="A43">
      <selection activeCell="H23" sqref="H23"/>
      <pageMargins left="0.7" right="0.7" top="0.75" bottom="0.75" header="0.3" footer="0.3"/>
    </customSheetView>
  </customSheetView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16"/>
  <sheetViews>
    <sheetView showGridLines="0" topLeftCell="A46" zoomScaleNormal="100" workbookViewId="0">
      <selection activeCell="Q113" sqref="Q113"/>
    </sheetView>
  </sheetViews>
  <sheetFormatPr defaultRowHeight="14.4" x14ac:dyDescent="0.3"/>
  <cols>
    <col min="1" max="1" width="1.88671875" customWidth="1"/>
    <col min="12" max="15" width="12.77734375" bestFit="1" customWidth="1"/>
  </cols>
  <sheetData>
    <row r="2" spans="2:17" x14ac:dyDescent="0.3">
      <c r="B2" s="517" t="s">
        <v>306</v>
      </c>
      <c r="C2" s="517"/>
      <c r="D2" s="517"/>
      <c r="E2" s="517"/>
      <c r="F2" s="517"/>
      <c r="G2" s="335"/>
      <c r="H2" s="335"/>
      <c r="I2" s="335"/>
      <c r="J2" s="335"/>
      <c r="K2" s="335"/>
      <c r="L2" s="335"/>
      <c r="M2" s="335"/>
      <c r="N2" s="335"/>
      <c r="O2" s="335"/>
      <c r="P2" s="335"/>
      <c r="Q2" s="335"/>
    </row>
    <row r="3" spans="2:17" x14ac:dyDescent="0.3">
      <c r="B3" s="517"/>
      <c r="C3" s="517"/>
      <c r="D3" s="517"/>
      <c r="E3" s="517"/>
      <c r="F3" s="517"/>
      <c r="G3" s="335"/>
      <c r="H3" s="335"/>
      <c r="I3" s="335"/>
      <c r="J3" s="335"/>
      <c r="K3" s="335"/>
      <c r="L3" s="335"/>
      <c r="M3" s="335"/>
      <c r="N3" s="335"/>
      <c r="O3" s="335"/>
      <c r="P3" s="335"/>
      <c r="Q3" s="335"/>
    </row>
    <row r="4" spans="2:17" x14ac:dyDescent="0.3">
      <c r="B4" s="336" t="s">
        <v>307</v>
      </c>
      <c r="C4" s="335"/>
      <c r="D4" s="335"/>
      <c r="E4" s="335"/>
      <c r="F4" s="335"/>
      <c r="G4" s="335"/>
      <c r="H4" s="335"/>
      <c r="I4" s="335"/>
      <c r="J4" s="335"/>
      <c r="K4" s="335"/>
      <c r="L4" s="335"/>
      <c r="M4" s="335"/>
      <c r="N4" s="335"/>
      <c r="O4" s="335"/>
      <c r="P4" s="335"/>
      <c r="Q4" s="335"/>
    </row>
    <row r="5" spans="2:17" x14ac:dyDescent="0.3">
      <c r="B5" s="336" t="s">
        <v>308</v>
      </c>
      <c r="C5" s="335"/>
      <c r="D5" s="335"/>
      <c r="E5" s="335"/>
      <c r="F5" s="335"/>
      <c r="G5" s="335"/>
      <c r="H5" s="335"/>
      <c r="I5" s="335"/>
      <c r="J5" s="335"/>
      <c r="K5" s="335"/>
      <c r="L5" s="335"/>
      <c r="M5" s="335"/>
      <c r="N5" s="335"/>
      <c r="O5" s="335"/>
      <c r="P5" s="335"/>
      <c r="Q5" s="335"/>
    </row>
    <row r="7" spans="2:17" ht="14.4" customHeight="1" x14ac:dyDescent="0.3">
      <c r="B7" s="518" t="s">
        <v>309</v>
      </c>
      <c r="C7" s="518"/>
      <c r="D7" s="518"/>
      <c r="E7" s="518"/>
      <c r="F7" s="518"/>
      <c r="G7" s="518"/>
      <c r="H7" s="518"/>
      <c r="I7" s="518"/>
      <c r="J7" s="518"/>
      <c r="K7" s="518"/>
      <c r="L7" s="518"/>
      <c r="M7" s="518"/>
      <c r="N7" s="518"/>
      <c r="O7" s="518"/>
      <c r="P7" s="518"/>
      <c r="Q7" s="518"/>
    </row>
    <row r="8" spans="2:17" x14ac:dyDescent="0.3">
      <c r="B8" s="518"/>
      <c r="C8" s="518"/>
      <c r="D8" s="518"/>
      <c r="E8" s="518"/>
      <c r="F8" s="518"/>
      <c r="G8" s="518"/>
      <c r="H8" s="518"/>
      <c r="I8" s="518"/>
      <c r="J8" s="518"/>
      <c r="K8" s="518"/>
      <c r="L8" s="518"/>
      <c r="M8" s="518"/>
      <c r="N8" s="518"/>
      <c r="O8" s="518"/>
      <c r="P8" s="518"/>
      <c r="Q8" s="518"/>
    </row>
    <row r="9" spans="2:17" x14ac:dyDescent="0.3">
      <c r="B9" s="518"/>
      <c r="C9" s="518"/>
      <c r="D9" s="518"/>
      <c r="E9" s="518"/>
      <c r="F9" s="518"/>
      <c r="G9" s="518"/>
      <c r="H9" s="518"/>
      <c r="I9" s="518"/>
      <c r="J9" s="518"/>
      <c r="K9" s="518"/>
      <c r="L9" s="518"/>
      <c r="M9" s="518"/>
      <c r="N9" s="518"/>
      <c r="O9" s="518"/>
      <c r="P9" s="518"/>
      <c r="Q9" s="518"/>
    </row>
    <row r="10" spans="2:17" x14ac:dyDescent="0.3">
      <c r="B10" s="518"/>
      <c r="C10" s="518"/>
      <c r="D10" s="518"/>
      <c r="E10" s="518"/>
      <c r="F10" s="518"/>
      <c r="G10" s="518"/>
      <c r="H10" s="518"/>
      <c r="I10" s="518"/>
      <c r="J10" s="518"/>
      <c r="K10" s="518"/>
      <c r="L10" s="518"/>
      <c r="M10" s="518"/>
      <c r="N10" s="518"/>
      <c r="O10" s="518"/>
      <c r="P10" s="518"/>
      <c r="Q10" s="518"/>
    </row>
    <row r="11" spans="2:17" x14ac:dyDescent="0.3">
      <c r="B11" s="518"/>
      <c r="C11" s="518"/>
      <c r="D11" s="518"/>
      <c r="E11" s="518"/>
      <c r="F11" s="518"/>
      <c r="G11" s="518"/>
      <c r="H11" s="518"/>
      <c r="I11" s="518"/>
      <c r="J11" s="518"/>
      <c r="K11" s="518"/>
      <c r="L11" s="518"/>
      <c r="M11" s="518"/>
      <c r="N11" s="518"/>
      <c r="O11" s="518"/>
      <c r="P11" s="518"/>
      <c r="Q11" s="518"/>
    </row>
    <row r="13" spans="2:17" x14ac:dyDescent="0.3">
      <c r="B13" s="519" t="s">
        <v>58</v>
      </c>
      <c r="C13" s="515"/>
      <c r="D13" s="515"/>
      <c r="E13" s="515"/>
      <c r="F13" s="515"/>
      <c r="G13" s="515"/>
      <c r="H13" s="515"/>
      <c r="I13" s="515"/>
      <c r="J13" s="515"/>
      <c r="K13" s="515"/>
      <c r="L13" s="515"/>
      <c r="M13" s="515"/>
      <c r="N13" s="515"/>
      <c r="O13" s="515"/>
      <c r="P13" s="515"/>
      <c r="Q13" s="520"/>
    </row>
    <row r="14" spans="2:17" x14ac:dyDescent="0.3">
      <c r="B14" s="340"/>
      <c r="C14" s="38"/>
      <c r="D14" s="38"/>
      <c r="E14" s="38"/>
      <c r="F14" s="38"/>
      <c r="G14" s="38"/>
      <c r="H14" s="38"/>
      <c r="I14" s="38"/>
      <c r="J14" s="38"/>
      <c r="K14" s="38"/>
      <c r="L14" s="38"/>
      <c r="M14" s="38"/>
      <c r="N14" s="38"/>
      <c r="O14" s="38"/>
      <c r="P14" s="38"/>
      <c r="Q14" s="341"/>
    </row>
    <row r="15" spans="2:17" x14ac:dyDescent="0.3">
      <c r="B15" s="511" t="s">
        <v>64</v>
      </c>
      <c r="C15" s="512"/>
      <c r="D15" s="512"/>
      <c r="E15" s="512"/>
      <c r="F15" s="512"/>
      <c r="G15" s="512"/>
      <c r="H15" s="512"/>
      <c r="I15" s="512"/>
      <c r="J15" s="512"/>
      <c r="K15" s="512"/>
      <c r="L15" s="512"/>
      <c r="M15" s="512"/>
      <c r="N15" s="512"/>
      <c r="O15" s="512"/>
      <c r="P15" s="512"/>
      <c r="Q15" s="513"/>
    </row>
    <row r="16" spans="2:17" x14ac:dyDescent="0.3">
      <c r="B16" s="340"/>
      <c r="C16" s="38"/>
      <c r="D16" s="38"/>
      <c r="E16" s="38"/>
      <c r="F16" s="38"/>
      <c r="G16" s="38"/>
      <c r="H16" s="38"/>
      <c r="I16" s="38"/>
      <c r="J16" s="38"/>
      <c r="K16" s="38"/>
      <c r="L16" s="49">
        <v>43617</v>
      </c>
      <c r="M16" s="49">
        <f>L16+366</f>
        <v>43983</v>
      </c>
      <c r="N16" s="49">
        <f t="shared" ref="N16:O16" si="0">M16+366</f>
        <v>44349</v>
      </c>
      <c r="O16" s="49">
        <f t="shared" si="0"/>
        <v>44715</v>
      </c>
      <c r="P16" s="38"/>
      <c r="Q16" s="341"/>
    </row>
    <row r="17" spans="2:17" x14ac:dyDescent="0.3">
      <c r="B17" s="340" t="s">
        <v>179</v>
      </c>
      <c r="C17" s="38"/>
      <c r="D17" s="38"/>
      <c r="E17" s="38"/>
      <c r="F17" s="38"/>
      <c r="G17" s="38"/>
      <c r="H17" s="38"/>
      <c r="I17" s="38"/>
      <c r="J17" s="38"/>
      <c r="K17" s="38"/>
      <c r="L17" s="39">
        <f>'Microsoft-Financials'!D32/'Microsoft-Financials'!D45</f>
        <v>2.5288389513108616</v>
      </c>
      <c r="M17" s="39">
        <f>'Microsoft-Financials'!E32/'Microsoft-Financials'!E45</f>
        <v>2.5157654542940118</v>
      </c>
      <c r="N17" s="39">
        <f>'Microsoft-Financials'!F32/'Microsoft-Financials'!F45</f>
        <v>2.0799936835218875</v>
      </c>
      <c r="O17" s="39">
        <f>'Microsoft-Financials'!G32/'Microsoft-Financials'!G45</f>
        <v>1.7846069708251824</v>
      </c>
      <c r="P17" s="38"/>
      <c r="Q17" s="341"/>
    </row>
    <row r="18" spans="2:17" x14ac:dyDescent="0.3">
      <c r="B18" s="340" t="s">
        <v>180</v>
      </c>
      <c r="C18" s="38"/>
      <c r="D18" s="38"/>
      <c r="E18" s="38"/>
      <c r="F18" s="38"/>
      <c r="G18" s="38"/>
      <c r="H18" s="38"/>
      <c r="I18" s="38"/>
      <c r="J18" s="38"/>
      <c r="K18" s="38"/>
      <c r="L18" s="39">
        <f>('Microsoft-Financials'!D32-'Microsoft-Financials'!D30)/'Microsoft-Financials'!D45</f>
        <v>2.4991212906943243</v>
      </c>
      <c r="M18" s="39">
        <f>('Microsoft-Financials'!E32-'Microsoft-Financials'!E30)/'Microsoft-Financials'!E45</f>
        <v>2.4895588438666851</v>
      </c>
      <c r="N18" s="39">
        <f>('Microsoft-Financials'!F32-'Microsoft-Financials'!F30)/'Microsoft-Financials'!F45</f>
        <v>2.0502611186933914</v>
      </c>
      <c r="O18" s="39">
        <f>('Microsoft-Financials'!G32-'Microsoft-Financials'!G30)/'Microsoft-Financials'!G45</f>
        <v>1.7452514671546664</v>
      </c>
      <c r="P18" s="38"/>
      <c r="Q18" s="341"/>
    </row>
    <row r="19" spans="2:17" x14ac:dyDescent="0.3">
      <c r="B19" s="340" t="s">
        <v>67</v>
      </c>
      <c r="C19" s="38"/>
      <c r="D19" s="38"/>
      <c r="E19" s="38"/>
      <c r="F19" s="38"/>
      <c r="G19" s="38"/>
      <c r="H19" s="38"/>
      <c r="I19" s="38"/>
      <c r="J19" s="38"/>
      <c r="K19" s="38"/>
      <c r="L19" s="39">
        <f>('Microsoft-Financials'!D27+'Microsoft-Financials'!D28)/'Microsoft-Financials'!D45</f>
        <v>1.9276721405934889</v>
      </c>
      <c r="M19" s="39">
        <f>('Microsoft-Financials'!E27+'Microsoft-Financials'!E28)/'Microsoft-Financials'!E45</f>
        <v>1.8880791038583875</v>
      </c>
      <c r="N19" s="39">
        <f>('Microsoft-Financials'!F27+'Microsoft-Financials'!F28)/'Microsoft-Financials'!F45</f>
        <v>1.4700926040808961</v>
      </c>
      <c r="O19" s="39">
        <f>('Microsoft-Financials'!G27+'Microsoft-Financials'!G28)/'Microsoft-Financials'!G45</f>
        <v>1.1017542752571465</v>
      </c>
      <c r="P19" s="38"/>
      <c r="Q19" s="341"/>
    </row>
    <row r="20" spans="2:17" x14ac:dyDescent="0.3">
      <c r="B20" s="340"/>
      <c r="C20" s="38"/>
      <c r="D20" s="38"/>
      <c r="E20" s="38"/>
      <c r="F20" s="38"/>
      <c r="G20" s="38"/>
      <c r="H20" s="38"/>
      <c r="I20" s="38"/>
      <c r="J20" s="38"/>
      <c r="K20" s="38"/>
      <c r="L20" s="38"/>
      <c r="M20" s="38"/>
      <c r="N20" s="38"/>
      <c r="O20" s="38"/>
      <c r="P20" s="38"/>
      <c r="Q20" s="341"/>
    </row>
    <row r="21" spans="2:17" x14ac:dyDescent="0.3">
      <c r="B21" s="511" t="s">
        <v>116</v>
      </c>
      <c r="C21" s="512"/>
      <c r="D21" s="512"/>
      <c r="E21" s="512"/>
      <c r="F21" s="512"/>
      <c r="G21" s="512"/>
      <c r="H21" s="512"/>
      <c r="I21" s="512"/>
      <c r="J21" s="512"/>
      <c r="K21" s="512"/>
      <c r="L21" s="512"/>
      <c r="M21" s="512"/>
      <c r="N21" s="512"/>
      <c r="O21" s="512"/>
      <c r="P21" s="512"/>
      <c r="Q21" s="513"/>
    </row>
    <row r="22" spans="2:17" x14ac:dyDescent="0.3">
      <c r="B22" s="340"/>
      <c r="C22" s="38"/>
      <c r="D22" s="38"/>
      <c r="E22" s="38"/>
      <c r="F22" s="38"/>
      <c r="G22" s="38"/>
      <c r="H22" s="38"/>
      <c r="I22" s="38"/>
      <c r="J22" s="38"/>
      <c r="K22" s="38"/>
      <c r="L22" s="49">
        <f>L16</f>
        <v>43617</v>
      </c>
      <c r="M22" s="49">
        <f t="shared" ref="M22:O22" si="1">M16</f>
        <v>43983</v>
      </c>
      <c r="N22" s="49">
        <f t="shared" si="1"/>
        <v>44349</v>
      </c>
      <c r="O22" s="49">
        <f t="shared" si="1"/>
        <v>44715</v>
      </c>
      <c r="P22" s="38"/>
      <c r="Q22" s="341"/>
    </row>
    <row r="23" spans="2:17" x14ac:dyDescent="0.3">
      <c r="B23" s="340" t="s">
        <v>117</v>
      </c>
      <c r="C23" s="38"/>
      <c r="D23" s="38"/>
      <c r="E23" s="38"/>
      <c r="F23" s="38"/>
      <c r="G23" s="38"/>
      <c r="H23" s="38"/>
      <c r="I23" s="38"/>
      <c r="J23" s="38"/>
      <c r="K23" s="38"/>
      <c r="L23" s="39">
        <f>('Microsoft-Financials'!D46+'Microsoft-Financials'!D43)/'Microsoft-Financials'!D40</f>
        <v>0.2518809586956825</v>
      </c>
      <c r="M23" s="39">
        <f>('Microsoft-Financials'!E46+'Microsoft-Financials'!E43)/'Microsoft-Financials'!E40</f>
        <v>0.21017155032507939</v>
      </c>
      <c r="N23" s="39">
        <f>('Microsoft-Financials'!F46+'Microsoft-Financials'!F43)/'Microsoft-Financials'!F40</f>
        <v>0.17420508779761459</v>
      </c>
      <c r="O23" s="39">
        <f>('Microsoft-Financials'!G46+'Microsoft-Financials'!G43)/'Microsoft-Financials'!G40</f>
        <v>0.13644611336476264</v>
      </c>
      <c r="P23" s="38"/>
      <c r="Q23" s="341"/>
    </row>
    <row r="24" spans="2:17" x14ac:dyDescent="0.3">
      <c r="B24" s="340" t="s">
        <v>118</v>
      </c>
      <c r="C24" s="38"/>
      <c r="D24" s="38"/>
      <c r="E24" s="38"/>
      <c r="F24" s="38"/>
      <c r="G24" s="38"/>
      <c r="H24" s="38"/>
      <c r="I24" s="38"/>
      <c r="J24" s="38"/>
      <c r="K24" s="38"/>
      <c r="L24" s="39">
        <f>('Microsoft-Financials'!D43+'Microsoft-Financials'!D46)/'Microsoft-Financials'!D58</f>
        <v>0.70534545099188894</v>
      </c>
      <c r="M24" s="39">
        <f>('Microsoft-Financials'!E43+'Microsoft-Financials'!E46)/'Microsoft-Financials'!E58</f>
        <v>0.5352904381931296</v>
      </c>
      <c r="N24" s="39">
        <f>('Microsoft-Financials'!F43+'Microsoft-Financials'!F46)/'Microsoft-Financials'!F58</f>
        <v>0.4095134800123954</v>
      </c>
      <c r="O24" s="39">
        <f>('Microsoft-Financials'!G43+'Microsoft-Financials'!G46)/'Microsoft-Financials'!G58</f>
        <v>0.29890958436910808</v>
      </c>
      <c r="P24" s="38"/>
      <c r="Q24" s="341"/>
    </row>
    <row r="25" spans="2:17" x14ac:dyDescent="0.3">
      <c r="B25" s="340" t="s">
        <v>120</v>
      </c>
      <c r="C25" s="38"/>
      <c r="D25" s="38"/>
      <c r="E25" s="38"/>
      <c r="F25" s="38"/>
      <c r="G25" s="38"/>
      <c r="H25" s="38"/>
      <c r="I25" s="38"/>
      <c r="J25" s="38"/>
      <c r="K25" s="38"/>
      <c r="L25" s="39">
        <f>L24/(1+L24)</f>
        <v>0.4136085451669837</v>
      </c>
      <c r="M25" s="39">
        <f t="shared" ref="M25:O25" si="2">M24/(1+M24)</f>
        <v>0.34865744283740113</v>
      </c>
      <c r="N25" s="39">
        <f t="shared" si="2"/>
        <v>0.2905353413213147</v>
      </c>
      <c r="O25" s="39">
        <f t="shared" si="2"/>
        <v>0.23012347276988576</v>
      </c>
      <c r="P25" s="38"/>
      <c r="Q25" s="341"/>
    </row>
    <row r="26" spans="2:17" x14ac:dyDescent="0.3">
      <c r="B26" s="340" t="s">
        <v>121</v>
      </c>
      <c r="C26" s="38"/>
      <c r="D26" s="38"/>
      <c r="E26" s="38"/>
      <c r="F26" s="38"/>
      <c r="G26" s="38"/>
      <c r="H26" s="38"/>
      <c r="I26" s="38"/>
      <c r="J26" s="38"/>
      <c r="K26" s="38"/>
      <c r="L26" s="306" t="s">
        <v>294</v>
      </c>
      <c r="M26" s="306" t="s">
        <v>294</v>
      </c>
      <c r="N26" s="306" t="s">
        <v>294</v>
      </c>
      <c r="O26" s="306" t="s">
        <v>294</v>
      </c>
      <c r="P26" s="38"/>
      <c r="Q26" s="341"/>
    </row>
    <row r="27" spans="2:17" x14ac:dyDescent="0.3">
      <c r="B27" s="340" t="s">
        <v>119</v>
      </c>
      <c r="C27" s="38"/>
      <c r="D27" s="38"/>
      <c r="E27" s="38"/>
      <c r="F27" s="38"/>
      <c r="G27" s="38"/>
      <c r="H27" s="38"/>
      <c r="I27" s="38"/>
      <c r="J27" s="38"/>
      <c r="K27" s="38"/>
      <c r="L27" s="39">
        <f>'Microsoft-Financials'!D40/'Microsoft-Financials'!D58</f>
        <v>2.8003127137691783</v>
      </c>
      <c r="M27" s="39">
        <f>'Microsoft-Financials'!E40/'Microsoft-Financials'!E58</f>
        <v>2.5469214903976196</v>
      </c>
      <c r="N27" s="39">
        <f>'Microsoft-Financials'!F40/'Microsoft-Financials'!F58</f>
        <v>2.3507549933797223</v>
      </c>
      <c r="O27" s="39">
        <f>'Microsoft-Financials'!G40/'Microsoft-Financials'!G58</f>
        <v>2.1906786276134547</v>
      </c>
      <c r="P27" s="38"/>
      <c r="Q27" s="341"/>
    </row>
    <row r="28" spans="2:17" x14ac:dyDescent="0.3">
      <c r="B28" s="340" t="s">
        <v>193</v>
      </c>
      <c r="C28" s="38"/>
      <c r="D28" s="38"/>
      <c r="E28" s="38"/>
      <c r="F28" s="38"/>
      <c r="G28" s="38"/>
      <c r="H28" s="38"/>
      <c r="I28" s="38"/>
      <c r="J28" s="38"/>
      <c r="K28" s="38"/>
      <c r="L28" s="39">
        <f>'Microsoft-Financials'!D72/('Microsoft-Financials'!D46+'Microsoft-Financials'!D43)</f>
        <v>0.72300423951896697</v>
      </c>
      <c r="M28" s="39">
        <f>'Microsoft-Financials'!E72/('Microsoft-Financials'!E46+'Microsoft-Financials'!E43)</f>
        <v>0.95812212800227392</v>
      </c>
      <c r="N28" s="39">
        <f>'Microsoft-Financials'!F72/('Microsoft-Financials'!F46+'Microsoft-Financials'!F43)</f>
        <v>1.3197812403260758</v>
      </c>
      <c r="O28" s="39">
        <f>'Microsoft-Financials'!G72/('Microsoft-Financials'!G46+'Microsoft-Financials'!G43)</f>
        <v>1.7885337779474098</v>
      </c>
      <c r="P28" s="38"/>
      <c r="Q28" s="341"/>
    </row>
    <row r="29" spans="2:17" x14ac:dyDescent="0.3">
      <c r="B29" s="340"/>
      <c r="C29" s="38"/>
      <c r="D29" s="38"/>
      <c r="E29" s="38"/>
      <c r="F29" s="38"/>
      <c r="G29" s="38"/>
      <c r="H29" s="38"/>
      <c r="I29" s="38"/>
      <c r="J29" s="38"/>
      <c r="K29" s="38"/>
      <c r="L29" s="38"/>
      <c r="M29" s="38"/>
      <c r="N29" s="38"/>
      <c r="O29" s="38"/>
      <c r="P29" s="38"/>
      <c r="Q29" s="341"/>
    </row>
    <row r="30" spans="2:17" x14ac:dyDescent="0.3">
      <c r="B30" s="511" t="s">
        <v>122</v>
      </c>
      <c r="C30" s="512"/>
      <c r="D30" s="512"/>
      <c r="E30" s="512"/>
      <c r="F30" s="512"/>
      <c r="G30" s="512"/>
      <c r="H30" s="512"/>
      <c r="I30" s="512"/>
      <c r="J30" s="512"/>
      <c r="K30" s="512"/>
      <c r="L30" s="512"/>
      <c r="M30" s="512"/>
      <c r="N30" s="512"/>
      <c r="O30" s="512"/>
      <c r="P30" s="512"/>
      <c r="Q30" s="513"/>
    </row>
    <row r="31" spans="2:17" x14ac:dyDescent="0.3">
      <c r="B31" s="340"/>
      <c r="C31" s="38"/>
      <c r="D31" s="38"/>
      <c r="E31" s="38"/>
      <c r="F31" s="38"/>
      <c r="G31" s="38"/>
      <c r="H31" s="38"/>
      <c r="I31" s="38"/>
      <c r="J31" s="38"/>
      <c r="K31" s="38"/>
      <c r="L31" s="49">
        <f>L22</f>
        <v>43617</v>
      </c>
      <c r="M31" s="49">
        <f t="shared" ref="M31:O31" si="3">M22</f>
        <v>43983</v>
      </c>
      <c r="N31" s="49">
        <f t="shared" si="3"/>
        <v>44349</v>
      </c>
      <c r="O31" s="49">
        <f t="shared" si="3"/>
        <v>44715</v>
      </c>
      <c r="P31" s="38"/>
      <c r="Q31" s="341"/>
    </row>
    <row r="32" spans="2:17" x14ac:dyDescent="0.3">
      <c r="B32" s="340" t="s">
        <v>123</v>
      </c>
      <c r="C32" s="38"/>
      <c r="D32" s="38"/>
      <c r="E32" s="38"/>
      <c r="F32" s="38"/>
      <c r="G32" s="38"/>
      <c r="H32" s="38"/>
      <c r="I32" s="38"/>
      <c r="J32" s="38"/>
      <c r="K32" s="38"/>
      <c r="L32" s="39">
        <f>'Microsoft-Financials'!D4/'Microsoft-Financials'!D40</f>
        <v>0.43915674423149403</v>
      </c>
      <c r="M32" s="39">
        <f>'Microsoft-Financials'!E4/'Microsoft-Financials'!E40</f>
        <v>0.47464247903329121</v>
      </c>
      <c r="N32" s="39">
        <f>'Microsoft-Financials'!F4/'Microsoft-Financials'!F40</f>
        <v>0.50359069923512267</v>
      </c>
      <c r="O32" s="39">
        <f>'Microsoft-Financials'!G4/'Microsoft-Financials'!G40</f>
        <v>0.54344370134853637</v>
      </c>
      <c r="P32" s="38"/>
      <c r="Q32" s="341"/>
    </row>
    <row r="33" spans="2:17" x14ac:dyDescent="0.3">
      <c r="B33" s="340" t="s">
        <v>124</v>
      </c>
      <c r="C33" s="38"/>
      <c r="D33" s="38"/>
      <c r="E33" s="38"/>
      <c r="F33" s="38"/>
      <c r="G33" s="38"/>
      <c r="H33" s="38"/>
      <c r="I33" s="38"/>
      <c r="J33" s="38"/>
      <c r="K33" s="38"/>
      <c r="L33" s="39">
        <f>'Microsoft-Financials'!D4/'Analysis- Microsoft'!L82</f>
        <v>1.185721554290883</v>
      </c>
      <c r="M33" s="39">
        <f>'Microsoft-Financials'!E4/'Analysis- Microsoft'!M82</f>
        <v>1.3048218603165913</v>
      </c>
      <c r="N33" s="39">
        <f>'Microsoft-Financials'!F4/'Analysis- Microsoft'!N82</f>
        <v>1.755506584925169</v>
      </c>
      <c r="O33" s="39">
        <f>'Microsoft-Financials'!G4/'Analysis- Microsoft'!O82</f>
        <v>2.6577035468218009</v>
      </c>
      <c r="P33" s="38"/>
      <c r="Q33" s="341"/>
    </row>
    <row r="34" spans="2:17" x14ac:dyDescent="0.3">
      <c r="B34" s="340" t="s">
        <v>125</v>
      </c>
      <c r="C34" s="38"/>
      <c r="D34" s="38"/>
      <c r="E34" s="38"/>
      <c r="F34" s="38"/>
      <c r="G34" s="38"/>
      <c r="H34" s="38"/>
      <c r="I34" s="38"/>
      <c r="J34" s="38"/>
      <c r="K34" s="38"/>
      <c r="L34" s="39">
        <f>'Microsoft-Financials'!D5/'Microsoft-Financials'!D30</f>
        <v>20.799806107610276</v>
      </c>
      <c r="M34" s="39">
        <f>'Microsoft-Financials'!E5/'Microsoft-Financials'!E30</f>
        <v>24.315567282321901</v>
      </c>
      <c r="N34" s="39">
        <f>'Microsoft-Financials'!F5/'Microsoft-Financials'!F30</f>
        <v>19.814871016691956</v>
      </c>
      <c r="O34" s="39">
        <f>'Microsoft-Financials'!G5/'Microsoft-Financials'!G30</f>
        <v>16.742383752004276</v>
      </c>
      <c r="P34" s="38"/>
      <c r="Q34" s="341"/>
    </row>
    <row r="35" spans="2:17" x14ac:dyDescent="0.3">
      <c r="B35" s="340" t="s">
        <v>126</v>
      </c>
      <c r="C35" s="38"/>
      <c r="D35" s="38"/>
      <c r="E35" s="38"/>
      <c r="F35" s="38"/>
      <c r="G35" s="38"/>
      <c r="H35" s="38"/>
      <c r="I35" s="38"/>
      <c r="J35" s="38"/>
      <c r="K35" s="38"/>
      <c r="L35" s="39">
        <f>'Microsoft-Financials'!D4/'Microsoft-Financials'!D29</f>
        <v>4.2623966942148757</v>
      </c>
      <c r="M35" s="39">
        <f>'Microsoft-Financials'!E4/'Microsoft-Financials'!E29</f>
        <v>4.4676829839742584</v>
      </c>
      <c r="N35" s="39">
        <f>'Microsoft-Financials'!F4/'Microsoft-Financials'!F29</f>
        <v>4.4183686880635067</v>
      </c>
      <c r="O35" s="39">
        <f>'Microsoft-Financials'!G4/'Microsoft-Financials'!G29</f>
        <v>4.479564402069542</v>
      </c>
      <c r="P35" s="38"/>
      <c r="Q35" s="341"/>
    </row>
    <row r="36" spans="2:17" x14ac:dyDescent="0.3">
      <c r="B36" s="340"/>
      <c r="C36" s="38"/>
      <c r="D36" s="38"/>
      <c r="E36" s="38"/>
      <c r="F36" s="38"/>
      <c r="G36" s="38"/>
      <c r="H36" s="38"/>
      <c r="I36" s="38"/>
      <c r="J36" s="38"/>
      <c r="K36" s="38"/>
      <c r="L36" s="38"/>
      <c r="M36" s="38"/>
      <c r="N36" s="38"/>
      <c r="O36" s="38"/>
      <c r="P36" s="38"/>
      <c r="Q36" s="341"/>
    </row>
    <row r="37" spans="2:17" x14ac:dyDescent="0.3">
      <c r="B37" s="511" t="s">
        <v>131</v>
      </c>
      <c r="C37" s="512"/>
      <c r="D37" s="512"/>
      <c r="E37" s="512"/>
      <c r="F37" s="512"/>
      <c r="G37" s="512"/>
      <c r="H37" s="512"/>
      <c r="I37" s="512"/>
      <c r="J37" s="512"/>
      <c r="K37" s="512"/>
      <c r="L37" s="512"/>
      <c r="M37" s="512"/>
      <c r="N37" s="512"/>
      <c r="O37" s="512"/>
      <c r="P37" s="512"/>
      <c r="Q37" s="513"/>
    </row>
    <row r="38" spans="2:17" x14ac:dyDescent="0.3">
      <c r="B38" s="340"/>
      <c r="C38" s="38"/>
      <c r="D38" s="38"/>
      <c r="E38" s="38"/>
      <c r="F38" s="38"/>
      <c r="G38" s="38"/>
      <c r="H38" s="38"/>
      <c r="I38" s="38"/>
      <c r="J38" s="38"/>
      <c r="K38" s="38"/>
      <c r="L38" s="49">
        <f>L31</f>
        <v>43617</v>
      </c>
      <c r="M38" s="49">
        <f t="shared" ref="M38:O38" si="4">M31</f>
        <v>43983</v>
      </c>
      <c r="N38" s="49">
        <f t="shared" si="4"/>
        <v>44349</v>
      </c>
      <c r="O38" s="49">
        <f t="shared" si="4"/>
        <v>44715</v>
      </c>
      <c r="P38" s="38"/>
      <c r="Q38" s="341"/>
    </row>
    <row r="39" spans="2:17" x14ac:dyDescent="0.3">
      <c r="B39" s="340" t="s">
        <v>132</v>
      </c>
      <c r="C39" s="38"/>
      <c r="D39" s="38"/>
      <c r="E39" s="38"/>
      <c r="F39" s="38"/>
      <c r="G39" s="38"/>
      <c r="H39" s="38"/>
      <c r="I39" s="38"/>
      <c r="J39" s="38"/>
      <c r="K39" s="38"/>
      <c r="L39" s="67">
        <f>'Microsoft-Financials'!D22/'Microsoft-Financials'!D58</f>
        <v>0.38346525945470539</v>
      </c>
      <c r="M39" s="67">
        <f>'Microsoft-Financials'!E22/'Microsoft-Financials'!E58</f>
        <v>0.37429841763592103</v>
      </c>
      <c r="N39" s="67">
        <f>'Microsoft-Financials'!F22/'Microsoft-Financials'!F58</f>
        <v>0.43152238217314137</v>
      </c>
      <c r="O39" s="67">
        <f>'Microsoft-Financials'!G22/'Microsoft-Financials'!G58</f>
        <v>0.43675469250999749</v>
      </c>
      <c r="P39" s="38"/>
      <c r="Q39" s="341"/>
    </row>
    <row r="40" spans="2:17" x14ac:dyDescent="0.3">
      <c r="B40" s="340" t="s">
        <v>133</v>
      </c>
      <c r="C40" s="38"/>
      <c r="D40" s="38"/>
      <c r="E40" s="38"/>
      <c r="F40" s="38"/>
      <c r="G40" s="38"/>
      <c r="H40" s="38"/>
      <c r="I40" s="38"/>
      <c r="J40" s="38"/>
      <c r="K40" s="38"/>
      <c r="L40" s="67">
        <f>'Microsoft-Financials'!D22/'Microsoft-Financials'!D40</f>
        <v>0.13693658482111698</v>
      </c>
      <c r="M40" s="67">
        <f>'Microsoft-Financials'!E22/'Microsoft-Financials'!E40</f>
        <v>0.14696111326835065</v>
      </c>
      <c r="N40" s="67">
        <f>'Microsoft-Financials'!F22/'Microsoft-Financials'!F40</f>
        <v>0.18356757015869782</v>
      </c>
      <c r="O40" s="67">
        <f>'Microsoft-Financials'!G22/'Microsoft-Financials'!G40</f>
        <v>0.19936958666812848</v>
      </c>
      <c r="P40" s="38"/>
      <c r="Q40" s="341"/>
    </row>
    <row r="41" spans="2:17" x14ac:dyDescent="0.3">
      <c r="B41" s="340" t="s">
        <v>134</v>
      </c>
      <c r="C41" s="38"/>
      <c r="D41" s="38"/>
      <c r="E41" s="38"/>
      <c r="F41" s="38"/>
      <c r="G41" s="38"/>
      <c r="H41" s="38"/>
      <c r="I41" s="38"/>
      <c r="J41" s="38"/>
      <c r="K41" s="38"/>
      <c r="L41" s="67">
        <f>'Microsoft-Financials'!D22/('Microsoft-Financials'!D46+'Microsoft-Financials'!D43+'Microsoft-Financials'!D58)</f>
        <v>0.22486075136956471</v>
      </c>
      <c r="M41" s="67">
        <f>'Microsoft-Financials'!E22/('Microsoft-Financials'!E46+'Microsoft-Financials'!E43+'Microsoft-Financials'!E58)</f>
        <v>0.24379648848489521</v>
      </c>
      <c r="N41" s="67">
        <f>'Microsoft-Financials'!F22/('Microsoft-Financials'!F46+'Microsoft-Financials'!F43+'Microsoft-Financials'!F58)</f>
        <v>0.30614987958068096</v>
      </c>
      <c r="O41" s="67">
        <f>'Microsoft-Financials'!G22/('Microsoft-Financials'!G46+'Microsoft-Financials'!G43+'Microsoft-Financials'!G58)</f>
        <v>0.33624718592105324</v>
      </c>
      <c r="P41" s="38"/>
      <c r="Q41" s="341"/>
    </row>
    <row r="42" spans="2:17" x14ac:dyDescent="0.3">
      <c r="B42" s="340" t="s">
        <v>135</v>
      </c>
      <c r="C42" s="38"/>
      <c r="D42" s="38"/>
      <c r="E42" s="38"/>
      <c r="F42" s="38"/>
      <c r="G42" s="38"/>
      <c r="H42" s="38"/>
      <c r="I42" s="38"/>
      <c r="J42" s="38"/>
      <c r="K42" s="38"/>
      <c r="L42" s="67">
        <f>'Microsoft-Financials'!D22/('Microsoft-Financials'!D35+'Analysis- Microsoft'!L82)</f>
        <v>0.26162092967437395</v>
      </c>
      <c r="M42" s="67">
        <f>'Microsoft-Financials'!E22/('Microsoft-Financials'!E35+'Analysis- Microsoft'!M82)</f>
        <v>0.27248337015180696</v>
      </c>
      <c r="N42" s="67">
        <f>'Microsoft-Financials'!F22/('Microsoft-Financials'!F35+'Analysis- Microsoft'!N82)</f>
        <v>0.3678791008213651</v>
      </c>
      <c r="O42" s="67">
        <f>'Microsoft-Financials'!G22/('Microsoft-Financials'!G35+'Analysis- Microsoft'!O82)</f>
        <v>0.44859017687544711</v>
      </c>
      <c r="P42" s="38"/>
      <c r="Q42" s="341"/>
    </row>
    <row r="43" spans="2:17" x14ac:dyDescent="0.3">
      <c r="B43" s="340" t="s">
        <v>136</v>
      </c>
      <c r="C43" s="38"/>
      <c r="D43" s="38"/>
      <c r="E43" s="38"/>
      <c r="F43" s="38"/>
      <c r="G43" s="38"/>
      <c r="H43" s="38"/>
      <c r="I43" s="38"/>
      <c r="J43" s="38"/>
      <c r="K43" s="38"/>
      <c r="L43" s="67">
        <f>('Microsoft-Financials'!D14+'Microsoft-Financials'!D65)/'Microsoft-Financials'!D4</f>
        <v>0.43999268930333829</v>
      </c>
      <c r="M43" s="67">
        <f>('Microsoft-Financials'!E14+'Microsoft-Financials'!E65)/'Microsoft-Financials'!E4</f>
        <v>0.46031535153655212</v>
      </c>
      <c r="N43" s="67">
        <f>('Microsoft-Financials'!F14+'Microsoft-Financials'!F65)/'Microsoft-Financials'!F4</f>
        <v>0.49252772357336633</v>
      </c>
      <c r="O43" s="67">
        <f>('Microsoft-Financials'!G14+'Microsoft-Financials'!G65)/'Microsoft-Financials'!G4</f>
        <v>0.49516316134563976</v>
      </c>
      <c r="P43" s="38"/>
      <c r="Q43" s="341"/>
    </row>
    <row r="44" spans="2:17" x14ac:dyDescent="0.3">
      <c r="B44" s="340" t="s">
        <v>137</v>
      </c>
      <c r="C44" s="38"/>
      <c r="D44" s="38"/>
      <c r="E44" s="38"/>
      <c r="F44" s="38"/>
      <c r="G44" s="38"/>
      <c r="H44" s="38"/>
      <c r="I44" s="38"/>
      <c r="J44" s="38"/>
      <c r="K44" s="38"/>
      <c r="L44" s="67">
        <f>'Microsoft-Financials'!D22/'Microsoft-Financials'!D4</f>
        <v>0.31181710544090652</v>
      </c>
      <c r="M44" s="67">
        <f>'Microsoft-Financials'!E22/'Microsoft-Financials'!E4</f>
        <v>0.30962486452470023</v>
      </c>
      <c r="N44" s="67">
        <f>'Microsoft-Financials'!F22/'Microsoft-Financials'!F4</f>
        <v>0.36451739564989766</v>
      </c>
      <c r="O44" s="67">
        <f>'Microsoft-Financials'!G22/'Microsoft-Financials'!G4</f>
        <v>0.36686336813436221</v>
      </c>
      <c r="P44" s="38"/>
      <c r="Q44" s="341"/>
    </row>
    <row r="45" spans="2:17" x14ac:dyDescent="0.3">
      <c r="B45" s="340"/>
      <c r="C45" s="38"/>
      <c r="D45" s="38"/>
      <c r="E45" s="38"/>
      <c r="F45" s="38"/>
      <c r="G45" s="38"/>
      <c r="H45" s="38"/>
      <c r="I45" s="38"/>
      <c r="J45" s="38"/>
      <c r="K45" s="38"/>
      <c r="L45" s="38"/>
      <c r="M45" s="38"/>
      <c r="N45" s="38"/>
      <c r="O45" s="38"/>
      <c r="P45" s="38"/>
      <c r="Q45" s="341"/>
    </row>
    <row r="46" spans="2:17" x14ac:dyDescent="0.3">
      <c r="B46" s="511" t="s">
        <v>127</v>
      </c>
      <c r="C46" s="512"/>
      <c r="D46" s="512"/>
      <c r="E46" s="512"/>
      <c r="F46" s="512"/>
      <c r="G46" s="512"/>
      <c r="H46" s="512"/>
      <c r="I46" s="512"/>
      <c r="J46" s="512"/>
      <c r="K46" s="512"/>
      <c r="L46" s="512"/>
      <c r="M46" s="512"/>
      <c r="N46" s="512"/>
      <c r="O46" s="512"/>
      <c r="P46" s="512"/>
      <c r="Q46" s="513"/>
    </row>
    <row r="47" spans="2:17" x14ac:dyDescent="0.3">
      <c r="B47" s="340"/>
      <c r="C47" s="38"/>
      <c r="D47" s="38"/>
      <c r="E47" s="38"/>
      <c r="F47" s="38"/>
      <c r="G47" s="38"/>
      <c r="H47" s="38"/>
      <c r="I47" s="38"/>
      <c r="J47" s="38"/>
      <c r="K47" s="38"/>
      <c r="L47" s="49">
        <f>L38</f>
        <v>43617</v>
      </c>
      <c r="M47" s="49">
        <f t="shared" ref="M47:O47" si="5">M38</f>
        <v>43983</v>
      </c>
      <c r="N47" s="49">
        <f t="shared" si="5"/>
        <v>44349</v>
      </c>
      <c r="O47" s="49">
        <f t="shared" si="5"/>
        <v>44715</v>
      </c>
      <c r="P47" s="38"/>
      <c r="Q47" s="341"/>
    </row>
    <row r="48" spans="2:17" x14ac:dyDescent="0.3">
      <c r="B48" s="340" t="s">
        <v>128</v>
      </c>
      <c r="C48" s="38"/>
      <c r="D48" s="38"/>
      <c r="E48" s="38"/>
      <c r="F48" s="38"/>
      <c r="G48" s="38"/>
      <c r="H48" s="38"/>
      <c r="I48" s="38"/>
      <c r="J48" s="38"/>
      <c r="K48" s="38"/>
      <c r="L48" s="39">
        <f>'Microsoft-Financials'!D23/'Microsoft-Financials'!D4</f>
        <v>9.5356912978870501</v>
      </c>
      <c r="M48" s="39">
        <f>'Microsoft-Financials'!E23/'Microsoft-Financials'!E4</f>
        <v>11.754011816942279</v>
      </c>
      <c r="N48" s="39">
        <f>'Microsoft-Financials'!F23/'Microsoft-Financials'!F4</f>
        <v>15.004045499976202</v>
      </c>
      <c r="O48" s="39">
        <f>'Microsoft-Financials'!G23/'Microsoft-Financials'!G4</f>
        <v>9.0129621223584007</v>
      </c>
      <c r="P48" s="38"/>
      <c r="Q48" s="341"/>
    </row>
    <row r="49" spans="2:17" x14ac:dyDescent="0.3">
      <c r="B49" s="340" t="s">
        <v>129</v>
      </c>
      <c r="C49" s="38"/>
      <c r="D49" s="38"/>
      <c r="E49" s="38"/>
      <c r="F49" s="38"/>
      <c r="G49" s="38"/>
      <c r="H49" s="38"/>
      <c r="I49" s="38"/>
      <c r="J49" s="38"/>
      <c r="K49" s="38"/>
      <c r="L49" s="39">
        <f>'Microsoft-Financials'!D23/'Microsoft-Financials'!D22</f>
        <v>30.581039755351682</v>
      </c>
      <c r="M49" s="39">
        <f>'Microsoft-Financials'!E23/'Microsoft-Financials'!E22</f>
        <v>37.962105643503989</v>
      </c>
      <c r="N49" s="39">
        <f>'Microsoft-Financials'!F23/'Microsoft-Financials'!F22</f>
        <v>41.161397724861679</v>
      </c>
      <c r="O49" s="39">
        <f>'Microsoft-Financials'!G23/'Microsoft-Financials'!G22</f>
        <v>24.567626275124418</v>
      </c>
      <c r="P49" s="38"/>
      <c r="Q49" s="341"/>
    </row>
    <row r="50" spans="2:17" x14ac:dyDescent="0.3">
      <c r="B50" s="340" t="s">
        <v>140</v>
      </c>
      <c r="C50" s="38"/>
      <c r="D50" s="38"/>
      <c r="E50" s="38"/>
      <c r="F50" s="38"/>
      <c r="G50" s="38"/>
      <c r="H50" s="38"/>
      <c r="I50" s="38"/>
      <c r="J50" s="38"/>
      <c r="K50" s="38"/>
      <c r="L50" s="39">
        <f>'Microsoft-Financials'!D23/'Microsoft-Financials'!D72</f>
        <v>22.995113538373097</v>
      </c>
      <c r="M50" s="39">
        <f>'Microsoft-Financials'!E23/'Microsoft-Financials'!E72</f>
        <v>27.704985578903997</v>
      </c>
      <c r="N50" s="39">
        <f>'Microsoft-Financials'!F23/'Microsoft-Financials'!F72</f>
        <v>32.864216836069843</v>
      </c>
      <c r="O50" s="39">
        <f>'Microsoft-Financials'!G23/'Microsoft-Financials'!G72</f>
        <v>20.070758690402652</v>
      </c>
      <c r="P50" s="38"/>
      <c r="Q50" s="341"/>
    </row>
    <row r="51" spans="2:17" x14ac:dyDescent="0.3">
      <c r="B51" s="340" t="s">
        <v>130</v>
      </c>
      <c r="C51" s="38"/>
      <c r="D51" s="38"/>
      <c r="E51" s="38"/>
      <c r="F51" s="38"/>
      <c r="G51" s="38"/>
      <c r="H51" s="38"/>
      <c r="I51" s="38"/>
      <c r="J51" s="38"/>
      <c r="K51" s="38"/>
      <c r="L51" s="39">
        <f>'Microsoft-Financials'!D23/'Microsoft-Financials'!D58</f>
        <v>11.726766344180593</v>
      </c>
      <c r="M51" s="39">
        <f>'Microsoft-Financials'!E23/'Microsoft-Financials'!E58</f>
        <v>14.20915607249121</v>
      </c>
      <c r="N51" s="39">
        <f>'Microsoft-Financials'!F23/'Microsoft-Financials'!F58</f>
        <v>17.762064399808434</v>
      </c>
      <c r="O51" s="39">
        <f>'Microsoft-Financials'!G23/'Microsoft-Financials'!G58</f>
        <v>10.7300260594925</v>
      </c>
      <c r="P51" s="38"/>
      <c r="Q51" s="341"/>
    </row>
    <row r="52" spans="2:17" x14ac:dyDescent="0.3">
      <c r="B52" s="340"/>
      <c r="C52" s="38"/>
      <c r="D52" s="38"/>
      <c r="E52" s="38"/>
      <c r="F52" s="38"/>
      <c r="G52" s="38"/>
      <c r="H52" s="38"/>
      <c r="I52" s="38"/>
      <c r="J52" s="38"/>
      <c r="K52" s="38"/>
      <c r="L52" s="38"/>
      <c r="M52" s="38"/>
      <c r="N52" s="38"/>
      <c r="O52" s="38"/>
      <c r="P52" s="38"/>
      <c r="Q52" s="341"/>
    </row>
    <row r="53" spans="2:17" x14ac:dyDescent="0.3">
      <c r="B53" s="511" t="s">
        <v>264</v>
      </c>
      <c r="C53" s="512"/>
      <c r="D53" s="512"/>
      <c r="E53" s="512"/>
      <c r="F53" s="512"/>
      <c r="G53" s="512"/>
      <c r="H53" s="512"/>
      <c r="I53" s="512"/>
      <c r="J53" s="512"/>
      <c r="K53" s="512"/>
      <c r="L53" s="512"/>
      <c r="M53" s="512"/>
      <c r="N53" s="512"/>
      <c r="O53" s="512"/>
      <c r="P53" s="512"/>
      <c r="Q53" s="513"/>
    </row>
    <row r="54" spans="2:17" x14ac:dyDescent="0.3">
      <c r="B54" s="340"/>
      <c r="C54" s="38"/>
      <c r="D54" s="38"/>
      <c r="E54" s="38"/>
      <c r="F54" s="38"/>
      <c r="G54" s="38"/>
      <c r="H54" s="38"/>
      <c r="I54" s="38"/>
      <c r="J54" s="38"/>
      <c r="K54" s="38"/>
      <c r="L54" s="49">
        <f>L47</f>
        <v>43617</v>
      </c>
      <c r="M54" s="49">
        <f t="shared" ref="M54:O54" si="6">M47</f>
        <v>43983</v>
      </c>
      <c r="N54" s="49">
        <f t="shared" si="6"/>
        <v>44349</v>
      </c>
      <c r="O54" s="49">
        <f t="shared" si="6"/>
        <v>44715</v>
      </c>
      <c r="P54" s="38"/>
      <c r="Q54" s="341"/>
    </row>
    <row r="55" spans="2:17" x14ac:dyDescent="0.3">
      <c r="B55" s="340" t="s">
        <v>23</v>
      </c>
      <c r="C55" s="38"/>
      <c r="D55" s="38"/>
      <c r="E55" s="38"/>
      <c r="F55" s="38"/>
      <c r="G55" s="38"/>
      <c r="H55" s="38"/>
      <c r="I55" s="38"/>
      <c r="J55" s="38"/>
      <c r="K55" s="38"/>
      <c r="L55" s="51">
        <f>'Microsoft-Financials'!D22</f>
        <v>39240000</v>
      </c>
      <c r="M55" s="51">
        <f>'Microsoft-Financials'!E22</f>
        <v>44281000</v>
      </c>
      <c r="N55" s="51">
        <f>'Microsoft-Financials'!F22</f>
        <v>61271000</v>
      </c>
      <c r="O55" s="51">
        <f>'Microsoft-Financials'!G22</f>
        <v>72738000</v>
      </c>
      <c r="P55" s="38"/>
      <c r="Q55" s="341"/>
    </row>
    <row r="56" spans="2:17" x14ac:dyDescent="0.3">
      <c r="B56" s="340" t="s">
        <v>139</v>
      </c>
      <c r="C56" s="38"/>
      <c r="D56" s="38"/>
      <c r="E56" s="38"/>
      <c r="F56" s="38"/>
      <c r="G56" s="38"/>
      <c r="H56" s="38"/>
      <c r="I56" s="38"/>
      <c r="J56" s="38"/>
      <c r="K56" s="38"/>
      <c r="L56" s="51">
        <f>'Microsoft-Financials'!D4</f>
        <v>125843000</v>
      </c>
      <c r="M56" s="51">
        <f>'Microsoft-Financials'!E4</f>
        <v>143015000</v>
      </c>
      <c r="N56" s="51">
        <f>'Microsoft-Financials'!F4</f>
        <v>168088000</v>
      </c>
      <c r="O56" s="51">
        <f>'Microsoft-Financials'!G4</f>
        <v>198270000</v>
      </c>
      <c r="P56" s="38"/>
      <c r="Q56" s="341"/>
    </row>
    <row r="57" spans="2:17" x14ac:dyDescent="0.3">
      <c r="B57" s="340" t="s">
        <v>39</v>
      </c>
      <c r="C57" s="38"/>
      <c r="D57" s="38"/>
      <c r="E57" s="38"/>
      <c r="F57" s="38"/>
      <c r="G57" s="38"/>
      <c r="H57" s="38"/>
      <c r="I57" s="38"/>
      <c r="J57" s="38"/>
      <c r="K57" s="38"/>
      <c r="L57" s="51">
        <f>'Microsoft-Financials'!D40</f>
        <v>286556000</v>
      </c>
      <c r="M57" s="51">
        <f>'Microsoft-Financials'!E40</f>
        <v>301311000</v>
      </c>
      <c r="N57" s="51">
        <f>'Microsoft-Financials'!F40</f>
        <v>333779000</v>
      </c>
      <c r="O57" s="51">
        <f>'Microsoft-Financials'!G40</f>
        <v>364840000</v>
      </c>
      <c r="P57" s="38"/>
      <c r="Q57" s="341"/>
    </row>
    <row r="58" spans="2:17" x14ac:dyDescent="0.3">
      <c r="B58" s="340" t="s">
        <v>141</v>
      </c>
      <c r="C58" s="38"/>
      <c r="D58" s="38"/>
      <c r="E58" s="38"/>
      <c r="F58" s="38"/>
      <c r="G58" s="38"/>
      <c r="H58" s="38"/>
      <c r="I58" s="38"/>
      <c r="J58" s="38"/>
      <c r="K58" s="38"/>
      <c r="L58" s="51">
        <f>'Microsoft-Financials'!D58</f>
        <v>102330000</v>
      </c>
      <c r="M58" s="51">
        <f>'Microsoft-Financials'!E58</f>
        <v>118304000</v>
      </c>
      <c r="N58" s="51">
        <f>'Microsoft-Financials'!F58</f>
        <v>141988000</v>
      </c>
      <c r="O58" s="51">
        <f>'Microsoft-Financials'!G58</f>
        <v>166542000</v>
      </c>
      <c r="P58" s="38"/>
      <c r="Q58" s="341"/>
    </row>
    <row r="59" spans="2:17" x14ac:dyDescent="0.3">
      <c r="B59" s="340" t="s">
        <v>142</v>
      </c>
      <c r="C59" s="38"/>
      <c r="D59" s="38"/>
      <c r="E59" s="38"/>
      <c r="F59" s="38"/>
      <c r="G59" s="38"/>
      <c r="H59" s="38"/>
      <c r="I59" s="38"/>
      <c r="J59" s="38"/>
      <c r="K59" s="38"/>
      <c r="L59" s="67">
        <f>L55/L56</f>
        <v>0.31181710544090652</v>
      </c>
      <c r="M59" s="67">
        <f t="shared" ref="M59:O59" si="7">M55/M56</f>
        <v>0.30962486452470023</v>
      </c>
      <c r="N59" s="67">
        <f t="shared" si="7"/>
        <v>0.36451739564989766</v>
      </c>
      <c r="O59" s="67">
        <f t="shared" si="7"/>
        <v>0.36686336813436221</v>
      </c>
      <c r="P59" s="38"/>
      <c r="Q59" s="341"/>
    </row>
    <row r="60" spans="2:17" x14ac:dyDescent="0.3">
      <c r="B60" s="340" t="s">
        <v>143</v>
      </c>
      <c r="C60" s="38"/>
      <c r="D60" s="38"/>
      <c r="E60" s="38"/>
      <c r="F60" s="38"/>
      <c r="G60" s="38"/>
      <c r="H60" s="38"/>
      <c r="I60" s="38"/>
      <c r="J60" s="38"/>
      <c r="K60" s="38"/>
      <c r="L60" s="39">
        <f>L56/L57</f>
        <v>0.43915674423149403</v>
      </c>
      <c r="M60" s="39">
        <f t="shared" ref="M60:O60" si="8">M56/M57</f>
        <v>0.47464247903329121</v>
      </c>
      <c r="N60" s="39">
        <f t="shared" si="8"/>
        <v>0.50359069923512267</v>
      </c>
      <c r="O60" s="39">
        <f t="shared" si="8"/>
        <v>0.54344370134853637</v>
      </c>
      <c r="P60" s="38"/>
      <c r="Q60" s="341"/>
    </row>
    <row r="61" spans="2:17" x14ac:dyDescent="0.3">
      <c r="B61" s="340" t="s">
        <v>144</v>
      </c>
      <c r="C61" s="38"/>
      <c r="D61" s="38"/>
      <c r="E61" s="38"/>
      <c r="F61" s="38"/>
      <c r="G61" s="38"/>
      <c r="H61" s="38"/>
      <c r="I61" s="38"/>
      <c r="J61" s="38"/>
      <c r="K61" s="38"/>
      <c r="L61" s="39">
        <f>L57/L58</f>
        <v>2.8003127137691783</v>
      </c>
      <c r="M61" s="39">
        <f t="shared" ref="M61:O61" si="9">M57/M58</f>
        <v>2.5469214903976196</v>
      </c>
      <c r="N61" s="39">
        <f t="shared" si="9"/>
        <v>2.3507549933797223</v>
      </c>
      <c r="O61" s="39">
        <f t="shared" si="9"/>
        <v>2.1906786276134547</v>
      </c>
      <c r="P61" s="38"/>
      <c r="Q61" s="341"/>
    </row>
    <row r="62" spans="2:17" x14ac:dyDescent="0.3">
      <c r="B62" s="346" t="s">
        <v>145</v>
      </c>
      <c r="C62" s="338"/>
      <c r="D62" s="338"/>
      <c r="E62" s="338"/>
      <c r="F62" s="338"/>
      <c r="G62" s="338"/>
      <c r="H62" s="338"/>
      <c r="I62" s="338"/>
      <c r="J62" s="338"/>
      <c r="K62" s="338"/>
      <c r="L62" s="339">
        <f>L59*L60*L61</f>
        <v>0.38346525945470539</v>
      </c>
      <c r="M62" s="339">
        <f t="shared" ref="M62:O62" si="10">M59*M60*M61</f>
        <v>0.37429841763592103</v>
      </c>
      <c r="N62" s="339">
        <f t="shared" si="10"/>
        <v>0.43152238217314137</v>
      </c>
      <c r="O62" s="339">
        <f t="shared" si="10"/>
        <v>0.43675469250999743</v>
      </c>
      <c r="P62" s="338"/>
      <c r="Q62" s="347"/>
    </row>
    <row r="63" spans="2:17" x14ac:dyDescent="0.3">
      <c r="B63" s="340"/>
      <c r="C63" s="38"/>
      <c r="D63" s="38"/>
      <c r="E63" s="38"/>
      <c r="F63" s="38"/>
      <c r="G63" s="38"/>
      <c r="H63" s="38"/>
      <c r="I63" s="38"/>
      <c r="J63" s="38"/>
      <c r="K63" s="38"/>
      <c r="L63" s="38"/>
      <c r="M63" s="38"/>
      <c r="N63" s="38"/>
      <c r="O63" s="38"/>
      <c r="P63" s="38"/>
      <c r="Q63" s="341"/>
    </row>
    <row r="64" spans="2:17" x14ac:dyDescent="0.3">
      <c r="B64" s="511" t="s">
        <v>254</v>
      </c>
      <c r="C64" s="512"/>
      <c r="D64" s="512"/>
      <c r="E64" s="512"/>
      <c r="F64" s="512"/>
      <c r="G64" s="512"/>
      <c r="H64" s="512"/>
      <c r="I64" s="512"/>
      <c r="J64" s="512"/>
      <c r="K64" s="512"/>
      <c r="L64" s="512"/>
      <c r="M64" s="512"/>
      <c r="N64" s="512"/>
      <c r="O64" s="512"/>
      <c r="P64" s="512"/>
      <c r="Q64" s="513"/>
    </row>
    <row r="65" spans="2:17" x14ac:dyDescent="0.3">
      <c r="B65" s="340"/>
      <c r="C65" s="38"/>
      <c r="D65" s="38"/>
      <c r="E65" s="38"/>
      <c r="F65" s="38"/>
      <c r="G65" s="38"/>
      <c r="H65" s="38"/>
      <c r="I65" s="38"/>
      <c r="J65" s="38"/>
      <c r="K65" s="38"/>
      <c r="L65" s="49">
        <f>L54</f>
        <v>43617</v>
      </c>
      <c r="M65" s="49">
        <f t="shared" ref="M65:O65" si="11">M54</f>
        <v>43983</v>
      </c>
      <c r="N65" s="49">
        <f t="shared" si="11"/>
        <v>44349</v>
      </c>
      <c r="O65" s="49">
        <f t="shared" si="11"/>
        <v>44715</v>
      </c>
      <c r="P65" s="38"/>
      <c r="Q65" s="341"/>
    </row>
    <row r="66" spans="2:17" x14ac:dyDescent="0.3">
      <c r="B66" s="340" t="s">
        <v>23</v>
      </c>
      <c r="C66" s="38"/>
      <c r="D66" s="38"/>
      <c r="E66" s="38"/>
      <c r="F66" s="38"/>
      <c r="G66" s="38"/>
      <c r="H66" s="38"/>
      <c r="I66" s="38"/>
      <c r="J66" s="38"/>
      <c r="K66" s="38"/>
      <c r="L66" s="51">
        <f>L55</f>
        <v>39240000</v>
      </c>
      <c r="M66" s="51">
        <f t="shared" ref="M66:O66" si="12">M55</f>
        <v>44281000</v>
      </c>
      <c r="N66" s="51">
        <f t="shared" si="12"/>
        <v>61271000</v>
      </c>
      <c r="O66" s="51">
        <f t="shared" si="12"/>
        <v>72738000</v>
      </c>
      <c r="P66" s="38"/>
      <c r="Q66" s="341"/>
    </row>
    <row r="67" spans="2:17" x14ac:dyDescent="0.3">
      <c r="B67" s="340" t="s">
        <v>139</v>
      </c>
      <c r="C67" s="38"/>
      <c r="D67" s="38"/>
      <c r="E67" s="38"/>
      <c r="F67" s="38"/>
      <c r="G67" s="38"/>
      <c r="H67" s="38"/>
      <c r="I67" s="38"/>
      <c r="J67" s="38"/>
      <c r="K67" s="38"/>
      <c r="L67" s="51">
        <f t="shared" ref="L67:O67" si="13">L56</f>
        <v>125843000</v>
      </c>
      <c r="M67" s="51">
        <f t="shared" si="13"/>
        <v>143015000</v>
      </c>
      <c r="N67" s="51">
        <f t="shared" si="13"/>
        <v>168088000</v>
      </c>
      <c r="O67" s="51">
        <f t="shared" si="13"/>
        <v>198270000</v>
      </c>
      <c r="P67" s="38"/>
      <c r="Q67" s="341"/>
    </row>
    <row r="68" spans="2:17" x14ac:dyDescent="0.3">
      <c r="B68" s="340" t="s">
        <v>39</v>
      </c>
      <c r="C68" s="38"/>
      <c r="D68" s="38"/>
      <c r="E68" s="38"/>
      <c r="F68" s="38"/>
      <c r="G68" s="38"/>
      <c r="H68" s="38"/>
      <c r="I68" s="38"/>
      <c r="J68" s="38"/>
      <c r="K68" s="38"/>
      <c r="L68" s="51">
        <f t="shared" ref="L68:O68" si="14">L57</f>
        <v>286556000</v>
      </c>
      <c r="M68" s="51">
        <f t="shared" si="14"/>
        <v>301311000</v>
      </c>
      <c r="N68" s="51">
        <f t="shared" si="14"/>
        <v>333779000</v>
      </c>
      <c r="O68" s="51">
        <f t="shared" si="14"/>
        <v>364840000</v>
      </c>
      <c r="P68" s="38"/>
      <c r="Q68" s="341"/>
    </row>
    <row r="69" spans="2:17" x14ac:dyDescent="0.3">
      <c r="B69" s="340" t="s">
        <v>142</v>
      </c>
      <c r="C69" s="38"/>
      <c r="D69" s="38"/>
      <c r="E69" s="38"/>
      <c r="F69" s="38"/>
      <c r="G69" s="38"/>
      <c r="H69" s="38"/>
      <c r="I69" s="38"/>
      <c r="J69" s="38"/>
      <c r="K69" s="38"/>
      <c r="L69" s="67">
        <f>L66/L67</f>
        <v>0.31181710544090652</v>
      </c>
      <c r="M69" s="67">
        <f t="shared" ref="M69:O69" si="15">M66/M67</f>
        <v>0.30962486452470023</v>
      </c>
      <c r="N69" s="67">
        <f t="shared" si="15"/>
        <v>0.36451739564989766</v>
      </c>
      <c r="O69" s="67">
        <f t="shared" si="15"/>
        <v>0.36686336813436221</v>
      </c>
      <c r="P69" s="38"/>
      <c r="Q69" s="341"/>
    </row>
    <row r="70" spans="2:17" x14ac:dyDescent="0.3">
      <c r="B70" s="340" t="s">
        <v>143</v>
      </c>
      <c r="C70" s="38"/>
      <c r="D70" s="38"/>
      <c r="E70" s="38"/>
      <c r="F70" s="38"/>
      <c r="G70" s="38"/>
      <c r="H70" s="38"/>
      <c r="I70" s="38"/>
      <c r="J70" s="38"/>
      <c r="K70" s="38"/>
      <c r="L70" s="39">
        <f>L67/L68</f>
        <v>0.43915674423149403</v>
      </c>
      <c r="M70" s="39">
        <f t="shared" ref="M70:O70" si="16">M67/M68</f>
        <v>0.47464247903329121</v>
      </c>
      <c r="N70" s="39">
        <f t="shared" si="16"/>
        <v>0.50359069923512267</v>
      </c>
      <c r="O70" s="39">
        <f t="shared" si="16"/>
        <v>0.54344370134853637</v>
      </c>
      <c r="P70" s="38"/>
      <c r="Q70" s="341"/>
    </row>
    <row r="71" spans="2:17" x14ac:dyDescent="0.3">
      <c r="B71" s="346" t="s">
        <v>147</v>
      </c>
      <c r="C71" s="338"/>
      <c r="D71" s="338"/>
      <c r="E71" s="338"/>
      <c r="F71" s="338"/>
      <c r="G71" s="338"/>
      <c r="H71" s="338"/>
      <c r="I71" s="338"/>
      <c r="J71" s="338"/>
      <c r="K71" s="338"/>
      <c r="L71" s="339">
        <f>L69*L70</f>
        <v>0.13693658482111698</v>
      </c>
      <c r="M71" s="339">
        <f t="shared" ref="M71:O71" si="17">M69*M70</f>
        <v>0.14696111326835065</v>
      </c>
      <c r="N71" s="339">
        <f t="shared" si="17"/>
        <v>0.18356757015869782</v>
      </c>
      <c r="O71" s="339">
        <f t="shared" si="17"/>
        <v>0.19936958666812848</v>
      </c>
      <c r="P71" s="338"/>
      <c r="Q71" s="347"/>
    </row>
    <row r="72" spans="2:17" x14ac:dyDescent="0.3">
      <c r="B72" s="340"/>
      <c r="C72" s="38"/>
      <c r="D72" s="38"/>
      <c r="E72" s="38"/>
      <c r="F72" s="38"/>
      <c r="G72" s="38"/>
      <c r="H72" s="38"/>
      <c r="I72" s="38"/>
      <c r="J72" s="38"/>
      <c r="K72" s="38"/>
      <c r="L72" s="38"/>
      <c r="M72" s="38"/>
      <c r="N72" s="38"/>
      <c r="O72" s="38"/>
      <c r="P72" s="38"/>
      <c r="Q72" s="341"/>
    </row>
    <row r="73" spans="2:17" x14ac:dyDescent="0.3">
      <c r="B73" s="348" t="s">
        <v>194</v>
      </c>
      <c r="C73" s="38"/>
      <c r="D73" s="38"/>
      <c r="E73" s="38"/>
      <c r="F73" s="38"/>
      <c r="G73" s="38"/>
      <c r="H73" s="38"/>
      <c r="I73" s="38"/>
      <c r="J73" s="38"/>
      <c r="K73" s="38"/>
      <c r="L73" s="38"/>
      <c r="M73" s="38"/>
      <c r="N73" s="38"/>
      <c r="O73" s="38"/>
      <c r="P73" s="38"/>
      <c r="Q73" s="341"/>
    </row>
    <row r="74" spans="2:17" x14ac:dyDescent="0.3">
      <c r="B74" s="348" t="s">
        <v>311</v>
      </c>
      <c r="C74" s="38"/>
      <c r="D74" s="38"/>
      <c r="E74" s="38"/>
      <c r="F74" s="38"/>
      <c r="G74" s="38"/>
      <c r="H74" s="38"/>
      <c r="I74" s="38"/>
      <c r="J74" s="38"/>
      <c r="K74" s="38"/>
      <c r="L74" s="38"/>
      <c r="M74" s="38"/>
      <c r="N74" s="38"/>
      <c r="O74" s="38"/>
      <c r="P74" s="38"/>
      <c r="Q74" s="341"/>
    </row>
    <row r="75" spans="2:17" x14ac:dyDescent="0.3">
      <c r="B75" s="348" t="s">
        <v>312</v>
      </c>
      <c r="C75" s="38"/>
      <c r="D75" s="38"/>
      <c r="E75" s="38"/>
      <c r="F75" s="38"/>
      <c r="G75" s="38"/>
      <c r="H75" s="38"/>
      <c r="I75" s="38"/>
      <c r="J75" s="38"/>
      <c r="K75" s="38"/>
      <c r="L75" s="38"/>
      <c r="M75" s="38"/>
      <c r="N75" s="38"/>
      <c r="O75" s="38"/>
      <c r="P75" s="38"/>
      <c r="Q75" s="341"/>
    </row>
    <row r="76" spans="2:17" ht="15" thickBot="1" x14ac:dyDescent="0.35">
      <c r="B76" s="349" t="s">
        <v>313</v>
      </c>
      <c r="C76" s="343"/>
      <c r="D76" s="343"/>
      <c r="E76" s="343"/>
      <c r="F76" s="343"/>
      <c r="G76" s="343"/>
      <c r="H76" s="343"/>
      <c r="I76" s="343"/>
      <c r="J76" s="343"/>
      <c r="K76" s="343"/>
      <c r="L76" s="343"/>
      <c r="M76" s="343"/>
      <c r="N76" s="343"/>
      <c r="O76" s="343"/>
      <c r="P76" s="343"/>
      <c r="Q76" s="345"/>
    </row>
    <row r="78" spans="2:17" x14ac:dyDescent="0.3">
      <c r="B78" s="519" t="s">
        <v>209</v>
      </c>
      <c r="C78" s="515"/>
      <c r="D78" s="515"/>
      <c r="E78" s="515"/>
      <c r="F78" s="515"/>
      <c r="G78" s="515"/>
      <c r="H78" s="515"/>
      <c r="I78" s="515"/>
      <c r="J78" s="515"/>
      <c r="K78" s="515"/>
      <c r="L78" s="515"/>
      <c r="M78" s="515"/>
      <c r="N78" s="515"/>
      <c r="O78" s="515"/>
      <c r="P78" s="515"/>
      <c r="Q78" s="520"/>
    </row>
    <row r="79" spans="2:17" x14ac:dyDescent="0.3">
      <c r="B79" s="340"/>
      <c r="C79" s="38"/>
      <c r="D79" s="38"/>
      <c r="E79" s="38"/>
      <c r="F79" s="38"/>
      <c r="G79" s="38"/>
      <c r="H79" s="38"/>
      <c r="I79" s="38"/>
      <c r="J79" s="38"/>
      <c r="K79" s="38"/>
      <c r="L79" s="38"/>
      <c r="M79" s="38"/>
      <c r="N79" s="38"/>
      <c r="O79" s="38"/>
      <c r="P79" s="38"/>
      <c r="Q79" s="341"/>
    </row>
    <row r="80" spans="2:17" x14ac:dyDescent="0.3">
      <c r="B80" s="511" t="s">
        <v>151</v>
      </c>
      <c r="C80" s="512"/>
      <c r="D80" s="512"/>
      <c r="E80" s="512"/>
      <c r="F80" s="512"/>
      <c r="G80" s="512"/>
      <c r="H80" s="512"/>
      <c r="I80" s="512"/>
      <c r="J80" s="512"/>
      <c r="K80" s="512"/>
      <c r="L80" s="512"/>
      <c r="M80" s="512"/>
      <c r="N80" s="512"/>
      <c r="O80" s="512"/>
      <c r="P80" s="512"/>
      <c r="Q80" s="513"/>
    </row>
    <row r="81" spans="2:17" x14ac:dyDescent="0.3">
      <c r="B81" s="340"/>
      <c r="C81" s="38"/>
      <c r="D81" s="38"/>
      <c r="E81" s="38"/>
      <c r="F81" s="38"/>
      <c r="G81" s="38"/>
      <c r="H81" s="38"/>
      <c r="I81" s="38"/>
      <c r="J81" s="38"/>
      <c r="K81" s="38"/>
      <c r="L81" s="49">
        <f>L65</f>
        <v>43617</v>
      </c>
      <c r="M81" s="49">
        <f t="shared" ref="M81:O81" si="18">M65</f>
        <v>43983</v>
      </c>
      <c r="N81" s="49">
        <f t="shared" si="18"/>
        <v>44349</v>
      </c>
      <c r="O81" s="49">
        <f t="shared" si="18"/>
        <v>44715</v>
      </c>
      <c r="P81" s="38"/>
      <c r="Q81" s="341"/>
    </row>
    <row r="82" spans="2:17" x14ac:dyDescent="0.3">
      <c r="B82" s="340" t="s">
        <v>152</v>
      </c>
      <c r="C82" s="38"/>
      <c r="D82" s="38"/>
      <c r="E82" s="38"/>
      <c r="F82" s="38"/>
      <c r="G82" s="38"/>
      <c r="H82" s="38"/>
      <c r="I82" s="38"/>
      <c r="J82" s="38"/>
      <c r="K82" s="38"/>
      <c r="L82" s="51">
        <f>'Microsoft-Financials'!D32-'Microsoft-Financials'!D45</f>
        <v>106132000</v>
      </c>
      <c r="M82" s="51">
        <f>'Microsoft-Financials'!E32-'Microsoft-Financials'!E45</f>
        <v>109605000</v>
      </c>
      <c r="N82" s="51">
        <f>'Microsoft-Financials'!F32-'Microsoft-Financials'!F45</f>
        <v>95749000</v>
      </c>
      <c r="O82" s="51">
        <f>'Microsoft-Financials'!G32-'Microsoft-Financials'!G45</f>
        <v>74602000</v>
      </c>
      <c r="P82" s="38"/>
      <c r="Q82" s="341"/>
    </row>
    <row r="83" spans="2:17" x14ac:dyDescent="0.3">
      <c r="B83" s="340" t="s">
        <v>39</v>
      </c>
      <c r="C83" s="38"/>
      <c r="D83" s="38"/>
      <c r="E83" s="38"/>
      <c r="F83" s="38"/>
      <c r="G83" s="38"/>
      <c r="H83" s="38"/>
      <c r="I83" s="38"/>
      <c r="J83" s="38"/>
      <c r="K83" s="38"/>
      <c r="L83" s="51">
        <f>L68</f>
        <v>286556000</v>
      </c>
      <c r="M83" s="51">
        <f t="shared" ref="M83:O83" si="19">M68</f>
        <v>301311000</v>
      </c>
      <c r="N83" s="51">
        <f t="shared" si="19"/>
        <v>333779000</v>
      </c>
      <c r="O83" s="51">
        <f t="shared" si="19"/>
        <v>364840000</v>
      </c>
      <c r="P83" s="38"/>
      <c r="Q83" s="341"/>
    </row>
    <row r="84" spans="2:17" x14ac:dyDescent="0.3">
      <c r="B84" s="340" t="s">
        <v>161</v>
      </c>
      <c r="C84" s="38"/>
      <c r="D84" s="38"/>
      <c r="E84" s="38"/>
      <c r="F84" s="38"/>
      <c r="G84" s="38"/>
      <c r="H84" s="38"/>
      <c r="I84" s="38"/>
      <c r="J84" s="38"/>
      <c r="K84" s="38"/>
      <c r="L84" s="39">
        <f>L82/L83</f>
        <v>0.3703708873658203</v>
      </c>
      <c r="M84" s="39">
        <f t="shared" ref="M84:O84" si="20">M82/M83</f>
        <v>0.36376036719535632</v>
      </c>
      <c r="N84" s="39">
        <f t="shared" si="20"/>
        <v>0.2868634635492347</v>
      </c>
      <c r="O84" s="39">
        <f t="shared" si="20"/>
        <v>0.20447867558381758</v>
      </c>
      <c r="P84" s="38"/>
      <c r="Q84" s="341"/>
    </row>
    <row r="85" spans="2:17" x14ac:dyDescent="0.3">
      <c r="B85" s="340"/>
      <c r="C85" s="38"/>
      <c r="D85" s="38"/>
      <c r="E85" s="38"/>
      <c r="F85" s="38"/>
      <c r="G85" s="38"/>
      <c r="H85" s="38"/>
      <c r="I85" s="38"/>
      <c r="J85" s="38"/>
      <c r="K85" s="38"/>
      <c r="L85" s="38"/>
      <c r="M85" s="38"/>
      <c r="N85" s="38"/>
      <c r="O85" s="38"/>
      <c r="P85" s="38"/>
      <c r="Q85" s="341"/>
    </row>
    <row r="86" spans="2:17" x14ac:dyDescent="0.3">
      <c r="B86" s="511" t="s">
        <v>153</v>
      </c>
      <c r="C86" s="512"/>
      <c r="D86" s="512"/>
      <c r="E86" s="512"/>
      <c r="F86" s="512"/>
      <c r="G86" s="512"/>
      <c r="H86" s="512"/>
      <c r="I86" s="512"/>
      <c r="J86" s="512"/>
      <c r="K86" s="512"/>
      <c r="L86" s="512"/>
      <c r="M86" s="512"/>
      <c r="N86" s="512"/>
      <c r="O86" s="512"/>
      <c r="P86" s="512"/>
      <c r="Q86" s="513"/>
    </row>
    <row r="87" spans="2:17" x14ac:dyDescent="0.3">
      <c r="B87" s="340"/>
      <c r="C87" s="38"/>
      <c r="D87" s="38"/>
      <c r="E87" s="38"/>
      <c r="F87" s="38"/>
      <c r="G87" s="38"/>
      <c r="H87" s="38"/>
      <c r="I87" s="38"/>
      <c r="J87" s="38"/>
      <c r="K87" s="38"/>
      <c r="L87" s="49">
        <f>L81</f>
        <v>43617</v>
      </c>
      <c r="M87" s="49">
        <f t="shared" ref="M87:O87" si="21">M81</f>
        <v>43983</v>
      </c>
      <c r="N87" s="49">
        <f t="shared" si="21"/>
        <v>44349</v>
      </c>
      <c r="O87" s="49">
        <f t="shared" si="21"/>
        <v>44715</v>
      </c>
      <c r="P87" s="38"/>
      <c r="Q87" s="341"/>
    </row>
    <row r="88" spans="2:17" x14ac:dyDescent="0.3">
      <c r="B88" s="340" t="s">
        <v>186</v>
      </c>
      <c r="C88" s="38"/>
      <c r="D88" s="38"/>
      <c r="E88" s="38"/>
      <c r="F88" s="38"/>
      <c r="G88" s="38"/>
      <c r="H88" s="38"/>
      <c r="I88" s="38"/>
      <c r="J88" s="38"/>
      <c r="K88" s="38"/>
      <c r="L88" s="51">
        <f>'Microsoft-Financials'!D14</f>
        <v>43688000</v>
      </c>
      <c r="M88" s="51">
        <f>'Microsoft-Financials'!E14</f>
        <v>53036000</v>
      </c>
      <c r="N88" s="51">
        <f>'Microsoft-Financials'!F14</f>
        <v>71102000</v>
      </c>
      <c r="O88" s="51">
        <f>'Microsoft-Financials'!G14</f>
        <v>83716000</v>
      </c>
      <c r="P88" s="38"/>
      <c r="Q88" s="341"/>
    </row>
    <row r="89" spans="2:17" x14ac:dyDescent="0.3">
      <c r="B89" s="340" t="s">
        <v>39</v>
      </c>
      <c r="C89" s="38"/>
      <c r="D89" s="38"/>
      <c r="E89" s="38"/>
      <c r="F89" s="38"/>
      <c r="G89" s="38"/>
      <c r="H89" s="38"/>
      <c r="I89" s="38"/>
      <c r="J89" s="38"/>
      <c r="K89" s="38"/>
      <c r="L89" s="51">
        <f>L83</f>
        <v>286556000</v>
      </c>
      <c r="M89" s="51">
        <f t="shared" ref="M89:O89" si="22">M83</f>
        <v>301311000</v>
      </c>
      <c r="N89" s="51">
        <f t="shared" si="22"/>
        <v>333779000</v>
      </c>
      <c r="O89" s="51">
        <f t="shared" si="22"/>
        <v>364840000</v>
      </c>
      <c r="P89" s="38"/>
      <c r="Q89" s="341"/>
    </row>
    <row r="90" spans="2:17" x14ac:dyDescent="0.3">
      <c r="B90" s="340" t="s">
        <v>237</v>
      </c>
      <c r="C90" s="38"/>
      <c r="D90" s="38"/>
      <c r="E90" s="38"/>
      <c r="F90" s="38"/>
      <c r="G90" s="38"/>
      <c r="H90" s="38"/>
      <c r="I90" s="38"/>
      <c r="J90" s="38"/>
      <c r="K90" s="38"/>
      <c r="L90" s="39">
        <f>L88/L89</f>
        <v>0.1524588562096065</v>
      </c>
      <c r="M90" s="39">
        <f t="shared" ref="M90:O90" si="23">M88/M89</f>
        <v>0.17601747032136231</v>
      </c>
      <c r="N90" s="39">
        <f t="shared" si="23"/>
        <v>0.21302119066807679</v>
      </c>
      <c r="O90" s="39">
        <f t="shared" si="23"/>
        <v>0.22945948909110844</v>
      </c>
      <c r="P90" s="38"/>
      <c r="Q90" s="341"/>
    </row>
    <row r="91" spans="2:17" x14ac:dyDescent="0.3">
      <c r="B91" s="340"/>
      <c r="C91" s="38"/>
      <c r="D91" s="38"/>
      <c r="E91" s="38"/>
      <c r="F91" s="38"/>
      <c r="G91" s="38"/>
      <c r="H91" s="38"/>
      <c r="I91" s="38"/>
      <c r="J91" s="38"/>
      <c r="K91" s="38"/>
      <c r="L91" s="38"/>
      <c r="M91" s="38"/>
      <c r="N91" s="38"/>
      <c r="O91" s="38"/>
      <c r="P91" s="38"/>
      <c r="Q91" s="341"/>
    </row>
    <row r="92" spans="2:17" x14ac:dyDescent="0.3">
      <c r="B92" s="511" t="s">
        <v>154</v>
      </c>
      <c r="C92" s="512"/>
      <c r="D92" s="512"/>
      <c r="E92" s="512"/>
      <c r="F92" s="512"/>
      <c r="G92" s="512"/>
      <c r="H92" s="512"/>
      <c r="I92" s="512"/>
      <c r="J92" s="512"/>
      <c r="K92" s="512"/>
      <c r="L92" s="512"/>
      <c r="M92" s="512"/>
      <c r="N92" s="512"/>
      <c r="O92" s="512"/>
      <c r="P92" s="512"/>
      <c r="Q92" s="513"/>
    </row>
    <row r="93" spans="2:17" x14ac:dyDescent="0.3">
      <c r="B93" s="340"/>
      <c r="C93" s="38"/>
      <c r="D93" s="38"/>
      <c r="E93" s="38"/>
      <c r="F93" s="38"/>
      <c r="G93" s="38"/>
      <c r="H93" s="38"/>
      <c r="I93" s="38"/>
      <c r="J93" s="38"/>
      <c r="K93" s="38"/>
      <c r="L93" s="49">
        <f>L87</f>
        <v>43617</v>
      </c>
      <c r="M93" s="49">
        <f t="shared" ref="M93:O93" si="24">M87</f>
        <v>43983</v>
      </c>
      <c r="N93" s="49">
        <f t="shared" si="24"/>
        <v>44349</v>
      </c>
      <c r="O93" s="49">
        <f t="shared" si="24"/>
        <v>44715</v>
      </c>
      <c r="P93" s="38"/>
      <c r="Q93" s="341"/>
    </row>
    <row r="94" spans="2:17" x14ac:dyDescent="0.3">
      <c r="B94" s="340" t="s">
        <v>53</v>
      </c>
      <c r="C94" s="38"/>
      <c r="D94" s="38"/>
      <c r="E94" s="38"/>
      <c r="F94" s="38"/>
      <c r="G94" s="38"/>
      <c r="H94" s="38"/>
      <c r="I94" s="38"/>
      <c r="J94" s="38"/>
      <c r="K94" s="38"/>
      <c r="L94" s="51">
        <f>'Microsoft-Financials'!D55</f>
        <v>0</v>
      </c>
      <c r="M94" s="51">
        <f>'Microsoft-Financials'!E55</f>
        <v>0</v>
      </c>
      <c r="N94" s="51">
        <f>'Microsoft-Financials'!F55</f>
        <v>0</v>
      </c>
      <c r="O94" s="51">
        <f>'Microsoft-Financials'!G55</f>
        <v>0</v>
      </c>
      <c r="P94" s="38"/>
      <c r="Q94" s="341"/>
    </row>
    <row r="95" spans="2:17" x14ac:dyDescent="0.3">
      <c r="B95" s="340" t="s">
        <v>39</v>
      </c>
      <c r="C95" s="38"/>
      <c r="D95" s="38"/>
      <c r="E95" s="38"/>
      <c r="F95" s="38"/>
      <c r="G95" s="38"/>
      <c r="H95" s="38"/>
      <c r="I95" s="38"/>
      <c r="J95" s="38"/>
      <c r="K95" s="38"/>
      <c r="L95" s="51">
        <f>L89</f>
        <v>286556000</v>
      </c>
      <c r="M95" s="51">
        <f t="shared" ref="M95:O95" si="25">M89</f>
        <v>301311000</v>
      </c>
      <c r="N95" s="51">
        <f t="shared" si="25"/>
        <v>333779000</v>
      </c>
      <c r="O95" s="51">
        <f t="shared" si="25"/>
        <v>364840000</v>
      </c>
      <c r="P95" s="38"/>
      <c r="Q95" s="341"/>
    </row>
    <row r="96" spans="2:17" x14ac:dyDescent="0.3">
      <c r="B96" s="340" t="s">
        <v>238</v>
      </c>
      <c r="C96" s="38"/>
      <c r="D96" s="38"/>
      <c r="E96" s="38"/>
      <c r="F96" s="38"/>
      <c r="G96" s="38"/>
      <c r="H96" s="38"/>
      <c r="I96" s="38"/>
      <c r="J96" s="38"/>
      <c r="K96" s="38"/>
      <c r="L96" s="39">
        <f>L94/L95</f>
        <v>0</v>
      </c>
      <c r="M96" s="39">
        <f t="shared" ref="M96:O96" si="26">M94/M95</f>
        <v>0</v>
      </c>
      <c r="N96" s="39">
        <f t="shared" si="26"/>
        <v>0</v>
      </c>
      <c r="O96" s="39">
        <f t="shared" si="26"/>
        <v>0</v>
      </c>
      <c r="P96" s="38"/>
      <c r="Q96" s="341"/>
    </row>
    <row r="97" spans="2:17" x14ac:dyDescent="0.3">
      <c r="B97" s="340"/>
      <c r="C97" s="38"/>
      <c r="D97" s="38"/>
      <c r="E97" s="38"/>
      <c r="F97" s="38"/>
      <c r="G97" s="38"/>
      <c r="H97" s="38"/>
      <c r="I97" s="38"/>
      <c r="J97" s="38"/>
      <c r="K97" s="38"/>
      <c r="L97" s="39"/>
      <c r="M97" s="39"/>
      <c r="N97" s="39"/>
      <c r="O97" s="39"/>
      <c r="P97" s="38"/>
      <c r="Q97" s="341"/>
    </row>
    <row r="98" spans="2:17" x14ac:dyDescent="0.3">
      <c r="B98" s="511" t="s">
        <v>156</v>
      </c>
      <c r="C98" s="512"/>
      <c r="D98" s="512"/>
      <c r="E98" s="512"/>
      <c r="F98" s="512"/>
      <c r="G98" s="512"/>
      <c r="H98" s="512"/>
      <c r="I98" s="512"/>
      <c r="J98" s="512"/>
      <c r="K98" s="512"/>
      <c r="L98" s="512"/>
      <c r="M98" s="512"/>
      <c r="N98" s="512"/>
      <c r="O98" s="512"/>
      <c r="P98" s="512"/>
      <c r="Q98" s="513"/>
    </row>
    <row r="99" spans="2:17" x14ac:dyDescent="0.3">
      <c r="B99" s="340"/>
      <c r="C99" s="38"/>
      <c r="D99" s="38"/>
      <c r="E99" s="38"/>
      <c r="F99" s="38"/>
      <c r="G99" s="38"/>
      <c r="H99" s="38"/>
      <c r="I99" s="38"/>
      <c r="J99" s="38"/>
      <c r="K99" s="38"/>
      <c r="L99" s="49">
        <f>L93</f>
        <v>43617</v>
      </c>
      <c r="M99" s="49">
        <f t="shared" ref="M99:O99" si="27">M93</f>
        <v>43983</v>
      </c>
      <c r="N99" s="49">
        <f t="shared" si="27"/>
        <v>44349</v>
      </c>
      <c r="O99" s="49">
        <f t="shared" si="27"/>
        <v>44715</v>
      </c>
      <c r="P99" s="38"/>
      <c r="Q99" s="341"/>
    </row>
    <row r="100" spans="2:17" x14ac:dyDescent="0.3">
      <c r="B100" s="340" t="s">
        <v>213</v>
      </c>
      <c r="C100" s="38"/>
      <c r="D100" s="38"/>
      <c r="E100" s="38"/>
      <c r="F100" s="38"/>
      <c r="G100" s="38"/>
      <c r="H100" s="38"/>
      <c r="I100" s="38"/>
      <c r="J100" s="38"/>
      <c r="K100" s="38"/>
      <c r="L100" s="51">
        <f>'Microsoft-Financials'!D4</f>
        <v>125843000</v>
      </c>
      <c r="M100" s="51">
        <f>'Microsoft-Financials'!E4</f>
        <v>143015000</v>
      </c>
      <c r="N100" s="51">
        <f>'Microsoft-Financials'!F4</f>
        <v>168088000</v>
      </c>
      <c r="O100" s="51">
        <f>'Microsoft-Financials'!G4</f>
        <v>198270000</v>
      </c>
      <c r="P100" s="38"/>
      <c r="Q100" s="341"/>
    </row>
    <row r="101" spans="2:17" x14ac:dyDescent="0.3">
      <c r="B101" s="340" t="s">
        <v>39</v>
      </c>
      <c r="C101" s="38"/>
      <c r="D101" s="38"/>
      <c r="E101" s="38"/>
      <c r="F101" s="38"/>
      <c r="G101" s="38"/>
      <c r="H101" s="38"/>
      <c r="I101" s="38"/>
      <c r="J101" s="38"/>
      <c r="K101" s="38"/>
      <c r="L101" s="51">
        <f>L95</f>
        <v>286556000</v>
      </c>
      <c r="M101" s="51">
        <f t="shared" ref="M101:O101" si="28">M95</f>
        <v>301311000</v>
      </c>
      <c r="N101" s="51">
        <f t="shared" si="28"/>
        <v>333779000</v>
      </c>
      <c r="O101" s="51">
        <f t="shared" si="28"/>
        <v>364840000</v>
      </c>
      <c r="P101" s="38"/>
      <c r="Q101" s="341"/>
    </row>
    <row r="102" spans="2:17" x14ac:dyDescent="0.3">
      <c r="B102" s="340" t="s">
        <v>239</v>
      </c>
      <c r="C102" s="38"/>
      <c r="D102" s="38"/>
      <c r="E102" s="38"/>
      <c r="F102" s="38"/>
      <c r="G102" s="38"/>
      <c r="H102" s="38"/>
      <c r="I102" s="38"/>
      <c r="J102" s="38"/>
      <c r="K102" s="38"/>
      <c r="L102" s="39">
        <f>L100/L101</f>
        <v>0.43915674423149403</v>
      </c>
      <c r="M102" s="39">
        <f t="shared" ref="M102:O102" si="29">M100/M101</f>
        <v>0.47464247903329121</v>
      </c>
      <c r="N102" s="39">
        <f t="shared" si="29"/>
        <v>0.50359069923512267</v>
      </c>
      <c r="O102" s="39">
        <f t="shared" si="29"/>
        <v>0.54344370134853637</v>
      </c>
      <c r="P102" s="38"/>
      <c r="Q102" s="341"/>
    </row>
    <row r="103" spans="2:17" x14ac:dyDescent="0.3">
      <c r="B103" s="340"/>
      <c r="C103" s="38"/>
      <c r="D103" s="38"/>
      <c r="E103" s="38"/>
      <c r="F103" s="38"/>
      <c r="G103" s="38"/>
      <c r="H103" s="38"/>
      <c r="I103" s="38"/>
      <c r="J103" s="38"/>
      <c r="K103" s="38"/>
      <c r="L103" s="38"/>
      <c r="M103" s="38"/>
      <c r="N103" s="38"/>
      <c r="O103" s="38"/>
      <c r="P103" s="38"/>
      <c r="Q103" s="341"/>
    </row>
    <row r="104" spans="2:17" x14ac:dyDescent="0.3">
      <c r="B104" s="511" t="s">
        <v>310</v>
      </c>
      <c r="C104" s="512"/>
      <c r="D104" s="512"/>
      <c r="E104" s="512"/>
      <c r="F104" s="512"/>
      <c r="G104" s="512"/>
      <c r="H104" s="512"/>
      <c r="I104" s="512"/>
      <c r="J104" s="512"/>
      <c r="K104" s="512"/>
      <c r="L104" s="512"/>
      <c r="M104" s="512"/>
      <c r="N104" s="512"/>
      <c r="O104" s="512"/>
      <c r="P104" s="512"/>
      <c r="Q104" s="513"/>
    </row>
    <row r="105" spans="2:17" x14ac:dyDescent="0.3">
      <c r="B105" s="340"/>
      <c r="C105" s="38"/>
      <c r="D105" s="38"/>
      <c r="E105" s="38"/>
      <c r="F105" s="38"/>
      <c r="G105" s="38"/>
      <c r="H105" s="38"/>
      <c r="I105" s="38"/>
      <c r="J105" s="38"/>
      <c r="K105" s="38"/>
      <c r="L105" s="49">
        <f>L99</f>
        <v>43617</v>
      </c>
      <c r="M105" s="49">
        <f t="shared" ref="M105:O105" si="30">M99</f>
        <v>43983</v>
      </c>
      <c r="N105" s="49">
        <f t="shared" si="30"/>
        <v>44349</v>
      </c>
      <c r="O105" s="49">
        <f t="shared" si="30"/>
        <v>44715</v>
      </c>
      <c r="P105" s="38"/>
      <c r="Q105" s="341"/>
    </row>
    <row r="106" spans="2:17" x14ac:dyDescent="0.3">
      <c r="B106" s="340" t="s">
        <v>160</v>
      </c>
      <c r="C106" s="38"/>
      <c r="D106" s="38"/>
      <c r="E106" s="38"/>
      <c r="F106" s="38"/>
      <c r="G106" s="38"/>
      <c r="H106" s="38"/>
      <c r="I106" s="38"/>
      <c r="J106" s="38"/>
      <c r="K106" s="38"/>
      <c r="L106" s="51">
        <f>'Microsoft-Financials'!D23</f>
        <v>1200000000</v>
      </c>
      <c r="M106" s="51">
        <f>'Microsoft-Financials'!E23</f>
        <v>1681000000</v>
      </c>
      <c r="N106" s="51">
        <f>'Microsoft-Financials'!F23</f>
        <v>2522000000</v>
      </c>
      <c r="O106" s="51">
        <f>'Microsoft-Financials'!G23</f>
        <v>1787000000</v>
      </c>
      <c r="P106" s="38"/>
      <c r="Q106" s="341"/>
    </row>
    <row r="107" spans="2:17" x14ac:dyDescent="0.3">
      <c r="B107" s="340" t="s">
        <v>159</v>
      </c>
      <c r="C107" s="38"/>
      <c r="D107" s="38"/>
      <c r="E107" s="38"/>
      <c r="F107" s="38"/>
      <c r="G107" s="38"/>
      <c r="H107" s="38"/>
      <c r="I107" s="38"/>
      <c r="J107" s="38"/>
      <c r="K107" s="38"/>
      <c r="L107" s="51">
        <f>'Microsoft-Financials'!D46</f>
        <v>66662000</v>
      </c>
      <c r="M107" s="51">
        <f>'Microsoft-Financials'!E46</f>
        <v>59578000</v>
      </c>
      <c r="N107" s="51">
        <f>'Microsoft-Financials'!F46</f>
        <v>50074000</v>
      </c>
      <c r="O107" s="51">
        <f>'Microsoft-Financials'!G46</f>
        <v>47032000</v>
      </c>
      <c r="P107" s="38"/>
      <c r="Q107" s="341"/>
    </row>
    <row r="108" spans="2:17" ht="15" thickBot="1" x14ac:dyDescent="0.35">
      <c r="B108" s="342" t="s">
        <v>240</v>
      </c>
      <c r="C108" s="343"/>
      <c r="D108" s="343"/>
      <c r="E108" s="343"/>
      <c r="F108" s="343"/>
      <c r="G108" s="343"/>
      <c r="H108" s="343"/>
      <c r="I108" s="343"/>
      <c r="J108" s="343"/>
      <c r="K108" s="343"/>
      <c r="L108" s="344">
        <f>L106/L107</f>
        <v>18.001260088206173</v>
      </c>
      <c r="M108" s="344">
        <f t="shared" ref="M108:O108" si="31">M106/M107</f>
        <v>28.215112961160159</v>
      </c>
      <c r="N108" s="344">
        <f t="shared" si="31"/>
        <v>50.365459120501654</v>
      </c>
      <c r="O108" s="344">
        <f t="shared" si="31"/>
        <v>37.995407382207858</v>
      </c>
      <c r="P108" s="343"/>
      <c r="Q108" s="345"/>
    </row>
    <row r="110" spans="2:17" x14ac:dyDescent="0.3">
      <c r="B110" s="514" t="s">
        <v>188</v>
      </c>
      <c r="C110" s="515"/>
      <c r="D110" s="515"/>
      <c r="E110" s="515"/>
      <c r="F110" s="515"/>
      <c r="G110" s="515"/>
      <c r="H110" s="515"/>
      <c r="I110" s="515"/>
      <c r="J110" s="515"/>
      <c r="K110" s="515"/>
      <c r="L110" s="515"/>
      <c r="M110" s="515"/>
      <c r="N110" s="515"/>
      <c r="O110" s="515"/>
      <c r="P110" s="515"/>
      <c r="Q110" s="516"/>
    </row>
    <row r="111" spans="2:17" x14ac:dyDescent="0.3">
      <c r="B111" s="119"/>
      <c r="C111" s="38"/>
      <c r="D111" s="88" t="s">
        <v>169</v>
      </c>
      <c r="E111" s="88" t="s">
        <v>170</v>
      </c>
      <c r="F111" s="88" t="s">
        <v>171</v>
      </c>
      <c r="G111" s="88" t="s">
        <v>172</v>
      </c>
      <c r="H111" s="88" t="s">
        <v>173</v>
      </c>
      <c r="I111" s="38"/>
      <c r="J111" s="38"/>
      <c r="K111" s="38"/>
      <c r="L111" s="38"/>
      <c r="M111" s="38"/>
      <c r="N111" s="38"/>
      <c r="O111" s="37" t="s">
        <v>166</v>
      </c>
      <c r="P111" s="38"/>
      <c r="Q111" s="337" t="s">
        <v>174</v>
      </c>
    </row>
    <row r="112" spans="2:17" x14ac:dyDescent="0.3">
      <c r="B112" s="119" t="s">
        <v>226</v>
      </c>
      <c r="C112" s="38" t="s">
        <v>168</v>
      </c>
      <c r="D112" s="88">
        <v>1.2</v>
      </c>
      <c r="E112" s="88">
        <v>3.3</v>
      </c>
      <c r="F112" s="88">
        <v>1.4</v>
      </c>
      <c r="G112" s="88">
        <v>1</v>
      </c>
      <c r="H112" s="88">
        <v>0.6</v>
      </c>
      <c r="I112" s="38"/>
      <c r="J112" s="38"/>
      <c r="K112" s="38"/>
      <c r="L112" s="38"/>
      <c r="M112" s="38"/>
      <c r="N112" s="38"/>
      <c r="O112" s="38"/>
      <c r="P112" s="38"/>
      <c r="Q112" s="120"/>
    </row>
    <row r="113" spans="2:17" x14ac:dyDescent="0.3">
      <c r="B113" s="154">
        <f t="array" ref="B113:B116">TRANSPOSE(L105:O105)</f>
        <v>43617</v>
      </c>
      <c r="C113" s="38"/>
      <c r="D113" s="39">
        <f t="array" ref="D113:D116">TRANSPOSE(L84:O84)</f>
        <v>0.3703708873658203</v>
      </c>
      <c r="E113" s="39">
        <f t="array" ref="E113:E116">TRANSPOSE(L90:O90)</f>
        <v>0.1524588562096065</v>
      </c>
      <c r="F113" s="39">
        <f t="array" ref="F113:F116">TRANSPOSE(L96:O96)</f>
        <v>0</v>
      </c>
      <c r="G113" s="39">
        <f t="array" ref="G113:G116">TRANSPOSE(L102:O102)</f>
        <v>0.43915674423149403</v>
      </c>
      <c r="H113" s="39">
        <f t="array" ref="H113:H116">TRANSPOSE(L108:O108)</f>
        <v>18.001260088206173</v>
      </c>
      <c r="I113" s="38"/>
      <c r="J113" s="38"/>
      <c r="K113" s="38"/>
      <c r="L113" s="38"/>
      <c r="M113" s="38"/>
      <c r="N113" s="38"/>
      <c r="O113" s="66">
        <f>SUMPRODUCT(D113:H113,$D$112:$H$112)</f>
        <v>12.187472087485885</v>
      </c>
      <c r="P113" s="38"/>
      <c r="Q113" s="120" t="str">
        <f>IF(O113&lt;3.1,"Distress Zone", " Safe Zone")</f>
        <v xml:space="preserve"> Safe Zone</v>
      </c>
    </row>
    <row r="114" spans="2:17" x14ac:dyDescent="0.3">
      <c r="B114" s="154">
        <v>43983</v>
      </c>
      <c r="C114" s="38"/>
      <c r="D114" s="39">
        <v>0.36376036719535632</v>
      </c>
      <c r="E114" s="39">
        <v>0.17601747032136231</v>
      </c>
      <c r="F114" s="39">
        <v>0</v>
      </c>
      <c r="G114" s="39">
        <v>0.47464247903329121</v>
      </c>
      <c r="H114" s="39">
        <v>28.215112961160159</v>
      </c>
      <c r="I114" s="38"/>
      <c r="J114" s="38"/>
      <c r="K114" s="38"/>
      <c r="L114" s="38"/>
      <c r="M114" s="38"/>
      <c r="N114" s="38"/>
      <c r="O114" s="66">
        <f t="shared" ref="O114:O116" si="32">SUMPRODUCT(D114:H114,$D$112:$H$112)</f>
        <v>18.421080348424308</v>
      </c>
      <c r="P114" s="38"/>
      <c r="Q114" s="120" t="str">
        <f t="shared" ref="Q114:Q116" si="33">IF(O114&lt;3.1,"Distress Zone", " Safe Zone")</f>
        <v xml:space="preserve"> Safe Zone</v>
      </c>
    </row>
    <row r="115" spans="2:17" x14ac:dyDescent="0.3">
      <c r="B115" s="154">
        <v>44349</v>
      </c>
      <c r="C115" s="38"/>
      <c r="D115" s="39">
        <v>0.2868634635492347</v>
      </c>
      <c r="E115" s="39">
        <v>0.21302119066807679</v>
      </c>
      <c r="F115" s="39">
        <v>0</v>
      </c>
      <c r="G115" s="39">
        <v>0.50359069923512267</v>
      </c>
      <c r="H115" s="39">
        <v>50.365459120501654</v>
      </c>
      <c r="I115" s="38"/>
      <c r="J115" s="38"/>
      <c r="K115" s="38"/>
      <c r="L115" s="38"/>
      <c r="M115" s="38"/>
      <c r="N115" s="38"/>
      <c r="O115" s="66">
        <f t="shared" si="32"/>
        <v>31.77007225699985</v>
      </c>
      <c r="P115" s="38"/>
      <c r="Q115" s="120" t="str">
        <f t="shared" si="33"/>
        <v xml:space="preserve"> Safe Zone</v>
      </c>
    </row>
    <row r="116" spans="2:17" ht="15" thickBot="1" x14ac:dyDescent="0.35">
      <c r="B116" s="155">
        <v>44715</v>
      </c>
      <c r="C116" s="156"/>
      <c r="D116" s="157">
        <v>0.20447867558381758</v>
      </c>
      <c r="E116" s="157">
        <v>0.22945948909110844</v>
      </c>
      <c r="F116" s="157">
        <v>0</v>
      </c>
      <c r="G116" s="157">
        <v>0.54344370134853637</v>
      </c>
      <c r="H116" s="157">
        <v>37.995407382207858</v>
      </c>
      <c r="I116" s="156"/>
      <c r="J116" s="156"/>
      <c r="K116" s="156"/>
      <c r="L116" s="156"/>
      <c r="M116" s="156"/>
      <c r="N116" s="156"/>
      <c r="O116" s="159">
        <f t="shared" si="32"/>
        <v>24.343278855374489</v>
      </c>
      <c r="P116" s="156"/>
      <c r="Q116" s="158" t="str">
        <f t="shared" si="33"/>
        <v xml:space="preserve"> Safe Zone</v>
      </c>
    </row>
  </sheetData>
  <sheetProtection sheet="1" objects="1" scenarios="1"/>
  <customSheetViews>
    <customSheetView guid="{157A7F57-E932-4D71-AAC5-1BA0DA6A9C96}" showGridLines="0" topLeftCell="A46">
      <selection activeCell="Q113" sqref="Q113"/>
      <pageMargins left="0.7" right="0.7" top="0.75" bottom="0.75" header="0.3" footer="0.3"/>
      <pageSetup paperSize="9" orientation="portrait" r:id="rId1"/>
    </customSheetView>
  </customSheetViews>
  <mergeCells count="17">
    <mergeCell ref="B2:F3"/>
    <mergeCell ref="B80:Q80"/>
    <mergeCell ref="B7:Q11"/>
    <mergeCell ref="B13:Q13"/>
    <mergeCell ref="B15:Q15"/>
    <mergeCell ref="B21:Q21"/>
    <mergeCell ref="B30:Q30"/>
    <mergeCell ref="B37:Q37"/>
    <mergeCell ref="B46:Q46"/>
    <mergeCell ref="B53:Q53"/>
    <mergeCell ref="B64:Q64"/>
    <mergeCell ref="B78:Q78"/>
    <mergeCell ref="B86:Q86"/>
    <mergeCell ref="B92:Q92"/>
    <mergeCell ref="B98:Q98"/>
    <mergeCell ref="B104:Q104"/>
    <mergeCell ref="B110:Q110"/>
  </mergeCells>
  <conditionalFormatting sqref="O113:O116">
    <cfRule type="cellIs" dxfId="3" priority="1" operator="greaterThan">
      <formula>3.1</formula>
    </cfRule>
  </conditionalFormatting>
  <pageMargins left="0.7" right="0.7" top="0.75" bottom="0.75" header="0.3" footer="0.3"/>
  <pageSetup paperSize="9" orientation="portrait" r:id="rId2"/>
  <ignoredErrors>
    <ignoredError sqref="M33:O33" evalError="1"/>
  </ignoredError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4"/>
  <sheetViews>
    <sheetView showGridLines="0" topLeftCell="A22" workbookViewId="0">
      <selection activeCell="G23" sqref="G23"/>
    </sheetView>
  </sheetViews>
  <sheetFormatPr defaultRowHeight="14.4" x14ac:dyDescent="0.3"/>
  <cols>
    <col min="1" max="1" width="1.88671875" customWidth="1"/>
    <col min="2" max="2" width="41.21875" bestFit="1" customWidth="1"/>
    <col min="4" max="5" width="11.44140625" bestFit="1" customWidth="1"/>
    <col min="6" max="6" width="11.33203125" bestFit="1" customWidth="1"/>
    <col min="7" max="7" width="11.44140625" bestFit="1" customWidth="1"/>
  </cols>
  <sheetData>
    <row r="2" spans="2:7" ht="21" x14ac:dyDescent="0.4">
      <c r="B2" s="5" t="s">
        <v>113</v>
      </c>
    </row>
    <row r="3" spans="2:7" x14ac:dyDescent="0.3">
      <c r="B3" t="s">
        <v>0</v>
      </c>
      <c r="D3" s="9">
        <v>43535</v>
      </c>
      <c r="E3" s="9">
        <v>43841</v>
      </c>
      <c r="F3" t="s">
        <v>112</v>
      </c>
      <c r="G3" t="s">
        <v>111</v>
      </c>
    </row>
    <row r="4" spans="2:7" x14ac:dyDescent="0.3">
      <c r="B4" t="s">
        <v>5</v>
      </c>
      <c r="D4" s="19">
        <v>22597000</v>
      </c>
      <c r="E4" s="19">
        <v>23888000</v>
      </c>
      <c r="F4" s="19">
        <v>27450000</v>
      </c>
      <c r="G4" s="19">
        <v>33203000</v>
      </c>
    </row>
    <row r="5" spans="2:7" x14ac:dyDescent="0.3">
      <c r="B5" t="s">
        <v>6</v>
      </c>
      <c r="D5" s="19">
        <v>10114000</v>
      </c>
      <c r="E5" s="19">
        <v>10372000</v>
      </c>
      <c r="F5" s="19">
        <v>10606000</v>
      </c>
      <c r="G5" s="19">
        <v>11108000</v>
      </c>
    </row>
    <row r="6" spans="2:7" x14ac:dyDescent="0.3">
      <c r="B6" t="s">
        <v>7</v>
      </c>
      <c r="D6" s="19">
        <v>12483000</v>
      </c>
      <c r="E6" s="19">
        <v>13516000</v>
      </c>
      <c r="F6" s="19">
        <v>16844000</v>
      </c>
      <c r="G6" s="19">
        <v>22095000</v>
      </c>
    </row>
    <row r="7" spans="2:7" x14ac:dyDescent="0.3">
      <c r="B7" t="s">
        <v>8</v>
      </c>
      <c r="D7" s="19"/>
      <c r="E7" s="19"/>
      <c r="F7" s="19"/>
      <c r="G7" s="19"/>
    </row>
    <row r="8" spans="2:7" x14ac:dyDescent="0.3">
      <c r="B8" t="s">
        <v>9</v>
      </c>
      <c r="D8" s="19">
        <v>4696000</v>
      </c>
      <c r="E8" s="19">
        <v>4968000</v>
      </c>
      <c r="F8" s="19">
        <v>4854000</v>
      </c>
      <c r="G8" s="19">
        <v>4919000</v>
      </c>
    </row>
    <row r="9" spans="2:7" x14ac:dyDescent="0.3">
      <c r="B9" t="s">
        <v>10</v>
      </c>
      <c r="D9" s="19">
        <v>1709000</v>
      </c>
      <c r="E9" s="19">
        <v>1935000</v>
      </c>
      <c r="F9" s="19">
        <v>1347000</v>
      </c>
      <c r="G9" s="19">
        <v>1382000</v>
      </c>
    </row>
    <row r="10" spans="2:7" x14ac:dyDescent="0.3">
      <c r="B10" t="s">
        <v>11</v>
      </c>
      <c r="D10" s="19">
        <v>736000</v>
      </c>
      <c r="E10" s="19">
        <v>198000</v>
      </c>
      <c r="F10" s="19">
        <v>148000</v>
      </c>
      <c r="G10" s="19">
        <v>57000</v>
      </c>
    </row>
    <row r="11" spans="2:7" x14ac:dyDescent="0.3">
      <c r="B11" t="s">
        <v>13</v>
      </c>
      <c r="D11" s="19">
        <v>1898000</v>
      </c>
      <c r="E11" s="19">
        <v>2401000</v>
      </c>
      <c r="F11" s="19">
        <v>1976000</v>
      </c>
      <c r="G11" s="19">
        <v>1512000</v>
      </c>
    </row>
    <row r="12" spans="2:7" x14ac:dyDescent="0.3">
      <c r="B12" t="s">
        <v>14</v>
      </c>
      <c r="D12" s="19">
        <v>3444000</v>
      </c>
      <c r="E12" s="19">
        <v>4014000</v>
      </c>
      <c r="F12" s="19">
        <v>8519000</v>
      </c>
      <c r="G12" s="19">
        <v>14225000</v>
      </c>
    </row>
    <row r="13" spans="2:7" x14ac:dyDescent="0.3">
      <c r="B13" t="s">
        <v>15</v>
      </c>
      <c r="D13" s="19">
        <v>226000</v>
      </c>
      <c r="E13" s="19">
        <v>206000</v>
      </c>
      <c r="F13" s="19">
        <v>131000</v>
      </c>
      <c r="G13" s="19">
        <v>-54000</v>
      </c>
    </row>
    <row r="14" spans="2:7" x14ac:dyDescent="0.3">
      <c r="B14" t="s">
        <v>16</v>
      </c>
      <c r="D14" s="19">
        <v>3670000</v>
      </c>
      <c r="E14" s="19">
        <v>4220000</v>
      </c>
      <c r="F14" s="19">
        <v>8650000</v>
      </c>
      <c r="G14" s="19">
        <v>14171000</v>
      </c>
    </row>
    <row r="15" spans="2:7" x14ac:dyDescent="0.3">
      <c r="B15" t="s">
        <v>17</v>
      </c>
      <c r="D15" s="19">
        <v>1444000</v>
      </c>
      <c r="E15" s="19">
        <v>1777000</v>
      </c>
      <c r="F15" s="19">
        <v>1885000</v>
      </c>
      <c r="G15" s="19">
        <v>1737000</v>
      </c>
    </row>
    <row r="16" spans="2:7" x14ac:dyDescent="0.3">
      <c r="B16" t="s">
        <v>18</v>
      </c>
      <c r="D16" s="19">
        <v>2226000</v>
      </c>
      <c r="E16" s="19">
        <v>2443000</v>
      </c>
      <c r="F16" s="19">
        <v>6765000</v>
      </c>
      <c r="G16" s="19">
        <v>12434000</v>
      </c>
    </row>
    <row r="17" spans="2:7" x14ac:dyDescent="0.3">
      <c r="B17" t="s">
        <v>19</v>
      </c>
      <c r="D17" s="19">
        <v>-510000</v>
      </c>
      <c r="E17" s="19">
        <v>-518000</v>
      </c>
      <c r="F17" s="19">
        <v>29000</v>
      </c>
      <c r="G17" s="19">
        <v>939000</v>
      </c>
    </row>
    <row r="18" spans="2:7" x14ac:dyDescent="0.3">
      <c r="B18" t="s">
        <v>20</v>
      </c>
      <c r="D18" s="19">
        <v>0</v>
      </c>
      <c r="E18" s="19">
        <v>0</v>
      </c>
      <c r="F18" s="19">
        <v>0</v>
      </c>
      <c r="G18" s="19">
        <v>0</v>
      </c>
    </row>
    <row r="19" spans="2:7" x14ac:dyDescent="0.3">
      <c r="B19" t="s">
        <v>21</v>
      </c>
      <c r="D19" s="19">
        <v>0</v>
      </c>
      <c r="E19" s="19">
        <v>0</v>
      </c>
      <c r="F19" s="19">
        <v>0</v>
      </c>
      <c r="G19" s="19">
        <v>0</v>
      </c>
    </row>
    <row r="20" spans="2:7" x14ac:dyDescent="0.3">
      <c r="B20" t="s">
        <v>22</v>
      </c>
      <c r="D20" s="19">
        <v>2736000</v>
      </c>
      <c r="E20" s="19">
        <v>2961000</v>
      </c>
      <c r="F20" s="19">
        <v>6736000</v>
      </c>
      <c r="G20" s="19">
        <v>11495000</v>
      </c>
    </row>
    <row r="21" spans="2:7" x14ac:dyDescent="0.3">
      <c r="B21" t="s">
        <v>23</v>
      </c>
      <c r="D21" s="19">
        <v>2724000</v>
      </c>
      <c r="E21" s="19">
        <v>2960000</v>
      </c>
      <c r="F21" s="19">
        <v>6736000</v>
      </c>
      <c r="G21" s="19">
        <v>11495000</v>
      </c>
    </row>
    <row r="22" spans="2:7" x14ac:dyDescent="0.3">
      <c r="B22" t="s">
        <v>24</v>
      </c>
      <c r="D22" s="19">
        <v>2695000</v>
      </c>
      <c r="E22" s="19">
        <v>2663000</v>
      </c>
      <c r="F22" s="19">
        <v>6437000</v>
      </c>
      <c r="G22" s="19">
        <v>11223000</v>
      </c>
    </row>
    <row r="23" spans="2:7" x14ac:dyDescent="0.3">
      <c r="B23" t="s">
        <v>160</v>
      </c>
      <c r="D23" s="19">
        <v>125710000</v>
      </c>
      <c r="E23" s="19">
        <v>178070000</v>
      </c>
      <c r="F23" s="19">
        <v>274730000</v>
      </c>
      <c r="G23" s="19">
        <v>233650000</v>
      </c>
    </row>
    <row r="24" spans="2:7" ht="18" x14ac:dyDescent="0.35">
      <c r="B24" s="2" t="s">
        <v>114</v>
      </c>
      <c r="D24" s="19"/>
      <c r="E24" s="19"/>
      <c r="F24" s="19"/>
      <c r="G24" s="19"/>
    </row>
    <row r="25" spans="2:7" x14ac:dyDescent="0.3">
      <c r="B25" t="s">
        <v>0</v>
      </c>
      <c r="D25" s="19">
        <v>43535</v>
      </c>
      <c r="E25" s="19">
        <v>43841</v>
      </c>
      <c r="F25" s="19" t="s">
        <v>112</v>
      </c>
      <c r="G25" s="19" t="s">
        <v>111</v>
      </c>
    </row>
    <row r="26" spans="2:7" x14ac:dyDescent="0.3">
      <c r="B26" t="s">
        <v>25</v>
      </c>
      <c r="D26" s="19"/>
      <c r="E26" s="19"/>
      <c r="F26" s="19"/>
      <c r="G26" s="19"/>
    </row>
    <row r="27" spans="2:7" x14ac:dyDescent="0.3">
      <c r="B27" t="s">
        <v>26</v>
      </c>
      <c r="D27" s="19">
        <v>5055000</v>
      </c>
      <c r="E27" s="19">
        <v>7618000</v>
      </c>
      <c r="F27" s="19">
        <v>12163000</v>
      </c>
      <c r="G27" s="19">
        <v>12416000</v>
      </c>
    </row>
    <row r="28" spans="2:7" x14ac:dyDescent="0.3">
      <c r="B28" t="s">
        <v>27</v>
      </c>
      <c r="D28" s="19">
        <v>0</v>
      </c>
      <c r="E28" s="19">
        <v>0</v>
      </c>
      <c r="F28" s="19">
        <v>0</v>
      </c>
      <c r="G28" s="19">
        <v>0</v>
      </c>
    </row>
    <row r="29" spans="2:7" x14ac:dyDescent="0.3">
      <c r="B29" t="s">
        <v>28</v>
      </c>
      <c r="D29" s="19">
        <v>3259000</v>
      </c>
      <c r="E29" s="19">
        <v>2297000</v>
      </c>
      <c r="F29" s="19">
        <v>2071000</v>
      </c>
      <c r="G29" s="19">
        <v>2958000</v>
      </c>
    </row>
    <row r="30" spans="2:7" x14ac:dyDescent="0.3">
      <c r="B30" t="s">
        <v>29</v>
      </c>
      <c r="D30" s="19">
        <v>874000</v>
      </c>
      <c r="E30" s="19">
        <v>1003000</v>
      </c>
      <c r="F30" s="19">
        <v>1297000</v>
      </c>
      <c r="G30" s="19">
        <v>1925000</v>
      </c>
    </row>
    <row r="31" spans="2:7" x14ac:dyDescent="0.3">
      <c r="B31" t="s">
        <v>30</v>
      </c>
      <c r="D31" s="19">
        <v>729000</v>
      </c>
      <c r="E31" s="19">
        <v>977000</v>
      </c>
      <c r="F31" s="19">
        <v>1055000</v>
      </c>
      <c r="G31" s="19">
        <v>1205000</v>
      </c>
    </row>
    <row r="32" spans="2:7" x14ac:dyDescent="0.3">
      <c r="B32" t="s">
        <v>31</v>
      </c>
      <c r="D32" s="19">
        <v>9917000</v>
      </c>
      <c r="E32" s="19">
        <v>11895000</v>
      </c>
      <c r="F32" s="19">
        <v>16586000</v>
      </c>
      <c r="G32" s="19">
        <v>18504000</v>
      </c>
    </row>
    <row r="33" spans="2:7" x14ac:dyDescent="0.3">
      <c r="B33" t="s">
        <v>32</v>
      </c>
      <c r="D33" s="19"/>
      <c r="E33" s="19"/>
      <c r="F33" s="19"/>
      <c r="G33" s="19"/>
    </row>
    <row r="34" spans="2:7" x14ac:dyDescent="0.3">
      <c r="B34" t="s">
        <v>33</v>
      </c>
      <c r="D34" s="19">
        <v>0</v>
      </c>
      <c r="E34" s="19">
        <v>0</v>
      </c>
      <c r="F34" s="19">
        <v>0</v>
      </c>
      <c r="G34" s="19">
        <v>0</v>
      </c>
    </row>
    <row r="35" spans="2:7" x14ac:dyDescent="0.3">
      <c r="B35" t="s">
        <v>34</v>
      </c>
      <c r="D35" s="19">
        <v>2565000</v>
      </c>
      <c r="E35" s="19">
        <v>2509000</v>
      </c>
      <c r="F35" s="19">
        <v>2348000</v>
      </c>
      <c r="G35" s="19">
        <v>2223000</v>
      </c>
    </row>
    <row r="36" spans="2:7" x14ac:dyDescent="0.3">
      <c r="B36" t="s">
        <v>35</v>
      </c>
      <c r="D36" s="19">
        <v>36714000</v>
      </c>
      <c r="E36" s="19">
        <v>43447000</v>
      </c>
      <c r="F36" s="19">
        <v>43450000</v>
      </c>
      <c r="G36" s="19">
        <v>43614000</v>
      </c>
    </row>
    <row r="37" spans="2:7" x14ac:dyDescent="0.3">
      <c r="B37" t="s">
        <v>36</v>
      </c>
      <c r="D37" s="19">
        <v>17554000</v>
      </c>
      <c r="E37" s="19">
        <v>16782000</v>
      </c>
      <c r="F37" s="19">
        <v>11374000</v>
      </c>
      <c r="G37" s="19">
        <v>7111000</v>
      </c>
    </row>
    <row r="38" spans="2:7" x14ac:dyDescent="0.3">
      <c r="B38" t="s">
        <v>37</v>
      </c>
      <c r="D38" s="19">
        <v>743000</v>
      </c>
      <c r="E38" s="19">
        <v>1300000</v>
      </c>
      <c r="F38" s="19">
        <v>1812000</v>
      </c>
      <c r="G38" s="19">
        <v>1797000</v>
      </c>
    </row>
    <row r="39" spans="2:7" x14ac:dyDescent="0.3">
      <c r="B39" t="s">
        <v>38</v>
      </c>
      <c r="D39" s="19">
        <v>0</v>
      </c>
      <c r="E39" s="19">
        <v>0</v>
      </c>
      <c r="F39" s="19">
        <v>0</v>
      </c>
      <c r="G39" s="19">
        <v>0</v>
      </c>
    </row>
    <row r="40" spans="2:7" x14ac:dyDescent="0.3">
      <c r="B40" t="s">
        <v>39</v>
      </c>
      <c r="D40" s="19">
        <v>67493000</v>
      </c>
      <c r="E40" s="19">
        <v>75933000</v>
      </c>
      <c r="F40" s="19">
        <v>75570000</v>
      </c>
      <c r="G40" s="19">
        <v>73249000</v>
      </c>
    </row>
    <row r="41" spans="2:7" x14ac:dyDescent="0.3">
      <c r="B41" t="s">
        <v>40</v>
      </c>
      <c r="D41" s="19"/>
      <c r="E41" s="19"/>
      <c r="F41" s="19"/>
      <c r="G41" s="19"/>
    </row>
    <row r="42" spans="2:7" x14ac:dyDescent="0.3">
      <c r="B42" t="s">
        <v>41</v>
      </c>
      <c r="D42" s="19">
        <v>1496000</v>
      </c>
      <c r="E42" s="19">
        <v>1713000</v>
      </c>
      <c r="F42" s="19">
        <v>2152000</v>
      </c>
      <c r="G42" s="19">
        <v>2200000</v>
      </c>
    </row>
    <row r="43" spans="2:7" x14ac:dyDescent="0.3">
      <c r="B43" t="s">
        <v>42</v>
      </c>
      <c r="D43" s="19">
        <v>2787000</v>
      </c>
      <c r="E43" s="19">
        <v>827000</v>
      </c>
      <c r="F43" s="19">
        <v>290000</v>
      </c>
      <c r="G43" s="19">
        <v>440000</v>
      </c>
    </row>
    <row r="44" spans="2:7" x14ac:dyDescent="0.3">
      <c r="B44" t="s">
        <v>43</v>
      </c>
      <c r="D44" s="19">
        <v>2616000</v>
      </c>
      <c r="E44" s="19">
        <v>3831000</v>
      </c>
      <c r="F44" s="19">
        <v>3839000</v>
      </c>
      <c r="G44" s="19">
        <v>4412000</v>
      </c>
    </row>
    <row r="45" spans="2:7" x14ac:dyDescent="0.3">
      <c r="B45" t="s">
        <v>44</v>
      </c>
      <c r="D45" s="19">
        <v>6899000</v>
      </c>
      <c r="E45" s="19">
        <v>6371000</v>
      </c>
      <c r="F45" s="19">
        <v>6281000</v>
      </c>
      <c r="G45" s="19">
        <v>7052000</v>
      </c>
    </row>
    <row r="46" spans="2:7" x14ac:dyDescent="0.3">
      <c r="B46" t="s">
        <v>45</v>
      </c>
      <c r="D46" s="19">
        <v>30011000</v>
      </c>
      <c r="E46" s="19">
        <v>40235000</v>
      </c>
      <c r="F46" s="19">
        <v>39440000</v>
      </c>
      <c r="G46" s="19">
        <v>39075000</v>
      </c>
    </row>
    <row r="47" spans="2:7" x14ac:dyDescent="0.3">
      <c r="B47" t="s">
        <v>46</v>
      </c>
      <c r="D47" s="19">
        <v>5613000</v>
      </c>
      <c r="E47" s="19">
        <v>5426000</v>
      </c>
      <c r="F47" s="19">
        <v>4860000</v>
      </c>
      <c r="G47" s="19">
        <v>4413000</v>
      </c>
    </row>
    <row r="48" spans="2:7" x14ac:dyDescent="0.3">
      <c r="B48" t="s">
        <v>47</v>
      </c>
      <c r="D48" s="19">
        <v>0</v>
      </c>
      <c r="E48" s="19">
        <v>0</v>
      </c>
      <c r="F48" s="19">
        <v>0</v>
      </c>
      <c r="G48" s="19">
        <v>0</v>
      </c>
    </row>
    <row r="49" spans="2:7" x14ac:dyDescent="0.3">
      <c r="B49" t="s">
        <v>48</v>
      </c>
      <c r="D49" s="19">
        <v>0</v>
      </c>
      <c r="E49" s="19">
        <v>0</v>
      </c>
      <c r="F49" s="19">
        <v>0</v>
      </c>
      <c r="G49" s="19">
        <v>0</v>
      </c>
    </row>
    <row r="50" spans="2:7" x14ac:dyDescent="0.3">
      <c r="B50" t="s">
        <v>20</v>
      </c>
      <c r="D50" s="19">
        <v>29000</v>
      </c>
      <c r="E50" s="19">
        <v>27000</v>
      </c>
      <c r="F50" s="19">
        <v>27000</v>
      </c>
      <c r="G50" s="19">
        <v>0</v>
      </c>
    </row>
    <row r="51" spans="2:7" x14ac:dyDescent="0.3">
      <c r="B51" t="s">
        <v>49</v>
      </c>
      <c r="D51" s="19">
        <v>42523000</v>
      </c>
      <c r="E51" s="19">
        <v>52032000</v>
      </c>
      <c r="F51" s="19">
        <v>50581000</v>
      </c>
      <c r="G51" s="19">
        <v>50540000</v>
      </c>
    </row>
    <row r="52" spans="2:7" x14ac:dyDescent="0.3">
      <c r="B52" t="s">
        <v>50</v>
      </c>
      <c r="D52" s="19"/>
      <c r="E52" s="19"/>
      <c r="F52" s="19"/>
      <c r="G52" s="19"/>
    </row>
    <row r="53" spans="2:7" x14ac:dyDescent="0.3">
      <c r="B53" t="s">
        <v>51</v>
      </c>
      <c r="D53" s="19">
        <v>0</v>
      </c>
      <c r="E53" s="19">
        <v>0</v>
      </c>
      <c r="F53" s="19">
        <v>0</v>
      </c>
      <c r="G53" s="19">
        <v>0</v>
      </c>
    </row>
    <row r="54" spans="2:7" x14ac:dyDescent="0.3">
      <c r="B54" t="s">
        <v>52</v>
      </c>
      <c r="D54" s="19">
        <v>0</v>
      </c>
      <c r="E54" s="19">
        <v>0</v>
      </c>
      <c r="F54" s="19">
        <v>748000</v>
      </c>
      <c r="G54" s="19">
        <v>1604000</v>
      </c>
    </row>
    <row r="55" spans="2:7" x14ac:dyDescent="0.3">
      <c r="B55" t="s">
        <v>53</v>
      </c>
      <c r="D55" s="19">
        <v>0</v>
      </c>
      <c r="E55" s="19">
        <v>0</v>
      </c>
      <c r="F55" s="19">
        <v>0</v>
      </c>
      <c r="G55" s="19">
        <v>0</v>
      </c>
    </row>
    <row r="56" spans="2:7" x14ac:dyDescent="0.3">
      <c r="B56" t="s">
        <v>54</v>
      </c>
      <c r="D56" s="19">
        <v>25081000</v>
      </c>
      <c r="E56" s="19">
        <v>23982000</v>
      </c>
      <c r="F56" s="19">
        <v>24330000</v>
      </c>
      <c r="G56" s="19">
        <v>21159000</v>
      </c>
    </row>
    <row r="57" spans="2:7" x14ac:dyDescent="0.3">
      <c r="B57" t="s">
        <v>55</v>
      </c>
      <c r="D57" s="19">
        <v>-140000</v>
      </c>
      <c r="E57" s="19">
        <v>-108000</v>
      </c>
      <c r="F57" s="19">
        <v>-116000</v>
      </c>
      <c r="G57" s="19">
        <v>-54000</v>
      </c>
    </row>
    <row r="58" spans="2:7" x14ac:dyDescent="0.3">
      <c r="B58" t="s">
        <v>56</v>
      </c>
      <c r="D58" s="19">
        <v>24941000</v>
      </c>
      <c r="E58" s="19">
        <v>23874000</v>
      </c>
      <c r="F58" s="19">
        <v>24962000</v>
      </c>
      <c r="G58" s="19">
        <v>22709000</v>
      </c>
    </row>
    <row r="59" spans="2:7" x14ac:dyDescent="0.3">
      <c r="B59" t="s">
        <v>57</v>
      </c>
      <c r="D59" s="19">
        <v>67493000</v>
      </c>
      <c r="E59" s="19">
        <v>75933000</v>
      </c>
      <c r="F59" s="19">
        <v>75570000</v>
      </c>
      <c r="G59" s="19">
        <v>73249000</v>
      </c>
    </row>
    <row r="60" spans="2:7" x14ac:dyDescent="0.3">
      <c r="D60" s="19"/>
      <c r="E60" s="19"/>
      <c r="F60" s="19"/>
      <c r="G60" s="19"/>
    </row>
    <row r="61" spans="2:7" ht="18" x14ac:dyDescent="0.35">
      <c r="B61" s="2" t="s">
        <v>115</v>
      </c>
      <c r="D61" s="19"/>
      <c r="E61" s="19"/>
      <c r="F61" s="19"/>
      <c r="G61" s="19"/>
    </row>
    <row r="62" spans="2:7" x14ac:dyDescent="0.3">
      <c r="B62" t="s">
        <v>0</v>
      </c>
      <c r="D62" s="19">
        <v>43535</v>
      </c>
      <c r="E62" s="19">
        <v>43841</v>
      </c>
      <c r="F62" s="19" t="s">
        <v>112</v>
      </c>
      <c r="G62" s="19" t="s">
        <v>111</v>
      </c>
    </row>
    <row r="63" spans="2:7" x14ac:dyDescent="0.3">
      <c r="B63" t="s">
        <v>23</v>
      </c>
      <c r="D63" s="19">
        <v>2724000</v>
      </c>
      <c r="E63" s="19">
        <v>2960000</v>
      </c>
      <c r="F63" s="19">
        <v>6736000</v>
      </c>
      <c r="G63" s="19">
        <v>11495000</v>
      </c>
    </row>
    <row r="64" spans="2:7" x14ac:dyDescent="0.3">
      <c r="B64" t="s">
        <v>72</v>
      </c>
      <c r="D64" s="19"/>
      <c r="E64" s="19"/>
      <c r="F64" s="19"/>
      <c r="G64" s="19"/>
    </row>
    <row r="65" spans="2:7" x14ac:dyDescent="0.3">
      <c r="B65" t="s">
        <v>73</v>
      </c>
      <c r="D65" s="19">
        <v>5808000</v>
      </c>
      <c r="E65" s="19">
        <v>6905000</v>
      </c>
      <c r="F65" s="19">
        <v>6041000</v>
      </c>
      <c r="G65" s="19">
        <v>4984000</v>
      </c>
    </row>
    <row r="66" spans="2:7" x14ac:dyDescent="0.3">
      <c r="B66" t="s">
        <v>74</v>
      </c>
      <c r="D66" s="19">
        <v>1349000</v>
      </c>
      <c r="E66" s="19">
        <v>1103000</v>
      </c>
      <c r="F66" s="19">
        <v>1114000</v>
      </c>
      <c r="G66" s="19">
        <v>1911000</v>
      </c>
    </row>
    <row r="67" spans="2:7" x14ac:dyDescent="0.3">
      <c r="B67" t="s">
        <v>75</v>
      </c>
      <c r="D67" s="19"/>
      <c r="E67" s="19"/>
      <c r="F67" s="19"/>
      <c r="G67" s="19"/>
    </row>
    <row r="68" spans="2:7" x14ac:dyDescent="0.3">
      <c r="B68" t="s">
        <v>76</v>
      </c>
      <c r="D68" s="19">
        <v>486000</v>
      </c>
      <c r="E68" s="19">
        <v>981000</v>
      </c>
      <c r="F68" s="19">
        <v>210000</v>
      </c>
      <c r="G68" s="19">
        <v>-870000</v>
      </c>
    </row>
    <row r="69" spans="2:7" x14ac:dyDescent="0.3">
      <c r="B69" t="s">
        <v>77</v>
      </c>
      <c r="D69" s="19">
        <v>250000</v>
      </c>
      <c r="E69" s="19">
        <v>-31000</v>
      </c>
      <c r="F69" s="19">
        <v>-294000</v>
      </c>
      <c r="G69" s="19">
        <v>-627000</v>
      </c>
    </row>
    <row r="70" spans="2:7" x14ac:dyDescent="0.3">
      <c r="B70" t="s">
        <v>78</v>
      </c>
      <c r="D70" s="19">
        <v>-584000</v>
      </c>
      <c r="E70" s="19">
        <v>-71000</v>
      </c>
      <c r="F70" s="19">
        <v>-472000</v>
      </c>
      <c r="G70" s="19">
        <v>-214000</v>
      </c>
    </row>
    <row r="71" spans="2:7" x14ac:dyDescent="0.3">
      <c r="B71" t="s">
        <v>79</v>
      </c>
      <c r="D71" s="19">
        <v>-336000</v>
      </c>
      <c r="E71" s="19">
        <v>214000</v>
      </c>
      <c r="F71" s="19">
        <v>429000</v>
      </c>
      <c r="G71" s="19">
        <v>57000</v>
      </c>
    </row>
    <row r="72" spans="2:7" x14ac:dyDescent="0.3">
      <c r="B72" t="s">
        <v>80</v>
      </c>
      <c r="D72" s="19">
        <v>9697000</v>
      </c>
      <c r="E72" s="19">
        <v>12061000</v>
      </c>
      <c r="F72" s="19">
        <v>13764000</v>
      </c>
      <c r="G72" s="19">
        <v>16736000</v>
      </c>
    </row>
    <row r="73" spans="2:7" x14ac:dyDescent="0.3">
      <c r="B73" t="s">
        <v>81</v>
      </c>
      <c r="D73" s="19"/>
      <c r="E73" s="19"/>
      <c r="F73" s="19"/>
      <c r="G73" s="19"/>
    </row>
    <row r="74" spans="2:7" x14ac:dyDescent="0.3">
      <c r="B74" t="s">
        <v>82</v>
      </c>
      <c r="D74" s="19">
        <v>-432000</v>
      </c>
      <c r="E74" s="19">
        <v>-463000</v>
      </c>
      <c r="F74" s="19">
        <v>-443000</v>
      </c>
      <c r="G74" s="19">
        <v>-424000</v>
      </c>
    </row>
    <row r="75" spans="2:7" x14ac:dyDescent="0.3">
      <c r="B75" t="s">
        <v>83</v>
      </c>
      <c r="D75" s="19">
        <v>0</v>
      </c>
      <c r="E75" s="19">
        <v>0</v>
      </c>
      <c r="F75" s="19">
        <v>169000</v>
      </c>
      <c r="G75" s="19">
        <v>0</v>
      </c>
    </row>
    <row r="76" spans="2:7" x14ac:dyDescent="0.3">
      <c r="B76" t="s">
        <v>84</v>
      </c>
      <c r="D76" s="19">
        <v>-14990000</v>
      </c>
      <c r="E76" s="19">
        <v>-10646000</v>
      </c>
      <c r="F76" s="19">
        <v>29000</v>
      </c>
      <c r="G76" s="19">
        <v>-243000</v>
      </c>
    </row>
    <row r="77" spans="2:7" x14ac:dyDescent="0.3">
      <c r="B77" t="s">
        <v>85</v>
      </c>
      <c r="D77" s="19">
        <v>-15422000</v>
      </c>
      <c r="E77" s="19">
        <v>-11109000</v>
      </c>
      <c r="F77" s="19">
        <v>-245000</v>
      </c>
      <c r="G77" s="19">
        <v>-667000</v>
      </c>
    </row>
    <row r="78" spans="2:7" x14ac:dyDescent="0.3">
      <c r="B78" t="s">
        <v>86</v>
      </c>
      <c r="D78" s="19"/>
      <c r="E78" s="19"/>
      <c r="F78" s="19"/>
      <c r="G78" s="19"/>
    </row>
    <row r="79" spans="2:7" x14ac:dyDescent="0.3">
      <c r="B79" t="s">
        <v>87</v>
      </c>
      <c r="D79" s="19">
        <v>-1503000</v>
      </c>
      <c r="E79" s="19">
        <v>276000</v>
      </c>
      <c r="F79" s="19">
        <v>170000</v>
      </c>
      <c r="G79" s="19">
        <v>-6886000</v>
      </c>
    </row>
    <row r="80" spans="2:7" x14ac:dyDescent="0.3">
      <c r="B80" t="s">
        <v>88</v>
      </c>
      <c r="D80" s="19">
        <v>11993000</v>
      </c>
      <c r="E80" s="19">
        <v>8988000</v>
      </c>
      <c r="F80" s="19">
        <v>-1591000</v>
      </c>
      <c r="G80" s="19">
        <v>-426000</v>
      </c>
    </row>
    <row r="81" spans="2:7" x14ac:dyDescent="0.3">
      <c r="B81" t="s">
        <v>89</v>
      </c>
      <c r="D81" s="19">
        <v>-1008000</v>
      </c>
      <c r="E81" s="19">
        <v>-834000</v>
      </c>
      <c r="F81" s="19">
        <v>-1341000</v>
      </c>
      <c r="G81" s="19">
        <v>-1472000</v>
      </c>
    </row>
    <row r="82" spans="2:7" x14ac:dyDescent="0.3">
      <c r="B82" t="s">
        <v>90</v>
      </c>
      <c r="D82" s="19">
        <v>6488000</v>
      </c>
      <c r="E82" s="19">
        <v>1611000</v>
      </c>
      <c r="F82" s="19">
        <v>-8974000</v>
      </c>
      <c r="G82" s="19">
        <v>-15816000</v>
      </c>
    </row>
    <row r="83" spans="2:7" x14ac:dyDescent="0.3">
      <c r="B83" t="s">
        <v>91</v>
      </c>
      <c r="D83" s="19">
        <v>0</v>
      </c>
      <c r="E83" s="19">
        <v>0</v>
      </c>
      <c r="F83" s="19">
        <v>0</v>
      </c>
      <c r="G83" s="19">
        <v>0</v>
      </c>
    </row>
    <row r="84" spans="2:7" x14ac:dyDescent="0.3">
      <c r="B84" t="s">
        <v>92</v>
      </c>
      <c r="D84" s="19">
        <v>763000</v>
      </c>
      <c r="E84" s="19">
        <v>2563000</v>
      </c>
      <c r="F84" s="19">
        <v>4545000</v>
      </c>
      <c r="G84" s="19">
        <v>253000</v>
      </c>
    </row>
  </sheetData>
  <sheetProtection sheet="1" objects="1" scenarios="1"/>
  <customSheetViews>
    <customSheetView guid="{157A7F57-E932-4D71-AAC5-1BA0DA6A9C96}" showGridLines="0" topLeftCell="A22">
      <selection activeCell="G23" sqref="G23"/>
      <pageMargins left="0.7" right="0.7" top="0.75" bottom="0.75" header="0.3" footer="0.3"/>
    </customSheetView>
  </customSheetView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15"/>
  <sheetViews>
    <sheetView showGridLines="0" topLeftCell="B10" zoomScaleNormal="100" workbookViewId="0">
      <selection activeCell="T77" sqref="T77"/>
    </sheetView>
  </sheetViews>
  <sheetFormatPr defaultRowHeight="14.4" x14ac:dyDescent="0.3"/>
  <cols>
    <col min="1" max="1" width="1.88671875" customWidth="1"/>
    <col min="2" max="2" width="9.6640625" bestFit="1" customWidth="1"/>
    <col min="12" max="15" width="11.33203125" bestFit="1" customWidth="1"/>
  </cols>
  <sheetData>
    <row r="2" spans="2:18" x14ac:dyDescent="0.3">
      <c r="B2" s="524" t="s">
        <v>314</v>
      </c>
      <c r="C2" s="524"/>
      <c r="D2" s="524"/>
      <c r="E2" s="524"/>
      <c r="F2" s="524"/>
      <c r="G2" s="350"/>
      <c r="H2" s="350"/>
      <c r="I2" s="350"/>
      <c r="J2" s="350"/>
      <c r="K2" s="350"/>
      <c r="L2" s="350"/>
      <c r="M2" s="350"/>
      <c r="N2" s="350"/>
      <c r="O2" s="350"/>
      <c r="P2" s="350"/>
      <c r="Q2" s="350"/>
      <c r="R2" s="350"/>
    </row>
    <row r="3" spans="2:18" x14ac:dyDescent="0.3">
      <c r="B3" s="524"/>
      <c r="C3" s="524"/>
      <c r="D3" s="524"/>
      <c r="E3" s="524"/>
      <c r="F3" s="524"/>
      <c r="G3" s="350"/>
      <c r="H3" s="350"/>
      <c r="I3" s="350"/>
      <c r="J3" s="350"/>
      <c r="K3" s="350"/>
      <c r="L3" s="350"/>
      <c r="M3" s="350"/>
      <c r="N3" s="350"/>
      <c r="O3" s="350"/>
      <c r="P3" s="350"/>
      <c r="Q3" s="350"/>
      <c r="R3" s="350"/>
    </row>
    <row r="4" spans="2:18" x14ac:dyDescent="0.3">
      <c r="B4" s="524"/>
      <c r="C4" s="524"/>
      <c r="D4" s="524"/>
      <c r="E4" s="524"/>
      <c r="F4" s="524"/>
      <c r="G4" s="350"/>
      <c r="H4" s="350"/>
      <c r="I4" s="350"/>
      <c r="J4" s="350"/>
      <c r="K4" s="350"/>
      <c r="L4" s="350"/>
      <c r="M4" s="350"/>
      <c r="N4" s="350"/>
      <c r="O4" s="350"/>
      <c r="P4" s="350"/>
      <c r="Q4" s="350"/>
      <c r="R4" s="350"/>
    </row>
    <row r="5" spans="2:18" x14ac:dyDescent="0.3">
      <c r="B5" s="351" t="s">
        <v>315</v>
      </c>
      <c r="C5" s="350"/>
      <c r="D5" s="350"/>
      <c r="E5" s="350"/>
      <c r="F5" s="350"/>
      <c r="G5" s="350"/>
      <c r="H5" s="350"/>
      <c r="I5" s="350"/>
      <c r="J5" s="350"/>
      <c r="K5" s="350"/>
      <c r="L5" s="350"/>
      <c r="M5" s="350"/>
      <c r="N5" s="350"/>
      <c r="O5" s="350"/>
      <c r="P5" s="350"/>
      <c r="Q5" s="350"/>
      <c r="R5" s="350"/>
    </row>
    <row r="6" spans="2:18" x14ac:dyDescent="0.3">
      <c r="B6" s="351" t="s">
        <v>316</v>
      </c>
      <c r="C6" s="350"/>
      <c r="D6" s="350"/>
      <c r="E6" s="350"/>
      <c r="F6" s="350"/>
      <c r="G6" s="350"/>
      <c r="H6" s="350"/>
      <c r="I6" s="350"/>
      <c r="J6" s="350"/>
      <c r="K6" s="350"/>
      <c r="L6" s="350"/>
      <c r="M6" s="350"/>
      <c r="N6" s="350"/>
      <c r="O6" s="350"/>
      <c r="P6" s="350"/>
      <c r="Q6" s="350"/>
      <c r="R6" s="350"/>
    </row>
    <row r="7" spans="2:18" x14ac:dyDescent="0.3">
      <c r="B7" s="350"/>
      <c r="C7" s="350"/>
      <c r="D7" s="350"/>
      <c r="E7" s="350"/>
      <c r="F7" s="350"/>
      <c r="G7" s="350"/>
      <c r="H7" s="350"/>
      <c r="I7" s="350"/>
      <c r="J7" s="350"/>
      <c r="K7" s="350"/>
      <c r="L7" s="350"/>
      <c r="M7" s="350"/>
      <c r="N7" s="350"/>
      <c r="O7" s="350"/>
      <c r="P7" s="350"/>
      <c r="Q7" s="350"/>
      <c r="R7" s="350"/>
    </row>
    <row r="9" spans="2:18" ht="14.4" customHeight="1" x14ac:dyDescent="0.3">
      <c r="B9" s="525" t="s">
        <v>317</v>
      </c>
      <c r="C9" s="525"/>
      <c r="D9" s="525"/>
      <c r="E9" s="525"/>
      <c r="F9" s="525"/>
      <c r="G9" s="525"/>
      <c r="H9" s="525"/>
      <c r="I9" s="525"/>
      <c r="J9" s="525"/>
      <c r="K9" s="525"/>
      <c r="L9" s="525"/>
      <c r="M9" s="525"/>
      <c r="N9" s="525"/>
      <c r="O9" s="525"/>
      <c r="P9" s="525"/>
      <c r="Q9" s="525"/>
      <c r="R9" s="525"/>
    </row>
    <row r="10" spans="2:18" x14ac:dyDescent="0.3">
      <c r="B10" s="525"/>
      <c r="C10" s="525"/>
      <c r="D10" s="525"/>
      <c r="E10" s="525"/>
      <c r="F10" s="525"/>
      <c r="G10" s="525"/>
      <c r="H10" s="525"/>
      <c r="I10" s="525"/>
      <c r="J10" s="525"/>
      <c r="K10" s="525"/>
      <c r="L10" s="525"/>
      <c r="M10" s="525"/>
      <c r="N10" s="525"/>
      <c r="O10" s="525"/>
      <c r="P10" s="525"/>
      <c r="Q10" s="525"/>
      <c r="R10" s="525"/>
    </row>
    <row r="11" spans="2:18" x14ac:dyDescent="0.3">
      <c r="B11" s="525"/>
      <c r="C11" s="525"/>
      <c r="D11" s="525"/>
      <c r="E11" s="525"/>
      <c r="F11" s="525"/>
      <c r="G11" s="525"/>
      <c r="H11" s="525"/>
      <c r="I11" s="525"/>
      <c r="J11" s="525"/>
      <c r="K11" s="525"/>
      <c r="L11" s="525"/>
      <c r="M11" s="525"/>
      <c r="N11" s="525"/>
      <c r="O11" s="525"/>
      <c r="P11" s="525"/>
      <c r="Q11" s="525"/>
      <c r="R11" s="525"/>
    </row>
    <row r="12" spans="2:18" x14ac:dyDescent="0.3">
      <c r="B12" s="525"/>
      <c r="C12" s="525"/>
      <c r="D12" s="525"/>
      <c r="E12" s="525"/>
      <c r="F12" s="525"/>
      <c r="G12" s="525"/>
      <c r="H12" s="525"/>
      <c r="I12" s="525"/>
      <c r="J12" s="525"/>
      <c r="K12" s="525"/>
      <c r="L12" s="525"/>
      <c r="M12" s="525"/>
      <c r="N12" s="525"/>
      <c r="O12" s="525"/>
      <c r="P12" s="525"/>
      <c r="Q12" s="525"/>
      <c r="R12" s="525"/>
    </row>
    <row r="13" spans="2:18" x14ac:dyDescent="0.3">
      <c r="B13" s="3"/>
      <c r="C13" s="3"/>
      <c r="D13" s="3"/>
      <c r="E13" s="3"/>
      <c r="F13" s="3"/>
      <c r="G13" s="3"/>
      <c r="H13" s="3"/>
      <c r="I13" s="3"/>
      <c r="J13" s="3"/>
      <c r="K13" s="3"/>
      <c r="L13" s="3"/>
      <c r="M13" s="3"/>
      <c r="N13" s="3"/>
      <c r="O13" s="3"/>
      <c r="P13" s="3"/>
      <c r="Q13" s="3"/>
      <c r="R13" s="3"/>
    </row>
    <row r="14" spans="2:18" x14ac:dyDescent="0.3">
      <c r="B14" s="526" t="s">
        <v>58</v>
      </c>
      <c r="C14" s="527"/>
      <c r="D14" s="527"/>
      <c r="E14" s="527"/>
      <c r="F14" s="527"/>
      <c r="G14" s="527"/>
      <c r="H14" s="527"/>
      <c r="I14" s="527"/>
      <c r="J14" s="527"/>
      <c r="K14" s="527"/>
      <c r="L14" s="527"/>
      <c r="M14" s="527"/>
      <c r="N14" s="527"/>
      <c r="O14" s="527"/>
      <c r="P14" s="527"/>
      <c r="Q14" s="527"/>
      <c r="R14" s="528"/>
    </row>
    <row r="15" spans="2:18" x14ac:dyDescent="0.3">
      <c r="B15" s="352"/>
      <c r="C15" s="38"/>
      <c r="D15" s="38"/>
      <c r="E15" s="38"/>
      <c r="F15" s="38"/>
      <c r="G15" s="38"/>
      <c r="H15" s="38"/>
      <c r="I15" s="38"/>
      <c r="J15" s="38"/>
      <c r="K15" s="38"/>
      <c r="L15" s="49">
        <v>43525</v>
      </c>
      <c r="M15" s="49">
        <f>L15+366</f>
        <v>43891</v>
      </c>
      <c r="N15" s="49">
        <f t="shared" ref="N15:O15" si="0">M15+366</f>
        <v>44257</v>
      </c>
      <c r="O15" s="49">
        <f t="shared" si="0"/>
        <v>44623</v>
      </c>
      <c r="P15" s="38"/>
      <c r="Q15" s="38"/>
      <c r="R15" s="353"/>
    </row>
    <row r="16" spans="2:18" x14ac:dyDescent="0.3">
      <c r="B16" s="352" t="s">
        <v>179</v>
      </c>
      <c r="C16" s="38"/>
      <c r="D16" s="38"/>
      <c r="E16" s="38"/>
      <c r="F16" s="38"/>
      <c r="G16" s="38"/>
      <c r="H16" s="38"/>
      <c r="I16" s="38"/>
      <c r="J16" s="38"/>
      <c r="K16" s="38"/>
      <c r="L16" s="39">
        <f>'Broadcomm-Financials'!D32/'Broadcomm-Financials'!D45</f>
        <v>1.437454703580229</v>
      </c>
      <c r="M16" s="39">
        <f>'Broadcomm-Financials'!E32/'Broadcomm-Financials'!E45</f>
        <v>1.8670538377020875</v>
      </c>
      <c r="N16" s="39">
        <f>'Broadcomm-Financials'!F32/'Broadcomm-Financials'!F45</f>
        <v>2.6406623149180066</v>
      </c>
      <c r="O16" s="39">
        <f>'Broadcomm-Financials'!G32/'Broadcomm-Financials'!G45</f>
        <v>2.6239364719228586</v>
      </c>
      <c r="P16" s="38"/>
      <c r="Q16" s="38"/>
      <c r="R16" s="353"/>
    </row>
    <row r="17" spans="2:18" x14ac:dyDescent="0.3">
      <c r="B17" s="352" t="s">
        <v>180</v>
      </c>
      <c r="C17" s="38"/>
      <c r="D17" s="38"/>
      <c r="E17" s="38"/>
      <c r="F17" s="38"/>
      <c r="G17" s="38"/>
      <c r="H17" s="38"/>
      <c r="I17" s="38"/>
      <c r="J17" s="38"/>
      <c r="K17" s="38"/>
      <c r="L17" s="39">
        <f>('Broadcomm-Financials'!D32-'Broadcomm-Financials'!D30)/'Broadcomm-Financials'!D45</f>
        <v>1.3107696767647485</v>
      </c>
      <c r="M17" s="39">
        <f>('Broadcomm-Financials'!E32-'Broadcomm-Financials'!E30)/'Broadcomm-Financials'!E45</f>
        <v>1.7096217234343116</v>
      </c>
      <c r="N17" s="39">
        <f>('Broadcomm-Financials'!F32-'Broadcomm-Financials'!F30)/'Broadcomm-Financials'!F45</f>
        <v>2.4341665339914025</v>
      </c>
      <c r="O17" s="39">
        <f>('Broadcomm-Financials'!G32-'Broadcomm-Financials'!G30)/'Broadcomm-Financials'!G45</f>
        <v>2.3509642654566081</v>
      </c>
      <c r="P17" s="38"/>
      <c r="Q17" s="38"/>
      <c r="R17" s="353"/>
    </row>
    <row r="18" spans="2:18" x14ac:dyDescent="0.3">
      <c r="B18" s="352" t="s">
        <v>67</v>
      </c>
      <c r="C18" s="38"/>
      <c r="D18" s="38"/>
      <c r="E18" s="38"/>
      <c r="F18" s="38"/>
      <c r="G18" s="38"/>
      <c r="H18" s="38"/>
      <c r="I18" s="38"/>
      <c r="J18" s="38"/>
      <c r="K18" s="38"/>
      <c r="L18" s="39">
        <f>'Broadcomm-Financials'!D27/'Broadcomm-Financials'!D45</f>
        <v>0.73271488621539349</v>
      </c>
      <c r="M18" s="39">
        <f>'Broadcomm-Financials'!E27/'Broadcomm-Financials'!E45</f>
        <v>1.1957306545283315</v>
      </c>
      <c r="N18" s="39">
        <f>'Broadcomm-Financials'!F27/'Broadcomm-Financials'!F45</f>
        <v>1.9364750835854163</v>
      </c>
      <c r="O18" s="39">
        <f>'Broadcomm-Financials'!G27/'Broadcomm-Financials'!G45</f>
        <v>1.7606352807714123</v>
      </c>
      <c r="P18" s="38"/>
      <c r="Q18" s="38"/>
      <c r="R18" s="353"/>
    </row>
    <row r="19" spans="2:18" x14ac:dyDescent="0.3">
      <c r="B19" s="352"/>
      <c r="C19" s="38"/>
      <c r="D19" s="38"/>
      <c r="E19" s="38"/>
      <c r="F19" s="38"/>
      <c r="G19" s="38"/>
      <c r="H19" s="38"/>
      <c r="I19" s="38"/>
      <c r="J19" s="38"/>
      <c r="K19" s="38"/>
      <c r="L19" s="38"/>
      <c r="M19" s="38"/>
      <c r="N19" s="38"/>
      <c r="O19" s="38"/>
      <c r="P19" s="38"/>
      <c r="Q19" s="38"/>
      <c r="R19" s="353"/>
    </row>
    <row r="20" spans="2:18" x14ac:dyDescent="0.3">
      <c r="B20" s="521" t="s">
        <v>116</v>
      </c>
      <c r="C20" s="522"/>
      <c r="D20" s="522"/>
      <c r="E20" s="522"/>
      <c r="F20" s="522"/>
      <c r="G20" s="522"/>
      <c r="H20" s="522"/>
      <c r="I20" s="522"/>
      <c r="J20" s="522"/>
      <c r="K20" s="522"/>
      <c r="L20" s="522"/>
      <c r="M20" s="522"/>
      <c r="N20" s="522"/>
      <c r="O20" s="522"/>
      <c r="P20" s="522"/>
      <c r="Q20" s="522"/>
      <c r="R20" s="523"/>
    </row>
    <row r="21" spans="2:18" x14ac:dyDescent="0.3">
      <c r="B21" s="352"/>
      <c r="C21" s="38"/>
      <c r="D21" s="38"/>
      <c r="E21" s="38"/>
      <c r="F21" s="38"/>
      <c r="G21" s="38"/>
      <c r="H21" s="38"/>
      <c r="I21" s="38"/>
      <c r="J21" s="38"/>
      <c r="K21" s="38"/>
      <c r="L21" s="49">
        <f>L15</f>
        <v>43525</v>
      </c>
      <c r="M21" s="49">
        <f t="shared" ref="M21:O21" si="1">M15</f>
        <v>43891</v>
      </c>
      <c r="N21" s="49">
        <f t="shared" si="1"/>
        <v>44257</v>
      </c>
      <c r="O21" s="49">
        <f t="shared" si="1"/>
        <v>44623</v>
      </c>
      <c r="P21" s="38"/>
      <c r="Q21" s="38"/>
      <c r="R21" s="353"/>
    </row>
    <row r="22" spans="2:18" x14ac:dyDescent="0.3">
      <c r="B22" s="352" t="s">
        <v>117</v>
      </c>
      <c r="C22" s="38"/>
      <c r="D22" s="38"/>
      <c r="E22" s="38"/>
      <c r="F22" s="38"/>
      <c r="G22" s="38"/>
      <c r="H22" s="38"/>
      <c r="I22" s="38"/>
      <c r="J22" s="38"/>
      <c r="K22" s="38"/>
      <c r="L22" s="39">
        <f>('Broadcomm-Financials'!D46+'Broadcomm-Financials'!D43)/'Broadcomm-Financials'!D40</f>
        <v>0.48594669076793151</v>
      </c>
      <c r="M22" s="39">
        <f>('Broadcomm-Financials'!E46+'Broadcomm-Financials'!E43)/'Broadcomm-Financials'!E40</f>
        <v>0.54076620178315093</v>
      </c>
      <c r="N22" s="39">
        <f>('Broadcomm-Financials'!F46+'Broadcomm-Financials'!F43)/'Broadcomm-Financials'!F40</f>
        <v>0.52573772661108908</v>
      </c>
      <c r="O22" s="39">
        <f>('Broadcomm-Financials'!G46+'Broadcomm-Financials'!G43)/'Broadcomm-Financials'!G40</f>
        <v>0.53946128957391914</v>
      </c>
      <c r="P22" s="38"/>
      <c r="Q22" s="38"/>
      <c r="R22" s="353"/>
    </row>
    <row r="23" spans="2:18" x14ac:dyDescent="0.3">
      <c r="B23" s="352" t="s">
        <v>118</v>
      </c>
      <c r="C23" s="38"/>
      <c r="D23" s="38"/>
      <c r="E23" s="38"/>
      <c r="F23" s="38"/>
      <c r="G23" s="38"/>
      <c r="H23" s="38"/>
      <c r="I23" s="38"/>
      <c r="J23" s="38"/>
      <c r="K23" s="38"/>
      <c r="L23" s="39">
        <f>('Broadcomm-Financials'!D46+'Broadcomm-Financials'!D43)/'Broadcomm-Financials'!D58</f>
        <v>1.3150234553546369</v>
      </c>
      <c r="M23" s="39">
        <f>('Broadcomm-Financials'!E46+'Broadcomm-Financials'!E43)/'Broadcomm-Financials'!E58</f>
        <v>1.7199463851889085</v>
      </c>
      <c r="N23" s="39">
        <f>('Broadcomm-Financials'!F46+'Broadcomm-Financials'!F43)/'Broadcomm-Financials'!F58</f>
        <v>1.5916192612771412</v>
      </c>
      <c r="O23" s="39">
        <f>('Broadcomm-Financials'!G46+'Broadcomm-Financials'!G43)/'Broadcomm-Financials'!G58</f>
        <v>1.7400590074419833</v>
      </c>
      <c r="P23" s="38"/>
      <c r="Q23" s="38"/>
      <c r="R23" s="353"/>
    </row>
    <row r="24" spans="2:18" x14ac:dyDescent="0.3">
      <c r="B24" s="352" t="s">
        <v>120</v>
      </c>
      <c r="C24" s="38"/>
      <c r="D24" s="38"/>
      <c r="E24" s="38"/>
      <c r="F24" s="38"/>
      <c r="G24" s="38"/>
      <c r="H24" s="38"/>
      <c r="I24" s="38"/>
      <c r="J24" s="38"/>
      <c r="K24" s="38"/>
      <c r="L24" s="39">
        <f>L23/(1+L23)</f>
        <v>0.56803893382289272</v>
      </c>
      <c r="M24" s="39">
        <f t="shared" ref="M24:O24" si="2">M23/(1+M23)</f>
        <v>0.63234569422200326</v>
      </c>
      <c r="N24" s="39">
        <f t="shared" si="2"/>
        <v>0.61414085203734625</v>
      </c>
      <c r="O24" s="39">
        <f t="shared" si="2"/>
        <v>0.63504435587554631</v>
      </c>
      <c r="P24" s="38"/>
      <c r="Q24" s="38"/>
      <c r="R24" s="353"/>
    </row>
    <row r="25" spans="2:18" x14ac:dyDescent="0.3">
      <c r="B25" s="352" t="s">
        <v>121</v>
      </c>
      <c r="C25" s="38"/>
      <c r="D25" s="38"/>
      <c r="E25" s="38"/>
      <c r="F25" s="38"/>
      <c r="G25" s="38"/>
      <c r="H25" s="38"/>
      <c r="I25" s="38"/>
      <c r="J25" s="38"/>
      <c r="K25" s="38"/>
      <c r="L25" s="39">
        <f>('Broadcomm-Financials'!D14+'Broadcomm-Financials'!D65)/'Broadcomm-Financials'!D15</f>
        <v>6.5637119113573403</v>
      </c>
      <c r="M25" s="39">
        <f>('Broadcomm-Financials'!E14+'Broadcomm-Financials'!E65)/'Broadcomm-Financials'!E15</f>
        <v>6.2605514912774343</v>
      </c>
      <c r="N25" s="39">
        <f>('Broadcomm-Financials'!F14+'Broadcomm-Financials'!F65)/'Broadcomm-Financials'!F15</f>
        <v>7.7936339522546421</v>
      </c>
      <c r="O25" s="39">
        <f>('Broadcomm-Financials'!G14+'Broadcomm-Financials'!G65)/'Broadcomm-Financials'!G15</f>
        <v>11.027633851468048</v>
      </c>
      <c r="P25" s="38"/>
      <c r="Q25" s="38"/>
      <c r="R25" s="353"/>
    </row>
    <row r="26" spans="2:18" x14ac:dyDescent="0.3">
      <c r="B26" s="352" t="s">
        <v>119</v>
      </c>
      <c r="C26" s="38"/>
      <c r="D26" s="38"/>
      <c r="E26" s="38"/>
      <c r="F26" s="38"/>
      <c r="G26" s="38"/>
      <c r="H26" s="38"/>
      <c r="I26" s="38"/>
      <c r="J26" s="38"/>
      <c r="K26" s="38"/>
      <c r="L26" s="39">
        <f>'Broadcomm-Financials'!D40/'Broadcomm-Financials'!D58</f>
        <v>2.7061064111302673</v>
      </c>
      <c r="M26" s="39">
        <f>'Broadcomm-Financials'!E40/'Broadcomm-Financials'!E58</f>
        <v>3.1805730082935413</v>
      </c>
      <c r="N26" s="39">
        <f>'Broadcomm-Financials'!F40/'Broadcomm-Financials'!F58</f>
        <v>3.0274016505087733</v>
      </c>
      <c r="O26" s="39">
        <f>'Broadcomm-Financials'!G40/'Broadcomm-Financials'!G58</f>
        <v>3.2255493416707033</v>
      </c>
      <c r="P26" s="38"/>
      <c r="Q26" s="38"/>
      <c r="R26" s="353"/>
    </row>
    <row r="27" spans="2:18" x14ac:dyDescent="0.3">
      <c r="B27" s="352" t="s">
        <v>193</v>
      </c>
      <c r="C27" s="38"/>
      <c r="D27" s="38"/>
      <c r="E27" s="38"/>
      <c r="F27" s="38"/>
      <c r="G27" s="38"/>
      <c r="H27" s="38"/>
      <c r="I27" s="38"/>
      <c r="J27" s="38"/>
      <c r="K27" s="38"/>
      <c r="L27" s="39">
        <f>'Broadcomm-Financials'!D72/('Broadcomm-Financials'!D46+'Broadcomm-Financials'!D43)</f>
        <v>0.29565827184584426</v>
      </c>
      <c r="M27" s="39">
        <f>'Broadcomm-Financials'!E72/('Broadcomm-Financials'!E46+'Broadcomm-Financials'!E43)</f>
        <v>0.29372655983634505</v>
      </c>
      <c r="N27" s="39">
        <f>'Broadcomm-Financials'!F72/('Broadcomm-Financials'!F46+'Broadcomm-Financials'!F43)</f>
        <v>0.34643845960231562</v>
      </c>
      <c r="O27" s="39">
        <f>'Broadcomm-Financials'!G72/('Broadcomm-Financials'!G46+'Broadcomm-Financials'!G43)</f>
        <v>0.42353536631658861</v>
      </c>
      <c r="P27" s="38"/>
      <c r="Q27" s="38"/>
      <c r="R27" s="353"/>
    </row>
    <row r="28" spans="2:18" x14ac:dyDescent="0.3">
      <c r="B28" s="352"/>
      <c r="C28" s="38"/>
      <c r="D28" s="38"/>
      <c r="E28" s="38"/>
      <c r="F28" s="38"/>
      <c r="G28" s="38"/>
      <c r="H28" s="38"/>
      <c r="I28" s="38"/>
      <c r="J28" s="38"/>
      <c r="K28" s="38"/>
      <c r="L28" s="38"/>
      <c r="M28" s="38"/>
      <c r="N28" s="38"/>
      <c r="O28" s="38"/>
      <c r="P28" s="38"/>
      <c r="Q28" s="38"/>
      <c r="R28" s="353"/>
    </row>
    <row r="29" spans="2:18" x14ac:dyDescent="0.3">
      <c r="B29" s="521" t="s">
        <v>122</v>
      </c>
      <c r="C29" s="522"/>
      <c r="D29" s="522"/>
      <c r="E29" s="522"/>
      <c r="F29" s="522"/>
      <c r="G29" s="522"/>
      <c r="H29" s="522"/>
      <c r="I29" s="522"/>
      <c r="J29" s="522"/>
      <c r="K29" s="522"/>
      <c r="L29" s="522"/>
      <c r="M29" s="522"/>
      <c r="N29" s="522"/>
      <c r="O29" s="522"/>
      <c r="P29" s="522"/>
      <c r="Q29" s="522"/>
      <c r="R29" s="523"/>
    </row>
    <row r="30" spans="2:18" x14ac:dyDescent="0.3">
      <c r="B30" s="352"/>
      <c r="C30" s="38"/>
      <c r="D30" s="38"/>
      <c r="E30" s="38"/>
      <c r="F30" s="38"/>
      <c r="G30" s="38"/>
      <c r="H30" s="38"/>
      <c r="I30" s="38"/>
      <c r="J30" s="38"/>
      <c r="K30" s="38"/>
      <c r="L30" s="49">
        <f>L21</f>
        <v>43525</v>
      </c>
      <c r="M30" s="49">
        <f t="shared" ref="M30:O30" si="3">M21</f>
        <v>43891</v>
      </c>
      <c r="N30" s="49">
        <f t="shared" si="3"/>
        <v>44257</v>
      </c>
      <c r="O30" s="49">
        <f t="shared" si="3"/>
        <v>44623</v>
      </c>
      <c r="P30" s="38"/>
      <c r="Q30" s="38"/>
      <c r="R30" s="353"/>
    </row>
    <row r="31" spans="2:18" x14ac:dyDescent="0.3">
      <c r="B31" s="352" t="s">
        <v>123</v>
      </c>
      <c r="C31" s="38"/>
      <c r="D31" s="38"/>
      <c r="E31" s="38"/>
      <c r="F31" s="38"/>
      <c r="G31" s="38"/>
      <c r="H31" s="38"/>
      <c r="I31" s="38"/>
      <c r="J31" s="38"/>
      <c r="K31" s="38"/>
      <c r="L31" s="39">
        <f>'Broadcomm-Financials'!D4/'Broadcomm-Financials'!D40</f>
        <v>0.33480509089831539</v>
      </c>
      <c r="M31" s="39">
        <f>'Broadcomm-Financials'!E4/'Broadcomm-Financials'!E40</f>
        <v>0.31459312815245016</v>
      </c>
      <c r="N31" s="39">
        <f>'Broadcomm-Financials'!F4/'Broadcomm-Financials'!F40</f>
        <v>0.36323938070662959</v>
      </c>
      <c r="O31" s="39">
        <f>'Broadcomm-Financials'!G4/'Broadcomm-Financials'!G40</f>
        <v>0.45328946470258979</v>
      </c>
      <c r="P31" s="38"/>
      <c r="Q31" s="38"/>
      <c r="R31" s="353"/>
    </row>
    <row r="32" spans="2:18" x14ac:dyDescent="0.3">
      <c r="B32" s="352" t="s">
        <v>124</v>
      </c>
      <c r="C32" s="38"/>
      <c r="D32" s="38"/>
      <c r="E32" s="38"/>
      <c r="F32" s="38"/>
      <c r="G32" s="38"/>
      <c r="H32" s="38"/>
      <c r="I32" s="38"/>
      <c r="J32" s="38"/>
      <c r="K32" s="38"/>
      <c r="L32" s="39">
        <f>'Broadcomm-Financials'!D4/'Analysis- Broadcomm'!L81</f>
        <v>7.4874088800530156</v>
      </c>
      <c r="M32" s="39">
        <f>'Broadcomm-Financials'!E4/'Analysis- Broadcomm'!M81</f>
        <v>4.3244026068066619</v>
      </c>
      <c r="N32" s="39">
        <f>'Broadcomm-Financials'!F4/'Analysis- Broadcomm'!N81</f>
        <v>2.6637554585152841</v>
      </c>
      <c r="O32" s="39">
        <f>'Broadcomm-Financials'!G4/'Analysis- Broadcomm'!O81</f>
        <v>2.8993188962626615</v>
      </c>
      <c r="P32" s="38"/>
      <c r="Q32" s="38"/>
      <c r="R32" s="353"/>
    </row>
    <row r="33" spans="2:18" x14ac:dyDescent="0.3">
      <c r="B33" s="352" t="s">
        <v>125</v>
      </c>
      <c r="C33" s="38"/>
      <c r="D33" s="38"/>
      <c r="E33" s="38"/>
      <c r="F33" s="38"/>
      <c r="G33" s="38"/>
      <c r="H33" s="38"/>
      <c r="I33" s="38"/>
      <c r="J33" s="38"/>
      <c r="K33" s="38"/>
      <c r="L33" s="39">
        <f>'Broadcomm-Financials'!D5/'Broadcomm-Financials'!D30</f>
        <v>11.572082379862699</v>
      </c>
      <c r="M33" s="39">
        <f>'Broadcomm-Financials'!E5/'Broadcomm-Financials'!E30</f>
        <v>10.340977068793618</v>
      </c>
      <c r="N33" s="39">
        <f>'Broadcomm-Financials'!F5/'Broadcomm-Financials'!F30</f>
        <v>8.17733230531997</v>
      </c>
      <c r="O33" s="39">
        <f>'Broadcomm-Financials'!G5/'Broadcomm-Financials'!G30</f>
        <v>5.7703896103896106</v>
      </c>
      <c r="P33" s="38"/>
      <c r="Q33" s="38"/>
      <c r="R33" s="353"/>
    </row>
    <row r="34" spans="2:18" x14ac:dyDescent="0.3">
      <c r="B34" s="352" t="s">
        <v>126</v>
      </c>
      <c r="C34" s="38"/>
      <c r="D34" s="38"/>
      <c r="E34" s="38"/>
      <c r="F34" s="38"/>
      <c r="G34" s="38"/>
      <c r="H34" s="38"/>
      <c r="I34" s="38"/>
      <c r="J34" s="38"/>
      <c r="K34" s="38"/>
      <c r="L34" s="39">
        <f>'Broadcomm-Financials'!D4/'Broadcomm-Financials'!D29</f>
        <v>6.9337220006136855</v>
      </c>
      <c r="M34" s="39">
        <f>'Broadcomm-Financials'!E4/'Broadcomm-Financials'!E29</f>
        <v>10.399651719634306</v>
      </c>
      <c r="N34" s="39">
        <f>'Broadcomm-Financials'!F4/'Broadcomm-Financials'!F29</f>
        <v>13.25446644133269</v>
      </c>
      <c r="O34" s="39">
        <f>'Broadcomm-Financials'!G4/'Broadcomm-Financials'!G29</f>
        <v>11.224814063556456</v>
      </c>
      <c r="P34" s="38"/>
      <c r="Q34" s="38"/>
      <c r="R34" s="353"/>
    </row>
    <row r="35" spans="2:18" x14ac:dyDescent="0.3">
      <c r="B35" s="352"/>
      <c r="C35" s="38"/>
      <c r="D35" s="38"/>
      <c r="E35" s="38"/>
      <c r="F35" s="38"/>
      <c r="G35" s="38"/>
      <c r="H35" s="38"/>
      <c r="I35" s="38"/>
      <c r="J35" s="38"/>
      <c r="K35" s="38"/>
      <c r="L35" s="38"/>
      <c r="M35" s="38"/>
      <c r="N35" s="38"/>
      <c r="O35" s="38"/>
      <c r="P35" s="38"/>
      <c r="Q35" s="38"/>
      <c r="R35" s="353"/>
    </row>
    <row r="36" spans="2:18" x14ac:dyDescent="0.3">
      <c r="B36" s="521" t="s">
        <v>131</v>
      </c>
      <c r="C36" s="522"/>
      <c r="D36" s="522"/>
      <c r="E36" s="522"/>
      <c r="F36" s="522"/>
      <c r="G36" s="522"/>
      <c r="H36" s="522"/>
      <c r="I36" s="522"/>
      <c r="J36" s="522"/>
      <c r="K36" s="522"/>
      <c r="L36" s="522"/>
      <c r="M36" s="522"/>
      <c r="N36" s="522"/>
      <c r="O36" s="522"/>
      <c r="P36" s="522"/>
      <c r="Q36" s="522"/>
      <c r="R36" s="523"/>
    </row>
    <row r="37" spans="2:18" x14ac:dyDescent="0.3">
      <c r="B37" s="352"/>
      <c r="C37" s="38"/>
      <c r="D37" s="38"/>
      <c r="E37" s="38"/>
      <c r="F37" s="38"/>
      <c r="G37" s="38"/>
      <c r="H37" s="38"/>
      <c r="I37" s="38"/>
      <c r="J37" s="38"/>
      <c r="K37" s="38"/>
      <c r="L37" s="49">
        <f>L30</f>
        <v>43525</v>
      </c>
      <c r="M37" s="49">
        <f t="shared" ref="M37:O37" si="4">M30</f>
        <v>43891</v>
      </c>
      <c r="N37" s="49">
        <f t="shared" si="4"/>
        <v>44257</v>
      </c>
      <c r="O37" s="49">
        <f t="shared" si="4"/>
        <v>44623</v>
      </c>
      <c r="P37" s="38"/>
      <c r="Q37" s="38"/>
      <c r="R37" s="353"/>
    </row>
    <row r="38" spans="2:18" x14ac:dyDescent="0.3">
      <c r="B38" s="352" t="s">
        <v>132</v>
      </c>
      <c r="C38" s="38"/>
      <c r="D38" s="38"/>
      <c r="E38" s="38"/>
      <c r="F38" s="38"/>
      <c r="G38" s="38"/>
      <c r="H38" s="38"/>
      <c r="I38" s="38"/>
      <c r="J38" s="38"/>
      <c r="K38" s="38"/>
      <c r="L38" s="67">
        <f>'Broadcomm-Financials'!D22/'Broadcomm-Financials'!D58</f>
        <v>0.10805500982318271</v>
      </c>
      <c r="M38" s="67">
        <f>'Broadcomm-Financials'!E22/'Broadcomm-Financials'!E58</f>
        <v>0.11154393901315238</v>
      </c>
      <c r="N38" s="67">
        <f>'Broadcomm-Financials'!F22/'Broadcomm-Financials'!F58</f>
        <v>0.25787196538738882</v>
      </c>
      <c r="O38" s="67">
        <f>'Broadcomm-Financials'!G22/'Broadcomm-Financials'!G58</f>
        <v>0.49420934431282754</v>
      </c>
      <c r="P38" s="38"/>
      <c r="Q38" s="38"/>
      <c r="R38" s="353"/>
    </row>
    <row r="39" spans="2:18" x14ac:dyDescent="0.3">
      <c r="B39" s="352" t="s">
        <v>133</v>
      </c>
      <c r="C39" s="38"/>
      <c r="D39" s="38"/>
      <c r="E39" s="38"/>
      <c r="F39" s="38"/>
      <c r="G39" s="38"/>
      <c r="H39" s="38"/>
      <c r="I39" s="38"/>
      <c r="J39" s="38"/>
      <c r="K39" s="38"/>
      <c r="L39" s="67">
        <f>'Broadcomm-Financials'!D22/'Broadcomm-Financials'!D40</f>
        <v>3.9930066821744478E-2</v>
      </c>
      <c r="M39" s="67">
        <f>'Broadcomm-Financials'!E22/'Broadcomm-Financials'!E40</f>
        <v>3.5070391002594389E-2</v>
      </c>
      <c r="N39" s="67">
        <f>'Broadcomm-Financials'!F22/'Broadcomm-Financials'!F40</f>
        <v>8.5179303956596536E-2</v>
      </c>
      <c r="O39" s="67">
        <f>'Broadcomm-Financials'!G22/'Broadcomm-Financials'!G40</f>
        <v>0.15321710876598998</v>
      </c>
      <c r="P39" s="38"/>
      <c r="Q39" s="38"/>
      <c r="R39" s="353"/>
    </row>
    <row r="40" spans="2:18" x14ac:dyDescent="0.3">
      <c r="B40" s="352" t="s">
        <v>134</v>
      </c>
      <c r="C40" s="38"/>
      <c r="D40" s="38"/>
      <c r="E40" s="38"/>
      <c r="F40" s="38"/>
      <c r="G40" s="38"/>
      <c r="H40" s="38"/>
      <c r="I40" s="38"/>
      <c r="J40" s="38"/>
      <c r="K40" s="38"/>
      <c r="L40" s="67">
        <f>'Broadcomm-Financials'!D22/('Broadcomm-Financials'!D43+'Broadcomm-Financials'!D46+'Broadcomm-Financials'!D58)</f>
        <v>4.6675557248999806E-2</v>
      </c>
      <c r="M40" s="67">
        <f>'Broadcomm-Financials'!E22/('Broadcomm-Financials'!E43+'Broadcomm-Financials'!E46+'Broadcomm-Financials'!E58)</f>
        <v>4.1009609461623756E-2</v>
      </c>
      <c r="N40" s="67">
        <f>'Broadcomm-Financials'!F22/('Broadcomm-Financials'!F43+'Broadcomm-Financials'!F46+'Broadcomm-Financials'!F58)</f>
        <v>9.9502256847832801E-2</v>
      </c>
      <c r="O40" s="67">
        <f>'Broadcomm-Financials'!G22/('Broadcomm-Financials'!G43+'Broadcomm-Financials'!G46+'Broadcomm-Financials'!G58)</f>
        <v>0.18036448958601184</v>
      </c>
      <c r="P40" s="38"/>
      <c r="Q40" s="38"/>
      <c r="R40" s="353"/>
    </row>
    <row r="41" spans="2:18" x14ac:dyDescent="0.3">
      <c r="B41" s="352" t="s">
        <v>135</v>
      </c>
      <c r="C41" s="38"/>
      <c r="D41" s="38"/>
      <c r="E41" s="38"/>
      <c r="F41" s="38"/>
      <c r="G41" s="38"/>
      <c r="H41" s="38"/>
      <c r="I41" s="38"/>
      <c r="J41" s="38"/>
      <c r="K41" s="38"/>
      <c r="L41" s="67">
        <f>'Broadcomm-Financials'!D22/('Broadcomm-Financials'!D35+'Analysis- Broadcomm'!L81)</f>
        <v>0.48271538599319364</v>
      </c>
      <c r="M41" s="67">
        <f>'Broadcomm-Financials'!E22/('Broadcomm-Financials'!E35+'Analysis- Broadcomm'!M81)</f>
        <v>0.33150753143283956</v>
      </c>
      <c r="N41" s="67">
        <f>'Broadcomm-Financials'!F22/('Broadcomm-Financials'!F35+'Analysis- Broadcomm'!N81)</f>
        <v>0.50873310677309724</v>
      </c>
      <c r="O41" s="67">
        <f>'Broadcomm-Financials'!G22/('Broadcomm-Financials'!G35+'Analysis- Broadcomm'!O81)</f>
        <v>0.8206946983546618</v>
      </c>
      <c r="P41" s="38"/>
      <c r="Q41" s="38"/>
      <c r="R41" s="353"/>
    </row>
    <row r="42" spans="2:18" x14ac:dyDescent="0.3">
      <c r="B42" s="352" t="s">
        <v>136</v>
      </c>
      <c r="C42" s="38"/>
      <c r="D42" s="38"/>
      <c r="E42" s="38"/>
      <c r="F42" s="38"/>
      <c r="G42" s="38"/>
      <c r="H42" s="38"/>
      <c r="I42" s="38"/>
      <c r="J42" s="38"/>
      <c r="K42" s="38"/>
      <c r="L42" s="67">
        <f>('Broadcomm-Financials'!D14+'Broadcomm-Financials'!D65)/'Broadcomm-Financials'!D4</f>
        <v>0.41943620834624062</v>
      </c>
      <c r="M42" s="67">
        <f>('Broadcomm-Financials'!E14+'Broadcomm-Financials'!E65)/'Broadcomm-Financials'!E4</f>
        <v>0.46571500334896182</v>
      </c>
      <c r="N42" s="67">
        <f>('Broadcomm-Financials'!F14+'Broadcomm-Financials'!F65)/'Broadcomm-Financials'!F4</f>
        <v>0.53519125683060109</v>
      </c>
      <c r="O42" s="67">
        <f>('Broadcomm-Financials'!G14+'Broadcomm-Financials'!G65)/'Broadcomm-Financials'!G4</f>
        <v>0.57690570129205188</v>
      </c>
      <c r="P42" s="38"/>
      <c r="Q42" s="38"/>
      <c r="R42" s="353"/>
    </row>
    <row r="43" spans="2:18" x14ac:dyDescent="0.3">
      <c r="B43" s="352" t="s">
        <v>137</v>
      </c>
      <c r="C43" s="38"/>
      <c r="D43" s="38"/>
      <c r="E43" s="38"/>
      <c r="F43" s="38"/>
      <c r="G43" s="38"/>
      <c r="H43" s="38"/>
      <c r="I43" s="38"/>
      <c r="J43" s="38"/>
      <c r="K43" s="38"/>
      <c r="L43" s="67">
        <f>'Broadcomm-Financials'!D22/'Broadcomm-Financials'!D4</f>
        <v>0.11926361906447759</v>
      </c>
      <c r="M43" s="67">
        <f>'Broadcomm-Financials'!E22/'Broadcomm-Financials'!E4</f>
        <v>0.11147856664434025</v>
      </c>
      <c r="N43" s="67">
        <f>'Broadcomm-Financials'!F22/'Broadcomm-Financials'!F4</f>
        <v>0.2344990892531876</v>
      </c>
      <c r="O43" s="67">
        <f>'Broadcomm-Financials'!G22/'Broadcomm-Financials'!G4</f>
        <v>0.33801162545553115</v>
      </c>
      <c r="P43" s="38"/>
      <c r="Q43" s="38"/>
      <c r="R43" s="353"/>
    </row>
    <row r="44" spans="2:18" x14ac:dyDescent="0.3">
      <c r="B44" s="352"/>
      <c r="C44" s="38"/>
      <c r="D44" s="38"/>
      <c r="E44" s="38"/>
      <c r="F44" s="38"/>
      <c r="G44" s="38"/>
      <c r="H44" s="38"/>
      <c r="I44" s="38"/>
      <c r="J44" s="38"/>
      <c r="K44" s="38"/>
      <c r="L44" s="38"/>
      <c r="M44" s="38"/>
      <c r="N44" s="38"/>
      <c r="O44" s="38"/>
      <c r="P44" s="38"/>
      <c r="Q44" s="38"/>
      <c r="R44" s="353"/>
    </row>
    <row r="45" spans="2:18" x14ac:dyDescent="0.3">
      <c r="B45" s="521" t="s">
        <v>127</v>
      </c>
      <c r="C45" s="522"/>
      <c r="D45" s="522"/>
      <c r="E45" s="522"/>
      <c r="F45" s="522"/>
      <c r="G45" s="522"/>
      <c r="H45" s="522"/>
      <c r="I45" s="522"/>
      <c r="J45" s="522"/>
      <c r="K45" s="522"/>
      <c r="L45" s="522"/>
      <c r="M45" s="522"/>
      <c r="N45" s="522"/>
      <c r="O45" s="522"/>
      <c r="P45" s="522"/>
      <c r="Q45" s="522"/>
      <c r="R45" s="523"/>
    </row>
    <row r="46" spans="2:18" x14ac:dyDescent="0.3">
      <c r="B46" s="352"/>
      <c r="C46" s="38"/>
      <c r="D46" s="38"/>
      <c r="E46" s="38"/>
      <c r="F46" s="38"/>
      <c r="G46" s="38"/>
      <c r="H46" s="38"/>
      <c r="I46" s="38"/>
      <c r="J46" s="38"/>
      <c r="K46" s="38"/>
      <c r="L46" s="49">
        <f>L37</f>
        <v>43525</v>
      </c>
      <c r="M46" s="49">
        <f t="shared" ref="M46:O46" si="5">M37</f>
        <v>43891</v>
      </c>
      <c r="N46" s="49">
        <f t="shared" si="5"/>
        <v>44257</v>
      </c>
      <c r="O46" s="49">
        <f t="shared" si="5"/>
        <v>44623</v>
      </c>
      <c r="P46" s="38"/>
      <c r="Q46" s="38"/>
      <c r="R46" s="353"/>
    </row>
    <row r="47" spans="2:18" x14ac:dyDescent="0.3">
      <c r="B47" s="352" t="s">
        <v>128</v>
      </c>
      <c r="C47" s="38"/>
      <c r="D47" s="38"/>
      <c r="E47" s="38"/>
      <c r="F47" s="38"/>
      <c r="G47" s="38"/>
      <c r="H47" s="38"/>
      <c r="I47" s="38"/>
      <c r="J47" s="38"/>
      <c r="K47" s="38"/>
      <c r="L47" s="39">
        <f>'Broadcomm-Financials'!D23/'Broadcomm-Financials'!D4</f>
        <v>5.5631278488294909</v>
      </c>
      <c r="M47" s="39">
        <f>'Broadcomm-Financials'!E23/'Broadcomm-Financials'!E4</f>
        <v>7.4543703951774951</v>
      </c>
      <c r="N47" s="39">
        <f>'Broadcomm-Financials'!F23/'Broadcomm-Financials'!F4</f>
        <v>10.008378870673953</v>
      </c>
      <c r="O47" s="39">
        <f>'Broadcomm-Financials'!G23/'Broadcomm-Financials'!G4</f>
        <v>7.0370147275848565</v>
      </c>
      <c r="P47" s="38"/>
      <c r="Q47" s="38"/>
      <c r="R47" s="353"/>
    </row>
    <row r="48" spans="2:18" x14ac:dyDescent="0.3">
      <c r="B48" s="352" t="s">
        <v>129</v>
      </c>
      <c r="C48" s="38"/>
      <c r="D48" s="38"/>
      <c r="E48" s="38"/>
      <c r="F48" s="38"/>
      <c r="G48" s="38"/>
      <c r="H48" s="38"/>
      <c r="I48" s="38"/>
      <c r="J48" s="38"/>
      <c r="K48" s="38"/>
      <c r="L48" s="39">
        <f>'Broadcomm-Financials'!D23/'Broadcomm-Financials'!D22</f>
        <v>46.645640074211499</v>
      </c>
      <c r="M48" s="39">
        <f>'Broadcomm-Financials'!E23/'Broadcomm-Financials'!E22</f>
        <v>66.868193766428845</v>
      </c>
      <c r="N48" s="39">
        <f>'Broadcomm-Financials'!F23/'Broadcomm-Financials'!F22</f>
        <v>42.679819791828493</v>
      </c>
      <c r="O48" s="39">
        <f>'Broadcomm-Financials'!G23/'Broadcomm-Financials'!G22</f>
        <v>20.818854138822061</v>
      </c>
      <c r="P48" s="38"/>
      <c r="Q48" s="38"/>
      <c r="R48" s="353"/>
    </row>
    <row r="49" spans="2:18" x14ac:dyDescent="0.3">
      <c r="B49" s="352" t="s">
        <v>140</v>
      </c>
      <c r="C49" s="38"/>
      <c r="D49" s="38"/>
      <c r="E49" s="38"/>
      <c r="F49" s="38"/>
      <c r="G49" s="38"/>
      <c r="H49" s="38"/>
      <c r="I49" s="38"/>
      <c r="J49" s="38"/>
      <c r="K49" s="38"/>
      <c r="L49" s="39">
        <f>'Broadcomm-Financials'!D23/'Broadcomm-Financials'!D72</f>
        <v>12.963803238114881</v>
      </c>
      <c r="M49" s="39">
        <f>'Broadcomm-Financials'!E23/'Broadcomm-Financials'!E72</f>
        <v>14.764115744963105</v>
      </c>
      <c r="N49" s="39">
        <f>'Broadcomm-Financials'!F23/'Broadcomm-Financials'!F72</f>
        <v>19.960040685847137</v>
      </c>
      <c r="O49" s="39">
        <f>'Broadcomm-Financials'!G23/'Broadcomm-Financials'!G72</f>
        <v>13.960922562141491</v>
      </c>
      <c r="P49" s="38"/>
      <c r="Q49" s="38"/>
      <c r="R49" s="353"/>
    </row>
    <row r="50" spans="2:18" x14ac:dyDescent="0.3">
      <c r="B50" s="352" t="s">
        <v>130</v>
      </c>
      <c r="C50" s="38"/>
      <c r="D50" s="38"/>
      <c r="E50" s="38"/>
      <c r="F50" s="38"/>
      <c r="G50" s="38"/>
      <c r="H50" s="38"/>
      <c r="I50" s="38"/>
      <c r="J50" s="38"/>
      <c r="K50" s="38"/>
      <c r="L50" s="39">
        <f>'Broadcomm-Financials'!D23/'Broadcomm-Financials'!D58</f>
        <v>5.0402950964275695</v>
      </c>
      <c r="M50" s="39">
        <f>'Broadcomm-Financials'!E23/'Broadcomm-Financials'!E58</f>
        <v>7.4587417274021952</v>
      </c>
      <c r="N50" s="39">
        <f>'Broadcomm-Financials'!F23/'Broadcomm-Financials'!F58</f>
        <v>11.00592901209839</v>
      </c>
      <c r="O50" s="39">
        <f>'Broadcomm-Financials'!G23/'Broadcomm-Financials'!G58</f>
        <v>10.288872253291647</v>
      </c>
      <c r="P50" s="38"/>
      <c r="Q50" s="38"/>
      <c r="R50" s="353"/>
    </row>
    <row r="51" spans="2:18" x14ac:dyDescent="0.3">
      <c r="B51" s="352"/>
      <c r="C51" s="38"/>
      <c r="D51" s="38"/>
      <c r="E51" s="38"/>
      <c r="F51" s="38"/>
      <c r="G51" s="38"/>
      <c r="H51" s="38"/>
      <c r="I51" s="38"/>
      <c r="J51" s="38"/>
      <c r="K51" s="38"/>
      <c r="L51" s="38"/>
      <c r="M51" s="38"/>
      <c r="N51" s="38"/>
      <c r="O51" s="38"/>
      <c r="P51" s="38"/>
      <c r="Q51" s="38"/>
      <c r="R51" s="353"/>
    </row>
    <row r="52" spans="2:18" x14ac:dyDescent="0.3">
      <c r="B52" s="521" t="s">
        <v>264</v>
      </c>
      <c r="C52" s="522"/>
      <c r="D52" s="522"/>
      <c r="E52" s="522"/>
      <c r="F52" s="522"/>
      <c r="G52" s="522"/>
      <c r="H52" s="522"/>
      <c r="I52" s="522"/>
      <c r="J52" s="522"/>
      <c r="K52" s="522"/>
      <c r="L52" s="522"/>
      <c r="M52" s="522"/>
      <c r="N52" s="522"/>
      <c r="O52" s="522"/>
      <c r="P52" s="522"/>
      <c r="Q52" s="522"/>
      <c r="R52" s="523"/>
    </row>
    <row r="53" spans="2:18" x14ac:dyDescent="0.3">
      <c r="B53" s="352"/>
      <c r="C53" s="38"/>
      <c r="D53" s="38"/>
      <c r="E53" s="38"/>
      <c r="F53" s="38"/>
      <c r="G53" s="38"/>
      <c r="H53" s="38"/>
      <c r="I53" s="38"/>
      <c r="J53" s="38"/>
      <c r="K53" s="38"/>
      <c r="L53" s="49">
        <f>L46</f>
        <v>43525</v>
      </c>
      <c r="M53" s="49">
        <f t="shared" ref="M53:O53" si="6">M46</f>
        <v>43891</v>
      </c>
      <c r="N53" s="49">
        <f t="shared" si="6"/>
        <v>44257</v>
      </c>
      <c r="O53" s="49">
        <f t="shared" si="6"/>
        <v>44623</v>
      </c>
      <c r="P53" s="38"/>
      <c r="Q53" s="38"/>
      <c r="R53" s="353"/>
    </row>
    <row r="54" spans="2:18" x14ac:dyDescent="0.3">
      <c r="B54" s="352" t="s">
        <v>23</v>
      </c>
      <c r="C54" s="38"/>
      <c r="D54" s="38"/>
      <c r="E54" s="38"/>
      <c r="F54" s="38"/>
      <c r="G54" s="38"/>
      <c r="H54" s="38"/>
      <c r="I54" s="38"/>
      <c r="J54" s="38"/>
      <c r="K54" s="38"/>
      <c r="L54" s="51">
        <f>'Broadcomm-Financials'!D22</f>
        <v>2695000</v>
      </c>
      <c r="M54" s="51">
        <f>'Broadcomm-Financials'!E22</f>
        <v>2663000</v>
      </c>
      <c r="N54" s="51">
        <f>'Broadcomm-Financials'!F22</f>
        <v>6437000</v>
      </c>
      <c r="O54" s="51">
        <f>'Broadcomm-Financials'!G22</f>
        <v>11223000</v>
      </c>
      <c r="P54" s="38"/>
      <c r="Q54" s="38"/>
      <c r="R54" s="353"/>
    </row>
    <row r="55" spans="2:18" x14ac:dyDescent="0.3">
      <c r="B55" s="352" t="s">
        <v>139</v>
      </c>
      <c r="C55" s="38"/>
      <c r="D55" s="38"/>
      <c r="E55" s="38"/>
      <c r="F55" s="38"/>
      <c r="G55" s="38"/>
      <c r="H55" s="38"/>
      <c r="I55" s="38"/>
      <c r="J55" s="38"/>
      <c r="K55" s="38"/>
      <c r="L55" s="51">
        <f>'Broadcomm-Financials'!D4</f>
        <v>22597000</v>
      </c>
      <c r="M55" s="51">
        <f>'Broadcomm-Financials'!E4</f>
        <v>23888000</v>
      </c>
      <c r="N55" s="51">
        <f>'Broadcomm-Financials'!F4</f>
        <v>27450000</v>
      </c>
      <c r="O55" s="51">
        <f>'Broadcomm-Financials'!G4</f>
        <v>33203000</v>
      </c>
      <c r="P55" s="38"/>
      <c r="Q55" s="38"/>
      <c r="R55" s="353"/>
    </row>
    <row r="56" spans="2:18" x14ac:dyDescent="0.3">
      <c r="B56" s="352" t="s">
        <v>39</v>
      </c>
      <c r="C56" s="38"/>
      <c r="D56" s="38"/>
      <c r="E56" s="38"/>
      <c r="F56" s="38"/>
      <c r="G56" s="38"/>
      <c r="H56" s="38"/>
      <c r="I56" s="38"/>
      <c r="J56" s="38"/>
      <c r="K56" s="38"/>
      <c r="L56" s="51">
        <f>'Broadcomm-Financials'!D40</f>
        <v>67493000</v>
      </c>
      <c r="M56" s="51">
        <f>'Broadcomm-Financials'!E40</f>
        <v>75933000</v>
      </c>
      <c r="N56" s="51">
        <f>'Broadcomm-Financials'!F40</f>
        <v>75570000</v>
      </c>
      <c r="O56" s="51">
        <f>'Broadcomm-Financials'!G40</f>
        <v>73249000</v>
      </c>
      <c r="P56" s="38"/>
      <c r="Q56" s="38"/>
      <c r="R56" s="353"/>
    </row>
    <row r="57" spans="2:18" x14ac:dyDescent="0.3">
      <c r="B57" s="352" t="s">
        <v>141</v>
      </c>
      <c r="C57" s="38"/>
      <c r="D57" s="38"/>
      <c r="E57" s="38"/>
      <c r="F57" s="38"/>
      <c r="G57" s="38"/>
      <c r="H57" s="38"/>
      <c r="I57" s="38"/>
      <c r="J57" s="38"/>
      <c r="K57" s="38"/>
      <c r="L57" s="51">
        <f>'Broadcomm-Financials'!D58</f>
        <v>24941000</v>
      </c>
      <c r="M57" s="51">
        <f>'Broadcomm-Financials'!E58</f>
        <v>23874000</v>
      </c>
      <c r="N57" s="51">
        <f>'Broadcomm-Financials'!F58</f>
        <v>24962000</v>
      </c>
      <c r="O57" s="51">
        <f>'Broadcomm-Financials'!G58</f>
        <v>22709000</v>
      </c>
      <c r="P57" s="38"/>
      <c r="Q57" s="38"/>
      <c r="R57" s="353"/>
    </row>
    <row r="58" spans="2:18" x14ac:dyDescent="0.3">
      <c r="B58" s="352" t="s">
        <v>142</v>
      </c>
      <c r="C58" s="38"/>
      <c r="D58" s="38"/>
      <c r="E58" s="38"/>
      <c r="F58" s="38"/>
      <c r="G58" s="38"/>
      <c r="H58" s="38"/>
      <c r="I58" s="38"/>
      <c r="J58" s="38"/>
      <c r="K58" s="38"/>
      <c r="L58" s="307">
        <f>L54/L55</f>
        <v>0.11926361906447759</v>
      </c>
      <c r="M58" s="307">
        <f t="shared" ref="M58:O58" si="7">M54/M55</f>
        <v>0.11147856664434025</v>
      </c>
      <c r="N58" s="307">
        <f t="shared" si="7"/>
        <v>0.2344990892531876</v>
      </c>
      <c r="O58" s="307">
        <f t="shared" si="7"/>
        <v>0.33801162545553115</v>
      </c>
      <c r="P58" s="38"/>
      <c r="Q58" s="38"/>
      <c r="R58" s="353"/>
    </row>
    <row r="59" spans="2:18" x14ac:dyDescent="0.3">
      <c r="B59" s="352" t="s">
        <v>143</v>
      </c>
      <c r="C59" s="38"/>
      <c r="D59" s="38"/>
      <c r="E59" s="38"/>
      <c r="F59" s="38"/>
      <c r="G59" s="38"/>
      <c r="H59" s="38"/>
      <c r="I59" s="38"/>
      <c r="J59" s="38"/>
      <c r="K59" s="38"/>
      <c r="L59" s="39">
        <f>L55/L56</f>
        <v>0.33480509089831539</v>
      </c>
      <c r="M59" s="39">
        <f t="shared" ref="M59:O59" si="8">M55/M56</f>
        <v>0.31459312815245016</v>
      </c>
      <c r="N59" s="39">
        <f t="shared" si="8"/>
        <v>0.36323938070662959</v>
      </c>
      <c r="O59" s="39">
        <f t="shared" si="8"/>
        <v>0.45328946470258979</v>
      </c>
      <c r="P59" s="38"/>
      <c r="Q59" s="38"/>
      <c r="R59" s="353"/>
    </row>
    <row r="60" spans="2:18" x14ac:dyDescent="0.3">
      <c r="B60" s="352" t="s">
        <v>144</v>
      </c>
      <c r="C60" s="38"/>
      <c r="D60" s="38"/>
      <c r="E60" s="38"/>
      <c r="F60" s="38"/>
      <c r="G60" s="38"/>
      <c r="H60" s="38"/>
      <c r="I60" s="38"/>
      <c r="J60" s="38"/>
      <c r="K60" s="38"/>
      <c r="L60" s="39">
        <f>L56/L57</f>
        <v>2.7061064111302673</v>
      </c>
      <c r="M60" s="39">
        <f t="shared" ref="M60:O60" si="9">M56/M57</f>
        <v>3.1805730082935413</v>
      </c>
      <c r="N60" s="39">
        <f t="shared" si="9"/>
        <v>3.0274016505087733</v>
      </c>
      <c r="O60" s="39">
        <f t="shared" si="9"/>
        <v>3.2255493416707033</v>
      </c>
      <c r="P60" s="38"/>
      <c r="Q60" s="38"/>
      <c r="R60" s="353"/>
    </row>
    <row r="61" spans="2:18" x14ac:dyDescent="0.3">
      <c r="B61" s="361" t="s">
        <v>145</v>
      </c>
      <c r="C61" s="276"/>
      <c r="D61" s="276"/>
      <c r="E61" s="276"/>
      <c r="F61" s="276"/>
      <c r="G61" s="276"/>
      <c r="H61" s="276"/>
      <c r="I61" s="276"/>
      <c r="J61" s="276"/>
      <c r="K61" s="276"/>
      <c r="L61" s="362">
        <f>L58*L59*L60</f>
        <v>0.10805500982318271</v>
      </c>
      <c r="M61" s="362">
        <f t="shared" ref="M61:O61" si="10">M58*M59*M60</f>
        <v>0.11154393901315238</v>
      </c>
      <c r="N61" s="362">
        <f t="shared" si="10"/>
        <v>0.25787196538738877</v>
      </c>
      <c r="O61" s="362">
        <f t="shared" si="10"/>
        <v>0.49420934431282754</v>
      </c>
      <c r="P61" s="276"/>
      <c r="Q61" s="276"/>
      <c r="R61" s="363"/>
    </row>
    <row r="62" spans="2:18" x14ac:dyDescent="0.3">
      <c r="B62" s="352"/>
      <c r="C62" s="38"/>
      <c r="D62" s="38"/>
      <c r="E62" s="38"/>
      <c r="F62" s="38"/>
      <c r="G62" s="38"/>
      <c r="H62" s="38"/>
      <c r="I62" s="38"/>
      <c r="J62" s="38"/>
      <c r="K62" s="38"/>
      <c r="L62" s="38"/>
      <c r="M62" s="38"/>
      <c r="N62" s="38"/>
      <c r="O62" s="38"/>
      <c r="P62" s="38"/>
      <c r="Q62" s="38"/>
      <c r="R62" s="353"/>
    </row>
    <row r="63" spans="2:18" x14ac:dyDescent="0.3">
      <c r="B63" s="521" t="s">
        <v>254</v>
      </c>
      <c r="C63" s="522"/>
      <c r="D63" s="522"/>
      <c r="E63" s="522"/>
      <c r="F63" s="522"/>
      <c r="G63" s="522"/>
      <c r="H63" s="522"/>
      <c r="I63" s="522"/>
      <c r="J63" s="522"/>
      <c r="K63" s="522"/>
      <c r="L63" s="522"/>
      <c r="M63" s="522"/>
      <c r="N63" s="522"/>
      <c r="O63" s="522"/>
      <c r="P63" s="522"/>
      <c r="Q63" s="522"/>
      <c r="R63" s="523"/>
    </row>
    <row r="64" spans="2:18" x14ac:dyDescent="0.3">
      <c r="B64" s="352"/>
      <c r="C64" s="38"/>
      <c r="D64" s="38"/>
      <c r="E64" s="38"/>
      <c r="F64" s="38"/>
      <c r="G64" s="38"/>
      <c r="H64" s="38"/>
      <c r="I64" s="38"/>
      <c r="J64" s="38"/>
      <c r="K64" s="38"/>
      <c r="L64" s="49">
        <f>L53</f>
        <v>43525</v>
      </c>
      <c r="M64" s="49">
        <f t="shared" ref="M64:O64" si="11">M53</f>
        <v>43891</v>
      </c>
      <c r="N64" s="49">
        <f t="shared" si="11"/>
        <v>44257</v>
      </c>
      <c r="O64" s="49">
        <f t="shared" si="11"/>
        <v>44623</v>
      </c>
      <c r="P64" s="38"/>
      <c r="Q64" s="38"/>
      <c r="R64" s="353"/>
    </row>
    <row r="65" spans="2:18" x14ac:dyDescent="0.3">
      <c r="B65" s="352" t="s">
        <v>23</v>
      </c>
      <c r="C65" s="38"/>
      <c r="D65" s="38"/>
      <c r="E65" s="38"/>
      <c r="F65" s="38"/>
      <c r="G65" s="38"/>
      <c r="H65" s="38"/>
      <c r="I65" s="38"/>
      <c r="J65" s="38"/>
      <c r="K65" s="38"/>
      <c r="L65" s="51">
        <f>L54</f>
        <v>2695000</v>
      </c>
      <c r="M65" s="51">
        <f t="shared" ref="M65:O65" si="12">M54</f>
        <v>2663000</v>
      </c>
      <c r="N65" s="51">
        <f t="shared" si="12"/>
        <v>6437000</v>
      </c>
      <c r="O65" s="51">
        <f t="shared" si="12"/>
        <v>11223000</v>
      </c>
      <c r="P65" s="38"/>
      <c r="Q65" s="38"/>
      <c r="R65" s="353"/>
    </row>
    <row r="66" spans="2:18" x14ac:dyDescent="0.3">
      <c r="B66" s="352" t="s">
        <v>139</v>
      </c>
      <c r="C66" s="38"/>
      <c r="D66" s="38"/>
      <c r="E66" s="38"/>
      <c r="F66" s="38"/>
      <c r="G66" s="38"/>
      <c r="H66" s="38"/>
      <c r="I66" s="38"/>
      <c r="J66" s="38"/>
      <c r="K66" s="38"/>
      <c r="L66" s="51">
        <f t="shared" ref="L66:O67" si="13">L55</f>
        <v>22597000</v>
      </c>
      <c r="M66" s="51">
        <f t="shared" si="13"/>
        <v>23888000</v>
      </c>
      <c r="N66" s="51">
        <f t="shared" si="13"/>
        <v>27450000</v>
      </c>
      <c r="O66" s="51">
        <f t="shared" si="13"/>
        <v>33203000</v>
      </c>
      <c r="P66" s="38"/>
      <c r="Q66" s="38"/>
      <c r="R66" s="353"/>
    </row>
    <row r="67" spans="2:18" x14ac:dyDescent="0.3">
      <c r="B67" s="352" t="s">
        <v>39</v>
      </c>
      <c r="C67" s="38"/>
      <c r="D67" s="38"/>
      <c r="E67" s="38"/>
      <c r="F67" s="38"/>
      <c r="G67" s="38"/>
      <c r="H67" s="38"/>
      <c r="I67" s="38"/>
      <c r="J67" s="38"/>
      <c r="K67" s="38"/>
      <c r="L67" s="51">
        <f t="shared" si="13"/>
        <v>67493000</v>
      </c>
      <c r="M67" s="51">
        <f t="shared" si="13"/>
        <v>75933000</v>
      </c>
      <c r="N67" s="51">
        <f t="shared" si="13"/>
        <v>75570000</v>
      </c>
      <c r="O67" s="51">
        <f t="shared" si="13"/>
        <v>73249000</v>
      </c>
      <c r="P67" s="38"/>
      <c r="Q67" s="38"/>
      <c r="R67" s="353"/>
    </row>
    <row r="68" spans="2:18" x14ac:dyDescent="0.3">
      <c r="B68" s="352" t="s">
        <v>142</v>
      </c>
      <c r="C68" s="38"/>
      <c r="D68" s="38"/>
      <c r="E68" s="38"/>
      <c r="F68" s="38"/>
      <c r="G68" s="38"/>
      <c r="H68" s="38"/>
      <c r="I68" s="38"/>
      <c r="J68" s="38"/>
      <c r="K68" s="38"/>
      <c r="L68" s="307">
        <f>L65/L66</f>
        <v>0.11926361906447759</v>
      </c>
      <c r="M68" s="307">
        <f t="shared" ref="M68:O68" si="14">M65/M66</f>
        <v>0.11147856664434025</v>
      </c>
      <c r="N68" s="307">
        <f t="shared" si="14"/>
        <v>0.2344990892531876</v>
      </c>
      <c r="O68" s="307">
        <f t="shared" si="14"/>
        <v>0.33801162545553115</v>
      </c>
      <c r="P68" s="38"/>
      <c r="Q68" s="38"/>
      <c r="R68" s="353"/>
    </row>
    <row r="69" spans="2:18" x14ac:dyDescent="0.3">
      <c r="B69" s="352" t="s">
        <v>143</v>
      </c>
      <c r="C69" s="38"/>
      <c r="D69" s="38"/>
      <c r="E69" s="38"/>
      <c r="F69" s="38"/>
      <c r="G69" s="38"/>
      <c r="H69" s="38"/>
      <c r="I69" s="38"/>
      <c r="J69" s="38"/>
      <c r="K69" s="38"/>
      <c r="L69" s="39">
        <f>L66/L67</f>
        <v>0.33480509089831539</v>
      </c>
      <c r="M69" s="39">
        <f t="shared" ref="M69:O69" si="15">M66/M67</f>
        <v>0.31459312815245016</v>
      </c>
      <c r="N69" s="39">
        <f t="shared" si="15"/>
        <v>0.36323938070662959</v>
      </c>
      <c r="O69" s="39">
        <f t="shared" si="15"/>
        <v>0.45328946470258979</v>
      </c>
      <c r="P69" s="38"/>
      <c r="Q69" s="38"/>
      <c r="R69" s="353"/>
    </row>
    <row r="70" spans="2:18" x14ac:dyDescent="0.3">
      <c r="B70" s="361" t="s">
        <v>147</v>
      </c>
      <c r="C70" s="276"/>
      <c r="D70" s="276"/>
      <c r="E70" s="276"/>
      <c r="F70" s="276"/>
      <c r="G70" s="276"/>
      <c r="H70" s="276"/>
      <c r="I70" s="276"/>
      <c r="J70" s="276"/>
      <c r="K70" s="276"/>
      <c r="L70" s="362">
        <f>L68*L69</f>
        <v>3.9930066821744478E-2</v>
      </c>
      <c r="M70" s="362">
        <f t="shared" ref="M70:O70" si="16">M68*M69</f>
        <v>3.5070391002594389E-2</v>
      </c>
      <c r="N70" s="362">
        <f t="shared" si="16"/>
        <v>8.5179303956596522E-2</v>
      </c>
      <c r="O70" s="362">
        <f t="shared" si="16"/>
        <v>0.15321710876598998</v>
      </c>
      <c r="P70" s="276"/>
      <c r="Q70" s="276"/>
      <c r="R70" s="363"/>
    </row>
    <row r="71" spans="2:18" x14ac:dyDescent="0.3">
      <c r="B71" s="352"/>
      <c r="C71" s="38"/>
      <c r="D71" s="38"/>
      <c r="E71" s="38"/>
      <c r="F71" s="38"/>
      <c r="G71" s="38"/>
      <c r="H71" s="38"/>
      <c r="I71" s="38"/>
      <c r="J71" s="38"/>
      <c r="K71" s="38"/>
      <c r="L71" s="38"/>
      <c r="M71" s="38"/>
      <c r="N71" s="38"/>
      <c r="O71" s="38"/>
      <c r="P71" s="38"/>
      <c r="Q71" s="38"/>
      <c r="R71" s="353"/>
    </row>
    <row r="72" spans="2:18" x14ac:dyDescent="0.3">
      <c r="B72" s="352" t="s">
        <v>194</v>
      </c>
      <c r="C72" s="38"/>
      <c r="D72" s="38"/>
      <c r="E72" s="38"/>
      <c r="F72" s="38"/>
      <c r="G72" s="38"/>
      <c r="H72" s="38"/>
      <c r="I72" s="38"/>
      <c r="J72" s="38"/>
      <c r="K72" s="38"/>
      <c r="L72" s="38"/>
      <c r="M72" s="38"/>
      <c r="N72" s="38"/>
      <c r="O72" s="38"/>
      <c r="P72" s="38"/>
      <c r="Q72" s="38"/>
      <c r="R72" s="353"/>
    </row>
    <row r="73" spans="2:18" x14ac:dyDescent="0.3">
      <c r="B73" s="352" t="s">
        <v>318</v>
      </c>
      <c r="C73" s="38"/>
      <c r="D73" s="38"/>
      <c r="E73" s="38"/>
      <c r="F73" s="38"/>
      <c r="G73" s="38"/>
      <c r="H73" s="38"/>
      <c r="I73" s="38"/>
      <c r="J73" s="38"/>
      <c r="K73" s="38"/>
      <c r="L73" s="38"/>
      <c r="M73" s="38"/>
      <c r="N73" s="38"/>
      <c r="O73" s="38"/>
      <c r="P73" s="38"/>
      <c r="Q73" s="38"/>
      <c r="R73" s="353"/>
    </row>
    <row r="74" spans="2:18" x14ac:dyDescent="0.3">
      <c r="B74" s="352" t="s">
        <v>319</v>
      </c>
      <c r="C74" s="38"/>
      <c r="D74" s="38"/>
      <c r="E74" s="38"/>
      <c r="F74" s="38"/>
      <c r="G74" s="38"/>
      <c r="H74" s="38"/>
      <c r="I74" s="38"/>
      <c r="J74" s="38"/>
      <c r="K74" s="38"/>
      <c r="L74" s="38"/>
      <c r="M74" s="38"/>
      <c r="N74" s="38"/>
      <c r="O74" s="38"/>
      <c r="P74" s="38"/>
      <c r="Q74" s="38"/>
      <c r="R74" s="353"/>
    </row>
    <row r="75" spans="2:18" ht="15" thickBot="1" x14ac:dyDescent="0.35">
      <c r="B75" s="360" t="s">
        <v>320</v>
      </c>
      <c r="C75" s="356"/>
      <c r="D75" s="356"/>
      <c r="E75" s="356"/>
      <c r="F75" s="356"/>
      <c r="G75" s="356"/>
      <c r="H75" s="356"/>
      <c r="I75" s="356"/>
      <c r="J75" s="356"/>
      <c r="K75" s="356"/>
      <c r="L75" s="356"/>
      <c r="M75" s="356"/>
      <c r="N75" s="356"/>
      <c r="O75" s="356"/>
      <c r="P75" s="356"/>
      <c r="Q75" s="356"/>
      <c r="R75" s="359"/>
    </row>
    <row r="77" spans="2:18" x14ac:dyDescent="0.3">
      <c r="B77" s="526" t="s">
        <v>209</v>
      </c>
      <c r="C77" s="527"/>
      <c r="D77" s="527"/>
      <c r="E77" s="527"/>
      <c r="F77" s="527"/>
      <c r="G77" s="527"/>
      <c r="H77" s="527"/>
      <c r="I77" s="527"/>
      <c r="J77" s="527"/>
      <c r="K77" s="527"/>
      <c r="L77" s="527"/>
      <c r="M77" s="527"/>
      <c r="N77" s="527"/>
      <c r="O77" s="527"/>
      <c r="P77" s="527"/>
      <c r="Q77" s="527"/>
      <c r="R77" s="528"/>
    </row>
    <row r="78" spans="2:18" x14ac:dyDescent="0.3">
      <c r="B78" s="352"/>
      <c r="C78" s="38"/>
      <c r="D78" s="38"/>
      <c r="E78" s="38"/>
      <c r="F78" s="38"/>
      <c r="G78" s="38"/>
      <c r="H78" s="38"/>
      <c r="I78" s="38"/>
      <c r="J78" s="38"/>
      <c r="K78" s="38"/>
      <c r="L78" s="38"/>
      <c r="M78" s="38"/>
      <c r="N78" s="38"/>
      <c r="O78" s="38"/>
      <c r="P78" s="38"/>
      <c r="Q78" s="38"/>
      <c r="R78" s="353"/>
    </row>
    <row r="79" spans="2:18" x14ac:dyDescent="0.3">
      <c r="B79" s="521" t="s">
        <v>151</v>
      </c>
      <c r="C79" s="522"/>
      <c r="D79" s="522"/>
      <c r="E79" s="522"/>
      <c r="F79" s="522"/>
      <c r="G79" s="522"/>
      <c r="H79" s="522"/>
      <c r="I79" s="522"/>
      <c r="J79" s="522"/>
      <c r="K79" s="522"/>
      <c r="L79" s="522"/>
      <c r="M79" s="522"/>
      <c r="N79" s="522"/>
      <c r="O79" s="522"/>
      <c r="P79" s="522"/>
      <c r="Q79" s="522"/>
      <c r="R79" s="523"/>
    </row>
    <row r="80" spans="2:18" x14ac:dyDescent="0.3">
      <c r="B80" s="352"/>
      <c r="C80" s="38"/>
      <c r="D80" s="38"/>
      <c r="E80" s="38"/>
      <c r="F80" s="38"/>
      <c r="G80" s="38"/>
      <c r="H80" s="38"/>
      <c r="I80" s="38"/>
      <c r="J80" s="38"/>
      <c r="K80" s="38"/>
      <c r="L80" s="49">
        <f>L64</f>
        <v>43525</v>
      </c>
      <c r="M80" s="49">
        <f t="shared" ref="M80:O80" si="17">M64</f>
        <v>43891</v>
      </c>
      <c r="N80" s="49">
        <f t="shared" si="17"/>
        <v>44257</v>
      </c>
      <c r="O80" s="49">
        <f t="shared" si="17"/>
        <v>44623</v>
      </c>
      <c r="P80" s="38"/>
      <c r="Q80" s="38"/>
      <c r="R80" s="353"/>
    </row>
    <row r="81" spans="2:18" x14ac:dyDescent="0.3">
      <c r="B81" s="352" t="s">
        <v>152</v>
      </c>
      <c r="C81" s="38"/>
      <c r="D81" s="38"/>
      <c r="E81" s="38"/>
      <c r="F81" s="38"/>
      <c r="G81" s="38"/>
      <c r="H81" s="38"/>
      <c r="I81" s="38"/>
      <c r="J81" s="38"/>
      <c r="K81" s="38"/>
      <c r="L81" s="51">
        <f>'Broadcomm-Financials'!D32-'Broadcomm-Financials'!D45</f>
        <v>3018000</v>
      </c>
      <c r="M81" s="51">
        <f>'Broadcomm-Financials'!E32-'Broadcomm-Financials'!E45</f>
        <v>5524000</v>
      </c>
      <c r="N81" s="51">
        <f>'Broadcomm-Financials'!F32-'Broadcomm-Financials'!F45</f>
        <v>10305000</v>
      </c>
      <c r="O81" s="51">
        <f>'Broadcomm-Financials'!G32-'Broadcomm-Financials'!G45</f>
        <v>11452000</v>
      </c>
      <c r="P81" s="38"/>
      <c r="Q81" s="38"/>
      <c r="R81" s="353"/>
    </row>
    <row r="82" spans="2:18" x14ac:dyDescent="0.3">
      <c r="B82" s="352" t="s">
        <v>39</v>
      </c>
      <c r="C82" s="38"/>
      <c r="D82" s="38"/>
      <c r="E82" s="38"/>
      <c r="F82" s="38"/>
      <c r="G82" s="38"/>
      <c r="H82" s="38"/>
      <c r="I82" s="38"/>
      <c r="J82" s="38"/>
      <c r="K82" s="38"/>
      <c r="L82" s="51">
        <f>L67</f>
        <v>67493000</v>
      </c>
      <c r="M82" s="51">
        <f t="shared" ref="M82:O82" si="18">M67</f>
        <v>75933000</v>
      </c>
      <c r="N82" s="51">
        <f t="shared" si="18"/>
        <v>75570000</v>
      </c>
      <c r="O82" s="51">
        <f t="shared" si="18"/>
        <v>73249000</v>
      </c>
      <c r="P82" s="38"/>
      <c r="Q82" s="38"/>
      <c r="R82" s="353"/>
    </row>
    <row r="83" spans="2:18" x14ac:dyDescent="0.3">
      <c r="B83" s="352" t="s">
        <v>161</v>
      </c>
      <c r="C83" s="38"/>
      <c r="D83" s="38"/>
      <c r="E83" s="38"/>
      <c r="F83" s="38"/>
      <c r="G83" s="38"/>
      <c r="H83" s="38"/>
      <c r="I83" s="38"/>
      <c r="J83" s="38"/>
      <c r="K83" s="38"/>
      <c r="L83" s="39">
        <f>L81/L82</f>
        <v>4.4715748299823686E-2</v>
      </c>
      <c r="M83" s="39">
        <f t="shared" ref="M83:O83" si="19">M81/M82</f>
        <v>7.2748343934784618E-2</v>
      </c>
      <c r="N83" s="39">
        <f t="shared" si="19"/>
        <v>0.13636363636363635</v>
      </c>
      <c r="O83" s="39">
        <f t="shared" si="19"/>
        <v>0.15634343130964246</v>
      </c>
      <c r="P83" s="38"/>
      <c r="Q83" s="38"/>
      <c r="R83" s="353"/>
    </row>
    <row r="84" spans="2:18" x14ac:dyDescent="0.3">
      <c r="B84" s="352"/>
      <c r="C84" s="38"/>
      <c r="D84" s="38"/>
      <c r="E84" s="38"/>
      <c r="F84" s="38"/>
      <c r="G84" s="38"/>
      <c r="H84" s="38"/>
      <c r="I84" s="38"/>
      <c r="J84" s="38"/>
      <c r="K84" s="38"/>
      <c r="L84" s="38"/>
      <c r="M84" s="38"/>
      <c r="N84" s="38"/>
      <c r="O84" s="38"/>
      <c r="P84" s="38"/>
      <c r="Q84" s="38"/>
      <c r="R84" s="353"/>
    </row>
    <row r="85" spans="2:18" x14ac:dyDescent="0.3">
      <c r="B85" s="521" t="s">
        <v>153</v>
      </c>
      <c r="C85" s="522"/>
      <c r="D85" s="522"/>
      <c r="E85" s="522"/>
      <c r="F85" s="522"/>
      <c r="G85" s="522"/>
      <c r="H85" s="522"/>
      <c r="I85" s="522"/>
      <c r="J85" s="522"/>
      <c r="K85" s="522"/>
      <c r="L85" s="522"/>
      <c r="M85" s="522"/>
      <c r="N85" s="522"/>
      <c r="O85" s="522"/>
      <c r="P85" s="522"/>
      <c r="Q85" s="522"/>
      <c r="R85" s="523"/>
    </row>
    <row r="86" spans="2:18" x14ac:dyDescent="0.3">
      <c r="B86" s="352"/>
      <c r="C86" s="38"/>
      <c r="D86" s="38"/>
      <c r="E86" s="38"/>
      <c r="F86" s="38"/>
      <c r="G86" s="38"/>
      <c r="H86" s="38"/>
      <c r="I86" s="38"/>
      <c r="J86" s="38"/>
      <c r="K86" s="38"/>
      <c r="L86" s="49">
        <f>L80</f>
        <v>43525</v>
      </c>
      <c r="M86" s="49">
        <f t="shared" ref="M86:O86" si="20">M80</f>
        <v>43891</v>
      </c>
      <c r="N86" s="49">
        <f t="shared" si="20"/>
        <v>44257</v>
      </c>
      <c r="O86" s="49">
        <f t="shared" si="20"/>
        <v>44623</v>
      </c>
      <c r="P86" s="38"/>
      <c r="Q86" s="38"/>
      <c r="R86" s="353"/>
    </row>
    <row r="87" spans="2:18" x14ac:dyDescent="0.3">
      <c r="B87" s="352" t="s">
        <v>186</v>
      </c>
      <c r="C87" s="38"/>
      <c r="D87" s="38"/>
      <c r="E87" s="38"/>
      <c r="F87" s="38"/>
      <c r="G87" s="38"/>
      <c r="H87" s="38"/>
      <c r="I87" s="38"/>
      <c r="J87" s="38"/>
      <c r="K87" s="38"/>
      <c r="L87" s="51">
        <f>'Broadcomm-Financials'!D14</f>
        <v>3670000</v>
      </c>
      <c r="M87" s="51">
        <f>'Broadcomm-Financials'!E14</f>
        <v>4220000</v>
      </c>
      <c r="N87" s="51">
        <f>'Broadcomm-Financials'!F14</f>
        <v>8650000</v>
      </c>
      <c r="O87" s="51">
        <f>'Broadcomm-Financials'!G14</f>
        <v>14171000</v>
      </c>
      <c r="P87" s="38"/>
      <c r="Q87" s="38"/>
      <c r="R87" s="353"/>
    </row>
    <row r="88" spans="2:18" x14ac:dyDescent="0.3">
      <c r="B88" s="352" t="s">
        <v>39</v>
      </c>
      <c r="C88" s="38"/>
      <c r="D88" s="38"/>
      <c r="E88" s="38"/>
      <c r="F88" s="38"/>
      <c r="G88" s="38"/>
      <c r="H88" s="38"/>
      <c r="I88" s="38"/>
      <c r="J88" s="38"/>
      <c r="K88" s="38"/>
      <c r="L88" s="51">
        <f>L82</f>
        <v>67493000</v>
      </c>
      <c r="M88" s="51">
        <f t="shared" ref="M88:O88" si="21">M82</f>
        <v>75933000</v>
      </c>
      <c r="N88" s="51">
        <f t="shared" si="21"/>
        <v>75570000</v>
      </c>
      <c r="O88" s="51">
        <f t="shared" si="21"/>
        <v>73249000</v>
      </c>
      <c r="P88" s="38"/>
      <c r="Q88" s="38"/>
      <c r="R88" s="353"/>
    </row>
    <row r="89" spans="2:18" x14ac:dyDescent="0.3">
      <c r="B89" s="352" t="s">
        <v>237</v>
      </c>
      <c r="C89" s="38"/>
      <c r="D89" s="38"/>
      <c r="E89" s="38"/>
      <c r="F89" s="38"/>
      <c r="G89" s="38"/>
      <c r="H89" s="38"/>
      <c r="I89" s="38"/>
      <c r="J89" s="38"/>
      <c r="K89" s="38"/>
      <c r="L89" s="39">
        <f>L87/L88</f>
        <v>5.4376009363934039E-2</v>
      </c>
      <c r="M89" s="39">
        <f t="shared" ref="M89:O89" si="22">M87/M88</f>
        <v>5.5575309812597951E-2</v>
      </c>
      <c r="N89" s="39">
        <f t="shared" si="22"/>
        <v>0.11446341140664285</v>
      </c>
      <c r="O89" s="39">
        <f t="shared" si="22"/>
        <v>0.19346339199169954</v>
      </c>
      <c r="P89" s="38"/>
      <c r="Q89" s="38"/>
      <c r="R89" s="353"/>
    </row>
    <row r="90" spans="2:18" x14ac:dyDescent="0.3">
      <c r="B90" s="352"/>
      <c r="C90" s="38"/>
      <c r="D90" s="38"/>
      <c r="E90" s="38"/>
      <c r="F90" s="38"/>
      <c r="G90" s="38"/>
      <c r="H90" s="38"/>
      <c r="I90" s="38"/>
      <c r="J90" s="38"/>
      <c r="K90" s="38"/>
      <c r="L90" s="38"/>
      <c r="M90" s="38"/>
      <c r="N90" s="38"/>
      <c r="O90" s="38"/>
      <c r="P90" s="38"/>
      <c r="Q90" s="38"/>
      <c r="R90" s="353"/>
    </row>
    <row r="91" spans="2:18" x14ac:dyDescent="0.3">
      <c r="B91" s="521" t="s">
        <v>154</v>
      </c>
      <c r="C91" s="522"/>
      <c r="D91" s="522"/>
      <c r="E91" s="522"/>
      <c r="F91" s="522"/>
      <c r="G91" s="522"/>
      <c r="H91" s="522"/>
      <c r="I91" s="522"/>
      <c r="J91" s="522"/>
      <c r="K91" s="522"/>
      <c r="L91" s="522"/>
      <c r="M91" s="522"/>
      <c r="N91" s="522"/>
      <c r="O91" s="522"/>
      <c r="P91" s="522"/>
      <c r="Q91" s="522"/>
      <c r="R91" s="523"/>
    </row>
    <row r="92" spans="2:18" x14ac:dyDescent="0.3">
      <c r="B92" s="352"/>
      <c r="C92" s="38"/>
      <c r="D92" s="38"/>
      <c r="E92" s="38"/>
      <c r="F92" s="38"/>
      <c r="G92" s="38"/>
      <c r="H92" s="38"/>
      <c r="I92" s="38"/>
      <c r="J92" s="38"/>
      <c r="K92" s="38"/>
      <c r="L92" s="49">
        <f>L86</f>
        <v>43525</v>
      </c>
      <c r="M92" s="49">
        <f t="shared" ref="M92:O92" si="23">M86</f>
        <v>43891</v>
      </c>
      <c r="N92" s="49">
        <f t="shared" si="23"/>
        <v>44257</v>
      </c>
      <c r="O92" s="49">
        <f t="shared" si="23"/>
        <v>44623</v>
      </c>
      <c r="P92" s="38"/>
      <c r="Q92" s="38"/>
      <c r="R92" s="353"/>
    </row>
    <row r="93" spans="2:18" x14ac:dyDescent="0.3">
      <c r="B93" s="352" t="s">
        <v>53</v>
      </c>
      <c r="C93" s="38"/>
      <c r="D93" s="38"/>
      <c r="E93" s="38"/>
      <c r="F93" s="38"/>
      <c r="G93" s="38"/>
      <c r="H93" s="38"/>
      <c r="I93" s="38"/>
      <c r="J93" s="38"/>
      <c r="K93" s="38"/>
      <c r="L93" s="51">
        <f>'Broadcomm-Financials'!D55</f>
        <v>0</v>
      </c>
      <c r="M93" s="51">
        <f>'Broadcomm-Financials'!E55</f>
        <v>0</v>
      </c>
      <c r="N93" s="51">
        <f>'Broadcomm-Financials'!F55</f>
        <v>0</v>
      </c>
      <c r="O93" s="51">
        <f>'Broadcomm-Financials'!G55</f>
        <v>0</v>
      </c>
      <c r="P93" s="38"/>
      <c r="Q93" s="38"/>
      <c r="R93" s="353"/>
    </row>
    <row r="94" spans="2:18" x14ac:dyDescent="0.3">
      <c r="B94" s="352" t="s">
        <v>39</v>
      </c>
      <c r="C94" s="38"/>
      <c r="D94" s="38"/>
      <c r="E94" s="38"/>
      <c r="F94" s="38"/>
      <c r="G94" s="38"/>
      <c r="H94" s="38"/>
      <c r="I94" s="38"/>
      <c r="J94" s="38"/>
      <c r="K94" s="38"/>
      <c r="L94" s="51">
        <f>L88</f>
        <v>67493000</v>
      </c>
      <c r="M94" s="51">
        <f t="shared" ref="M94:O94" si="24">M88</f>
        <v>75933000</v>
      </c>
      <c r="N94" s="51">
        <f t="shared" si="24"/>
        <v>75570000</v>
      </c>
      <c r="O94" s="51">
        <f t="shared" si="24"/>
        <v>73249000</v>
      </c>
      <c r="P94" s="38"/>
      <c r="Q94" s="38"/>
      <c r="R94" s="353"/>
    </row>
    <row r="95" spans="2:18" x14ac:dyDescent="0.3">
      <c r="B95" s="352" t="s">
        <v>238</v>
      </c>
      <c r="C95" s="38"/>
      <c r="D95" s="38"/>
      <c r="E95" s="38"/>
      <c r="F95" s="38"/>
      <c r="G95" s="38"/>
      <c r="H95" s="38"/>
      <c r="I95" s="38"/>
      <c r="J95" s="38"/>
      <c r="K95" s="38"/>
      <c r="L95" s="39">
        <f>L93/L94</f>
        <v>0</v>
      </c>
      <c r="M95" s="39">
        <f t="shared" ref="M95:O95" si="25">M93/M94</f>
        <v>0</v>
      </c>
      <c r="N95" s="39">
        <f t="shared" si="25"/>
        <v>0</v>
      </c>
      <c r="O95" s="39">
        <f t="shared" si="25"/>
        <v>0</v>
      </c>
      <c r="P95" s="38"/>
      <c r="Q95" s="38"/>
      <c r="R95" s="353"/>
    </row>
    <row r="96" spans="2:18" x14ac:dyDescent="0.3">
      <c r="B96" s="352"/>
      <c r="C96" s="38"/>
      <c r="D96" s="38"/>
      <c r="E96" s="38"/>
      <c r="F96" s="38"/>
      <c r="G96" s="38"/>
      <c r="H96" s="38"/>
      <c r="I96" s="38"/>
      <c r="J96" s="38"/>
      <c r="K96" s="38"/>
      <c r="L96" s="38"/>
      <c r="M96" s="38"/>
      <c r="N96" s="38"/>
      <c r="O96" s="38"/>
      <c r="P96" s="38"/>
      <c r="Q96" s="38"/>
      <c r="R96" s="353"/>
    </row>
    <row r="97" spans="2:18" x14ac:dyDescent="0.3">
      <c r="B97" s="521" t="s">
        <v>156</v>
      </c>
      <c r="C97" s="522"/>
      <c r="D97" s="522"/>
      <c r="E97" s="522"/>
      <c r="F97" s="522"/>
      <c r="G97" s="522"/>
      <c r="H97" s="522"/>
      <c r="I97" s="522"/>
      <c r="J97" s="522"/>
      <c r="K97" s="522"/>
      <c r="L97" s="522"/>
      <c r="M97" s="522"/>
      <c r="N97" s="522"/>
      <c r="O97" s="522"/>
      <c r="P97" s="522"/>
      <c r="Q97" s="522"/>
      <c r="R97" s="523"/>
    </row>
    <row r="98" spans="2:18" x14ac:dyDescent="0.3">
      <c r="B98" s="352"/>
      <c r="C98" s="38"/>
      <c r="D98" s="38"/>
      <c r="E98" s="38"/>
      <c r="F98" s="38"/>
      <c r="G98" s="38"/>
      <c r="H98" s="38"/>
      <c r="I98" s="38"/>
      <c r="J98" s="38"/>
      <c r="K98" s="38"/>
      <c r="L98" s="49">
        <f>L92</f>
        <v>43525</v>
      </c>
      <c r="M98" s="49">
        <f t="shared" ref="M98:O98" si="26">M92</f>
        <v>43891</v>
      </c>
      <c r="N98" s="49">
        <f t="shared" si="26"/>
        <v>44257</v>
      </c>
      <c r="O98" s="49">
        <f t="shared" si="26"/>
        <v>44623</v>
      </c>
      <c r="P98" s="38"/>
      <c r="Q98" s="38"/>
      <c r="R98" s="353"/>
    </row>
    <row r="99" spans="2:18" x14ac:dyDescent="0.3">
      <c r="B99" s="352" t="s">
        <v>213</v>
      </c>
      <c r="C99" s="38"/>
      <c r="D99" s="38"/>
      <c r="E99" s="38"/>
      <c r="F99" s="38"/>
      <c r="G99" s="38"/>
      <c r="H99" s="38"/>
      <c r="I99" s="38"/>
      <c r="J99" s="38"/>
      <c r="K99" s="38"/>
      <c r="L99" s="51">
        <f>'Broadcomm-Financials'!D4</f>
        <v>22597000</v>
      </c>
      <c r="M99" s="51">
        <f>'Broadcomm-Financials'!E4</f>
        <v>23888000</v>
      </c>
      <c r="N99" s="51">
        <f>'Broadcomm-Financials'!F4</f>
        <v>27450000</v>
      </c>
      <c r="O99" s="51">
        <f>'Broadcomm-Financials'!G4</f>
        <v>33203000</v>
      </c>
      <c r="P99" s="38"/>
      <c r="Q99" s="38"/>
      <c r="R99" s="353"/>
    </row>
    <row r="100" spans="2:18" x14ac:dyDescent="0.3">
      <c r="B100" s="352" t="s">
        <v>39</v>
      </c>
      <c r="C100" s="38"/>
      <c r="D100" s="38"/>
      <c r="E100" s="38"/>
      <c r="F100" s="38"/>
      <c r="G100" s="38"/>
      <c r="H100" s="38"/>
      <c r="I100" s="38"/>
      <c r="J100" s="38"/>
      <c r="K100" s="38"/>
      <c r="L100" s="51">
        <f>L94</f>
        <v>67493000</v>
      </c>
      <c r="M100" s="51">
        <f t="shared" ref="M100:O100" si="27">M94</f>
        <v>75933000</v>
      </c>
      <c r="N100" s="51">
        <f t="shared" si="27"/>
        <v>75570000</v>
      </c>
      <c r="O100" s="51">
        <f t="shared" si="27"/>
        <v>73249000</v>
      </c>
      <c r="P100" s="38"/>
      <c r="Q100" s="38"/>
      <c r="R100" s="353"/>
    </row>
    <row r="101" spans="2:18" x14ac:dyDescent="0.3">
      <c r="B101" s="352" t="s">
        <v>239</v>
      </c>
      <c r="C101" s="38"/>
      <c r="D101" s="38"/>
      <c r="E101" s="38"/>
      <c r="F101" s="38"/>
      <c r="G101" s="38"/>
      <c r="H101" s="38"/>
      <c r="I101" s="38"/>
      <c r="J101" s="38"/>
      <c r="K101" s="38"/>
      <c r="L101" s="39">
        <f>L99/L100</f>
        <v>0.33480509089831539</v>
      </c>
      <c r="M101" s="39">
        <f t="shared" ref="M101:O101" si="28">M99/M100</f>
        <v>0.31459312815245016</v>
      </c>
      <c r="N101" s="39">
        <f t="shared" si="28"/>
        <v>0.36323938070662959</v>
      </c>
      <c r="O101" s="39">
        <f t="shared" si="28"/>
        <v>0.45328946470258979</v>
      </c>
      <c r="P101" s="38"/>
      <c r="Q101" s="38"/>
      <c r="R101" s="353"/>
    </row>
    <row r="102" spans="2:18" x14ac:dyDescent="0.3">
      <c r="B102" s="352"/>
      <c r="C102" s="38"/>
      <c r="D102" s="38"/>
      <c r="E102" s="38"/>
      <c r="F102" s="38"/>
      <c r="G102" s="38"/>
      <c r="H102" s="38"/>
      <c r="I102" s="38"/>
      <c r="J102" s="38"/>
      <c r="K102" s="38"/>
      <c r="L102" s="38"/>
      <c r="M102" s="38"/>
      <c r="N102" s="38"/>
      <c r="O102" s="38"/>
      <c r="P102" s="38"/>
      <c r="Q102" s="38"/>
      <c r="R102" s="353"/>
    </row>
    <row r="103" spans="2:18" x14ac:dyDescent="0.3">
      <c r="B103" s="521" t="s">
        <v>224</v>
      </c>
      <c r="C103" s="522"/>
      <c r="D103" s="522"/>
      <c r="E103" s="522"/>
      <c r="F103" s="522"/>
      <c r="G103" s="522"/>
      <c r="H103" s="522"/>
      <c r="I103" s="522"/>
      <c r="J103" s="522"/>
      <c r="K103" s="522"/>
      <c r="L103" s="522"/>
      <c r="M103" s="522"/>
      <c r="N103" s="522"/>
      <c r="O103" s="522"/>
      <c r="P103" s="522"/>
      <c r="Q103" s="522"/>
      <c r="R103" s="523"/>
    </row>
    <row r="104" spans="2:18" x14ac:dyDescent="0.3">
      <c r="B104" s="352"/>
      <c r="C104" s="38"/>
      <c r="D104" s="38"/>
      <c r="E104" s="38"/>
      <c r="F104" s="38"/>
      <c r="G104" s="38"/>
      <c r="H104" s="38"/>
      <c r="I104" s="38"/>
      <c r="J104" s="38"/>
      <c r="K104" s="38"/>
      <c r="L104" s="49">
        <f>L98</f>
        <v>43525</v>
      </c>
      <c r="M104" s="49">
        <f t="shared" ref="M104:O104" si="29">M98</f>
        <v>43891</v>
      </c>
      <c r="N104" s="49">
        <f t="shared" si="29"/>
        <v>44257</v>
      </c>
      <c r="O104" s="49">
        <f t="shared" si="29"/>
        <v>44623</v>
      </c>
      <c r="P104" s="38"/>
      <c r="Q104" s="38"/>
      <c r="R104" s="353"/>
    </row>
    <row r="105" spans="2:18" x14ac:dyDescent="0.3">
      <c r="B105" s="352" t="s">
        <v>160</v>
      </c>
      <c r="C105" s="38"/>
      <c r="D105" s="38"/>
      <c r="E105" s="38"/>
      <c r="F105" s="38"/>
      <c r="G105" s="38"/>
      <c r="H105" s="38"/>
      <c r="I105" s="38"/>
      <c r="J105" s="38"/>
      <c r="K105" s="38"/>
      <c r="L105" s="51">
        <f>'Broadcomm-Financials'!D23</f>
        <v>125710000</v>
      </c>
      <c r="M105" s="51">
        <f>'Broadcomm-Financials'!E23</f>
        <v>178070000</v>
      </c>
      <c r="N105" s="51">
        <f>'Broadcomm-Financials'!F23</f>
        <v>274730000</v>
      </c>
      <c r="O105" s="51">
        <f>'Broadcomm-Financials'!G23</f>
        <v>233650000</v>
      </c>
      <c r="P105" s="38"/>
      <c r="Q105" s="38"/>
      <c r="R105" s="353"/>
    </row>
    <row r="106" spans="2:18" x14ac:dyDescent="0.3">
      <c r="B106" s="352" t="s">
        <v>159</v>
      </c>
      <c r="C106" s="38"/>
      <c r="D106" s="38"/>
      <c r="E106" s="38"/>
      <c r="F106" s="38"/>
      <c r="G106" s="38"/>
      <c r="H106" s="38"/>
      <c r="I106" s="38"/>
      <c r="J106" s="38"/>
      <c r="K106" s="38"/>
      <c r="L106" s="51">
        <f>'Broadcomm-Financials'!D46</f>
        <v>30011000</v>
      </c>
      <c r="M106" s="51">
        <f>'Broadcomm-Financials'!E46</f>
        <v>40235000</v>
      </c>
      <c r="N106" s="51">
        <f>'Broadcomm-Financials'!F46</f>
        <v>39440000</v>
      </c>
      <c r="O106" s="51">
        <f>'Broadcomm-Financials'!G46</f>
        <v>39075000</v>
      </c>
      <c r="P106" s="38"/>
      <c r="Q106" s="38"/>
      <c r="R106" s="353"/>
    </row>
    <row r="107" spans="2:18" ht="15" thickBot="1" x14ac:dyDescent="0.35">
      <c r="B107" s="360" t="s">
        <v>240</v>
      </c>
      <c r="C107" s="356"/>
      <c r="D107" s="356"/>
      <c r="E107" s="356"/>
      <c r="F107" s="356"/>
      <c r="G107" s="356"/>
      <c r="H107" s="356"/>
      <c r="I107" s="356"/>
      <c r="J107" s="356"/>
      <c r="K107" s="356"/>
      <c r="L107" s="357">
        <f>L105/L106</f>
        <v>4.1887974409383224</v>
      </c>
      <c r="M107" s="357">
        <f t="shared" ref="M107:O107" si="30">M105/M106</f>
        <v>4.4257487262333788</v>
      </c>
      <c r="N107" s="357">
        <f t="shared" si="30"/>
        <v>6.9657707910750508</v>
      </c>
      <c r="O107" s="357">
        <f t="shared" si="30"/>
        <v>5.9795265515035192</v>
      </c>
      <c r="P107" s="356"/>
      <c r="Q107" s="356"/>
      <c r="R107" s="359"/>
    </row>
    <row r="109" spans="2:18" x14ac:dyDescent="0.3">
      <c r="B109" s="526" t="s">
        <v>166</v>
      </c>
      <c r="C109" s="527"/>
      <c r="D109" s="527"/>
      <c r="E109" s="527"/>
      <c r="F109" s="527"/>
      <c r="G109" s="527"/>
      <c r="H109" s="527"/>
      <c r="I109" s="527"/>
      <c r="J109" s="527"/>
      <c r="K109" s="527"/>
      <c r="L109" s="527"/>
      <c r="M109" s="527"/>
      <c r="N109" s="527"/>
      <c r="O109" s="527"/>
      <c r="P109" s="527"/>
      <c r="Q109" s="527"/>
      <c r="R109" s="528"/>
    </row>
    <row r="110" spans="2:18" x14ac:dyDescent="0.3">
      <c r="B110" s="352"/>
      <c r="C110" s="38"/>
      <c r="D110" s="88" t="s">
        <v>169</v>
      </c>
      <c r="E110" s="88" t="s">
        <v>170</v>
      </c>
      <c r="F110" s="88" t="s">
        <v>171</v>
      </c>
      <c r="G110" s="88" t="s">
        <v>172</v>
      </c>
      <c r="H110" s="88" t="s">
        <v>173</v>
      </c>
      <c r="I110" s="38"/>
      <c r="J110" s="38"/>
      <c r="K110" s="38"/>
      <c r="L110" s="38"/>
      <c r="M110" s="38"/>
      <c r="N110" s="38"/>
      <c r="O110" s="37" t="s">
        <v>166</v>
      </c>
      <c r="P110" s="38"/>
      <c r="Q110" s="37" t="s">
        <v>174</v>
      </c>
      <c r="R110" s="353"/>
    </row>
    <row r="111" spans="2:18" x14ac:dyDescent="0.3">
      <c r="B111" s="352" t="s">
        <v>226</v>
      </c>
      <c r="C111" s="38" t="s">
        <v>168</v>
      </c>
      <c r="D111" s="88">
        <v>1.2</v>
      </c>
      <c r="E111" s="88">
        <v>3.3</v>
      </c>
      <c r="F111" s="88">
        <v>1.4</v>
      </c>
      <c r="G111" s="88">
        <v>1</v>
      </c>
      <c r="H111" s="88">
        <v>0.6</v>
      </c>
      <c r="I111" s="38"/>
      <c r="J111" s="38"/>
      <c r="K111" s="38"/>
      <c r="L111" s="38"/>
      <c r="M111" s="38"/>
      <c r="N111" s="38"/>
      <c r="O111" s="38"/>
      <c r="P111" s="38"/>
      <c r="Q111" s="38"/>
      <c r="R111" s="353"/>
    </row>
    <row r="112" spans="2:18" x14ac:dyDescent="0.3">
      <c r="B112" s="354">
        <f t="array" ref="B112:B115">TRANSPOSE(L104:O104)</f>
        <v>43525</v>
      </c>
      <c r="C112" s="38"/>
      <c r="D112" s="39">
        <f t="array" ref="D112:D115">TRANSPOSE(L83:O83)</f>
        <v>4.4715748299823686E-2</v>
      </c>
      <c r="E112" s="39">
        <f t="array" ref="E112:E115">TRANSPOSE(L89:O89)</f>
        <v>5.4376009363934039E-2</v>
      </c>
      <c r="F112" s="39">
        <f t="array" ref="F112:F115">TRANSPOSE(L95:O95)</f>
        <v>0</v>
      </c>
      <c r="G112" s="39">
        <f t="array" ref="G112:G115">TRANSPOSE(L101:O101)</f>
        <v>0.33480509089831539</v>
      </c>
      <c r="H112" s="39">
        <f t="array" ref="H112:H115">TRANSPOSE(L107:O107)</f>
        <v>4.1887974409383224</v>
      </c>
      <c r="I112" s="38"/>
      <c r="J112" s="38"/>
      <c r="K112" s="38"/>
      <c r="L112" s="38"/>
      <c r="M112" s="38"/>
      <c r="N112" s="38"/>
      <c r="O112" s="66">
        <f>SUMPRODUCT(D112:H112,$D$111:$H$111)</f>
        <v>3.0811832843220799</v>
      </c>
      <c r="P112" s="38"/>
      <c r="Q112" s="38" t="str">
        <f>IF(O112&lt;3.1,"Distress Zone", " Safe Zone")</f>
        <v>Distress Zone</v>
      </c>
      <c r="R112" s="353"/>
    </row>
    <row r="113" spans="2:18" x14ac:dyDescent="0.3">
      <c r="B113" s="354">
        <v>43891</v>
      </c>
      <c r="C113" s="38"/>
      <c r="D113" s="39">
        <v>7.2748343934784618E-2</v>
      </c>
      <c r="E113" s="39">
        <v>5.5575309812597951E-2</v>
      </c>
      <c r="F113" s="39">
        <v>0</v>
      </c>
      <c r="G113" s="39">
        <v>0.31459312815245016</v>
      </c>
      <c r="H113" s="39">
        <v>4.4257487262333788</v>
      </c>
      <c r="I113" s="38"/>
      <c r="J113" s="38"/>
      <c r="K113" s="38"/>
      <c r="L113" s="38"/>
      <c r="M113" s="38"/>
      <c r="N113" s="38"/>
      <c r="O113" s="66">
        <f t="shared" ref="O113:O115" si="31">SUMPRODUCT(D113:H113,$D$111:$H$111)</f>
        <v>3.2407388989957919</v>
      </c>
      <c r="P113" s="38"/>
      <c r="Q113" s="38" t="str">
        <f t="shared" ref="Q113:Q115" si="32">IF(O113&lt;3.1,"Distress Zone", " Safe Zone")</f>
        <v xml:space="preserve"> Safe Zone</v>
      </c>
      <c r="R113" s="353"/>
    </row>
    <row r="114" spans="2:18" x14ac:dyDescent="0.3">
      <c r="B114" s="354">
        <v>44257</v>
      </c>
      <c r="C114" s="38"/>
      <c r="D114" s="39">
        <v>0.13636363636363635</v>
      </c>
      <c r="E114" s="39">
        <v>0.11446341140664285</v>
      </c>
      <c r="F114" s="39">
        <v>0</v>
      </c>
      <c r="G114" s="39">
        <v>0.36323938070662959</v>
      </c>
      <c r="H114" s="39">
        <v>6.9657707910750508</v>
      </c>
      <c r="I114" s="38"/>
      <c r="J114" s="38"/>
      <c r="K114" s="38"/>
      <c r="L114" s="38"/>
      <c r="M114" s="38"/>
      <c r="N114" s="38"/>
      <c r="O114" s="66">
        <f t="shared" si="31"/>
        <v>5.0840674766299445</v>
      </c>
      <c r="P114" s="38"/>
      <c r="Q114" s="38" t="str">
        <f t="shared" si="32"/>
        <v xml:space="preserve"> Safe Zone</v>
      </c>
      <c r="R114" s="353"/>
    </row>
    <row r="115" spans="2:18" ht="15" thickBot="1" x14ac:dyDescent="0.35">
      <c r="B115" s="355">
        <v>44623</v>
      </c>
      <c r="C115" s="356"/>
      <c r="D115" s="357">
        <v>0.15634343130964246</v>
      </c>
      <c r="E115" s="357">
        <v>0.19346339199169954</v>
      </c>
      <c r="F115" s="357">
        <v>0</v>
      </c>
      <c r="G115" s="357">
        <v>0.45328946470258979</v>
      </c>
      <c r="H115" s="357">
        <v>5.9795265515035192</v>
      </c>
      <c r="I115" s="356"/>
      <c r="J115" s="356"/>
      <c r="K115" s="356"/>
      <c r="L115" s="356"/>
      <c r="M115" s="356"/>
      <c r="N115" s="356"/>
      <c r="O115" s="358">
        <f t="shared" si="31"/>
        <v>4.867046706748881</v>
      </c>
      <c r="P115" s="356"/>
      <c r="Q115" s="356" t="str">
        <f t="shared" si="32"/>
        <v xml:space="preserve"> Safe Zone</v>
      </c>
      <c r="R115" s="359"/>
    </row>
  </sheetData>
  <sheetProtection sheet="1" objects="1" scenarios="1"/>
  <customSheetViews>
    <customSheetView guid="{157A7F57-E932-4D71-AAC5-1BA0DA6A9C96}" showGridLines="0" topLeftCell="B10">
      <selection activeCell="T77" sqref="T77"/>
      <pageMargins left="0.7" right="0.7" top="0.75" bottom="0.75" header="0.3" footer="0.3"/>
      <pageSetup paperSize="9" orientation="portrait" r:id="rId1"/>
    </customSheetView>
  </customSheetViews>
  <mergeCells count="16">
    <mergeCell ref="B85:R85"/>
    <mergeCell ref="B91:R91"/>
    <mergeCell ref="B97:R97"/>
    <mergeCell ref="B103:R103"/>
    <mergeCell ref="B109:R109"/>
    <mergeCell ref="B79:R79"/>
    <mergeCell ref="B2:F4"/>
    <mergeCell ref="B9:R12"/>
    <mergeCell ref="B14:R14"/>
    <mergeCell ref="B20:R20"/>
    <mergeCell ref="B29:R29"/>
    <mergeCell ref="B36:R36"/>
    <mergeCell ref="B45:R45"/>
    <mergeCell ref="B52:R52"/>
    <mergeCell ref="B63:R63"/>
    <mergeCell ref="B77:R77"/>
  </mergeCells>
  <conditionalFormatting sqref="O112:O115">
    <cfRule type="cellIs" dxfId="2" priority="2" operator="greaterThan">
      <formula>3.1</formula>
    </cfRule>
  </conditionalFormatting>
  <conditionalFormatting sqref="O112">
    <cfRule type="cellIs" dxfId="1" priority="1" operator="lessThan">
      <formula>3.1</formula>
    </cfRule>
  </conditionalFormatting>
  <pageMargins left="0.7" right="0.7" top="0.75" bottom="0.75" header="0.3" footer="0.3"/>
  <pageSetup paperSize="9" orientation="portrait"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4"/>
  <sheetViews>
    <sheetView showGridLines="0" tabSelected="1" workbookViewId="0">
      <selection activeCell="E23" sqref="E23"/>
    </sheetView>
  </sheetViews>
  <sheetFormatPr defaultRowHeight="14.4" x14ac:dyDescent="0.3"/>
  <cols>
    <col min="1" max="1" width="1.88671875" customWidth="1"/>
    <col min="2" max="2" width="41.21875" bestFit="1" customWidth="1"/>
    <col min="4" max="7" width="11.44140625" bestFit="1" customWidth="1"/>
  </cols>
  <sheetData>
    <row r="2" spans="2:7" ht="21" x14ac:dyDescent="0.4">
      <c r="B2" s="5" t="s">
        <v>113</v>
      </c>
    </row>
    <row r="3" spans="2:7" x14ac:dyDescent="0.3">
      <c r="B3" t="s">
        <v>0</v>
      </c>
      <c r="D3" t="s">
        <v>71</v>
      </c>
      <c r="E3" t="s">
        <v>70</v>
      </c>
      <c r="F3" t="s">
        <v>69</v>
      </c>
      <c r="G3" t="s">
        <v>68</v>
      </c>
    </row>
    <row r="4" spans="2:7" x14ac:dyDescent="0.3">
      <c r="B4" t="s">
        <v>5</v>
      </c>
      <c r="D4" s="19">
        <v>23362000</v>
      </c>
      <c r="E4" s="19">
        <v>25424000</v>
      </c>
      <c r="F4" s="19">
        <v>25979000</v>
      </c>
      <c r="G4" s="19">
        <v>26323000</v>
      </c>
    </row>
    <row r="5" spans="2:7" x14ac:dyDescent="0.3">
      <c r="B5" t="s">
        <v>6</v>
      </c>
      <c r="D5" s="19">
        <v>4356000</v>
      </c>
      <c r="E5" s="19">
        <v>6159000</v>
      </c>
      <c r="F5" s="19">
        <v>6454000</v>
      </c>
      <c r="G5" s="19">
        <v>6406000</v>
      </c>
    </row>
    <row r="6" spans="2:7" x14ac:dyDescent="0.3">
      <c r="B6" t="s">
        <v>7</v>
      </c>
      <c r="D6" s="19">
        <v>19006000</v>
      </c>
      <c r="E6" s="19">
        <v>19265000</v>
      </c>
      <c r="F6" s="19">
        <v>19525000</v>
      </c>
      <c r="G6" s="19">
        <v>19917000</v>
      </c>
    </row>
    <row r="7" spans="2:7" x14ac:dyDescent="0.3">
      <c r="B7" t="s">
        <v>8</v>
      </c>
      <c r="D7" s="19"/>
      <c r="E7" s="19"/>
      <c r="F7" s="19"/>
      <c r="G7" s="19"/>
    </row>
    <row r="8" spans="2:7" x14ac:dyDescent="0.3">
      <c r="B8" t="s">
        <v>9</v>
      </c>
      <c r="D8" s="19">
        <v>4116000</v>
      </c>
      <c r="E8" s="19">
        <v>4207000</v>
      </c>
      <c r="F8" s="19">
        <v>4819000</v>
      </c>
      <c r="G8" s="19">
        <v>4434000</v>
      </c>
    </row>
    <row r="9" spans="2:7" x14ac:dyDescent="0.3">
      <c r="B9" t="s">
        <v>10</v>
      </c>
      <c r="D9" s="19">
        <v>5216000</v>
      </c>
      <c r="E9" s="19">
        <v>5919000</v>
      </c>
      <c r="F9" s="19">
        <v>5562000</v>
      </c>
      <c r="G9" s="19">
        <v>5917000</v>
      </c>
    </row>
    <row r="10" spans="2:7" x14ac:dyDescent="0.3">
      <c r="B10" t="s">
        <v>11</v>
      </c>
      <c r="D10" s="19">
        <v>0</v>
      </c>
      <c r="E10" s="19">
        <v>0</v>
      </c>
      <c r="F10" s="19">
        <v>1505000</v>
      </c>
      <c r="G10" s="19">
        <v>0</v>
      </c>
    </row>
    <row r="11" spans="2:7" x14ac:dyDescent="0.3">
      <c r="B11" t="s">
        <v>13</v>
      </c>
      <c r="D11" s="19">
        <v>0</v>
      </c>
      <c r="E11" s="19">
        <v>0</v>
      </c>
      <c r="F11" s="19">
        <v>0</v>
      </c>
      <c r="G11" s="19">
        <v>0</v>
      </c>
    </row>
    <row r="12" spans="2:7" x14ac:dyDescent="0.3">
      <c r="B12" t="s">
        <v>14</v>
      </c>
      <c r="D12" s="19">
        <v>9674000</v>
      </c>
      <c r="E12" s="19">
        <v>9139000</v>
      </c>
      <c r="F12" s="19">
        <v>7639000</v>
      </c>
      <c r="G12" s="19">
        <v>9566000</v>
      </c>
    </row>
    <row r="13" spans="2:7" x14ac:dyDescent="0.3">
      <c r="B13" t="s">
        <v>15</v>
      </c>
      <c r="D13" s="19">
        <v>753000</v>
      </c>
      <c r="E13" s="19">
        <v>256000</v>
      </c>
      <c r="F13" s="19">
        <v>259000</v>
      </c>
      <c r="G13" s="19">
        <v>-814000</v>
      </c>
    </row>
    <row r="14" spans="2:7" x14ac:dyDescent="0.3">
      <c r="B14" t="s">
        <v>16</v>
      </c>
      <c r="D14" s="19">
        <v>10427000</v>
      </c>
      <c r="E14" s="19">
        <v>9395000</v>
      </c>
      <c r="F14" s="19">
        <v>7898000</v>
      </c>
      <c r="G14" s="19">
        <v>8752000</v>
      </c>
    </row>
    <row r="15" spans="2:7" x14ac:dyDescent="0.3">
      <c r="B15" t="s">
        <v>17</v>
      </c>
      <c r="D15" s="19">
        <v>1289000</v>
      </c>
      <c r="E15" s="19">
        <v>1262000</v>
      </c>
      <c r="F15" s="19">
        <v>1197000</v>
      </c>
      <c r="G15" s="19">
        <v>1406000</v>
      </c>
    </row>
    <row r="16" spans="2:7" x14ac:dyDescent="0.3">
      <c r="B16" t="s">
        <v>18</v>
      </c>
      <c r="D16" s="19">
        <v>9138000</v>
      </c>
      <c r="E16" s="19">
        <v>8133000</v>
      </c>
      <c r="F16" s="19">
        <v>6701000</v>
      </c>
      <c r="G16" s="19">
        <v>7346000</v>
      </c>
    </row>
    <row r="17" spans="2:7" x14ac:dyDescent="0.3">
      <c r="B17" t="s">
        <v>19</v>
      </c>
      <c r="D17" s="19">
        <v>1296000</v>
      </c>
      <c r="E17" s="19">
        <v>869000</v>
      </c>
      <c r="F17" s="19">
        <v>808000</v>
      </c>
      <c r="G17" s="19">
        <v>794000</v>
      </c>
    </row>
    <row r="18" spans="2:7" x14ac:dyDescent="0.3">
      <c r="B18" t="s">
        <v>20</v>
      </c>
      <c r="D18" s="19">
        <v>0</v>
      </c>
      <c r="E18" s="19">
        <v>0</v>
      </c>
      <c r="F18" s="19">
        <v>0</v>
      </c>
      <c r="G18" s="19">
        <v>0</v>
      </c>
    </row>
    <row r="19" spans="2:7" x14ac:dyDescent="0.3">
      <c r="B19" t="s">
        <v>21</v>
      </c>
      <c r="D19" s="19">
        <v>0</v>
      </c>
      <c r="E19" s="19">
        <v>0</v>
      </c>
      <c r="F19" s="19">
        <v>0</v>
      </c>
      <c r="G19" s="19">
        <v>0</v>
      </c>
    </row>
    <row r="20" spans="2:7" x14ac:dyDescent="0.3">
      <c r="B20" t="s">
        <v>22</v>
      </c>
      <c r="D20" s="19">
        <v>7842000</v>
      </c>
      <c r="E20" s="19">
        <v>7264000</v>
      </c>
      <c r="F20" s="19">
        <v>5893000</v>
      </c>
      <c r="G20" s="19">
        <v>6552000</v>
      </c>
    </row>
    <row r="21" spans="2:7" x14ac:dyDescent="0.3">
      <c r="B21" t="s">
        <v>23</v>
      </c>
      <c r="D21" s="19">
        <v>7842000</v>
      </c>
      <c r="E21" s="19">
        <v>7264000</v>
      </c>
      <c r="F21" s="19">
        <v>5893000</v>
      </c>
      <c r="G21" s="19">
        <v>6552000</v>
      </c>
    </row>
    <row r="22" spans="2:7" x14ac:dyDescent="0.3">
      <c r="B22" t="s">
        <v>24</v>
      </c>
      <c r="D22" s="19">
        <v>7842000</v>
      </c>
      <c r="E22" s="19">
        <v>7264000</v>
      </c>
      <c r="F22" s="19">
        <v>5893000</v>
      </c>
      <c r="G22" s="19">
        <v>6552000</v>
      </c>
    </row>
    <row r="23" spans="2:7" x14ac:dyDescent="0.3">
      <c r="B23" t="s">
        <v>160</v>
      </c>
      <c r="D23" s="19">
        <v>142560000</v>
      </c>
      <c r="E23" s="19">
        <v>133850000</v>
      </c>
      <c r="F23" s="19">
        <v>126710000</v>
      </c>
      <c r="G23" s="19">
        <v>140130000</v>
      </c>
    </row>
    <row r="24" spans="2:7" ht="18" x14ac:dyDescent="0.35">
      <c r="B24" s="2" t="s">
        <v>114</v>
      </c>
      <c r="D24" s="19"/>
      <c r="E24" s="19"/>
      <c r="F24" s="19"/>
      <c r="G24" s="19"/>
    </row>
    <row r="25" spans="2:7" x14ac:dyDescent="0.3">
      <c r="B25" t="s">
        <v>0</v>
      </c>
      <c r="D25" s="19" t="s">
        <v>71</v>
      </c>
      <c r="E25" s="19" t="s">
        <v>70</v>
      </c>
      <c r="F25" s="19" t="s">
        <v>69</v>
      </c>
      <c r="G25" s="19" t="s">
        <v>68</v>
      </c>
    </row>
    <row r="26" spans="2:7" x14ac:dyDescent="0.3">
      <c r="B26" t="s">
        <v>25</v>
      </c>
      <c r="D26" s="19"/>
      <c r="E26" s="19"/>
      <c r="F26" s="19"/>
      <c r="G26" s="19"/>
    </row>
    <row r="27" spans="2:7" x14ac:dyDescent="0.3">
      <c r="B27" t="s">
        <v>26</v>
      </c>
      <c r="D27" s="19">
        <v>6037000</v>
      </c>
      <c r="E27" s="19">
        <v>6266000</v>
      </c>
      <c r="F27" s="19">
        <v>7989000</v>
      </c>
      <c r="G27" s="19">
        <v>7629000</v>
      </c>
    </row>
    <row r="28" spans="2:7" x14ac:dyDescent="0.3">
      <c r="B28" t="s">
        <v>27</v>
      </c>
      <c r="D28" s="19">
        <v>2874000</v>
      </c>
      <c r="E28" s="19">
        <v>4381000</v>
      </c>
      <c r="F28" s="19">
        <v>48000</v>
      </c>
      <c r="G28" s="19">
        <v>1676000</v>
      </c>
    </row>
    <row r="29" spans="2:7" x14ac:dyDescent="0.3">
      <c r="B29" t="s">
        <v>28</v>
      </c>
      <c r="D29" s="19">
        <v>4057000</v>
      </c>
      <c r="E29" s="19">
        <v>4525000</v>
      </c>
      <c r="F29" s="19">
        <v>4895000</v>
      </c>
      <c r="G29" s="19">
        <v>5563000</v>
      </c>
    </row>
    <row r="30" spans="2:7" x14ac:dyDescent="0.3">
      <c r="B30" t="s">
        <v>29</v>
      </c>
      <c r="D30" s="19">
        <v>3584000</v>
      </c>
      <c r="E30" s="19">
        <v>3893000</v>
      </c>
      <c r="F30" s="19">
        <v>4086000</v>
      </c>
      <c r="G30" s="19">
        <v>4930000</v>
      </c>
    </row>
    <row r="31" spans="2:7" x14ac:dyDescent="0.3">
      <c r="B31" t="s">
        <v>30</v>
      </c>
      <c r="D31" s="19">
        <v>1888000</v>
      </c>
      <c r="E31" s="19">
        <v>2079000</v>
      </c>
      <c r="F31" s="19">
        <v>2367000</v>
      </c>
      <c r="G31" s="19">
        <v>2388000</v>
      </c>
    </row>
    <row r="32" spans="2:7" x14ac:dyDescent="0.3">
      <c r="B32" t="s">
        <v>31</v>
      </c>
      <c r="D32" s="19">
        <v>18440000</v>
      </c>
      <c r="E32" s="19">
        <v>21144000</v>
      </c>
      <c r="F32" s="19">
        <v>19385000</v>
      </c>
      <c r="G32" s="19">
        <v>22186000</v>
      </c>
    </row>
    <row r="33" spans="2:7" x14ac:dyDescent="0.3">
      <c r="B33" t="s">
        <v>32</v>
      </c>
      <c r="D33" s="19"/>
      <c r="E33" s="19"/>
      <c r="F33" s="19"/>
      <c r="G33" s="19"/>
    </row>
    <row r="34" spans="2:7" x14ac:dyDescent="0.3">
      <c r="B34" t="s">
        <v>33</v>
      </c>
      <c r="D34" s="19">
        <v>0</v>
      </c>
      <c r="E34" s="19">
        <v>0</v>
      </c>
      <c r="F34" s="19">
        <v>0</v>
      </c>
      <c r="G34" s="19">
        <v>0</v>
      </c>
    </row>
    <row r="35" spans="2:7" x14ac:dyDescent="0.3">
      <c r="B35" t="s">
        <v>34</v>
      </c>
      <c r="D35" s="19">
        <v>4928000</v>
      </c>
      <c r="E35" s="19">
        <v>4889000</v>
      </c>
      <c r="F35" s="19">
        <v>5184000</v>
      </c>
      <c r="G35" s="19">
        <v>5427000</v>
      </c>
    </row>
    <row r="36" spans="2:7" x14ac:dyDescent="0.3">
      <c r="B36" t="s">
        <v>35</v>
      </c>
      <c r="D36" s="19">
        <v>14703000</v>
      </c>
      <c r="E36" s="19">
        <v>14689000</v>
      </c>
      <c r="F36" s="19">
        <v>14890000</v>
      </c>
      <c r="G36" s="19">
        <v>15529000</v>
      </c>
    </row>
    <row r="37" spans="2:7" x14ac:dyDescent="0.3">
      <c r="B37" t="s">
        <v>36</v>
      </c>
      <c r="D37" s="19">
        <v>19413000</v>
      </c>
      <c r="E37" s="19">
        <v>16587000</v>
      </c>
      <c r="F37" s="19">
        <v>15182000</v>
      </c>
      <c r="G37" s="19">
        <v>16080000</v>
      </c>
    </row>
    <row r="38" spans="2:7" x14ac:dyDescent="0.3">
      <c r="B38" t="s">
        <v>37</v>
      </c>
      <c r="D38" s="19">
        <v>2223000</v>
      </c>
      <c r="E38" s="19">
        <v>5639000</v>
      </c>
      <c r="F38" s="19">
        <v>6524000</v>
      </c>
      <c r="G38" s="19">
        <v>5899000</v>
      </c>
    </row>
    <row r="39" spans="2:7" x14ac:dyDescent="0.3">
      <c r="B39" t="s">
        <v>38</v>
      </c>
      <c r="D39" s="19">
        <v>0</v>
      </c>
      <c r="E39" s="19">
        <v>0</v>
      </c>
      <c r="F39" s="19">
        <v>0</v>
      </c>
      <c r="G39" s="19">
        <v>0</v>
      </c>
    </row>
    <row r="40" spans="2:7" x14ac:dyDescent="0.3">
      <c r="B40" t="s">
        <v>39</v>
      </c>
      <c r="D40" s="19">
        <v>59707000</v>
      </c>
      <c r="E40" s="19">
        <v>62948000</v>
      </c>
      <c r="F40" s="19">
        <v>61165000</v>
      </c>
      <c r="G40" s="19">
        <v>65121000</v>
      </c>
    </row>
    <row r="41" spans="2:7" x14ac:dyDescent="0.3">
      <c r="B41" t="s">
        <v>40</v>
      </c>
      <c r="D41" s="19"/>
      <c r="E41" s="19"/>
      <c r="F41" s="19"/>
      <c r="G41" s="19"/>
    </row>
    <row r="42" spans="2:7" x14ac:dyDescent="0.3">
      <c r="B42" t="s">
        <v>41</v>
      </c>
      <c r="D42" s="19">
        <v>9882000</v>
      </c>
      <c r="E42" s="19">
        <v>11562000</v>
      </c>
      <c r="F42" s="19">
        <v>12097000</v>
      </c>
      <c r="G42" s="19">
        <v>14096000</v>
      </c>
    </row>
    <row r="43" spans="2:7" x14ac:dyDescent="0.3">
      <c r="B43" t="s">
        <v>42</v>
      </c>
      <c r="D43" s="19">
        <v>2953000</v>
      </c>
      <c r="E43" s="19">
        <v>91000</v>
      </c>
      <c r="F43" s="19">
        <v>87000</v>
      </c>
      <c r="G43" s="19">
        <v>1591000</v>
      </c>
    </row>
    <row r="44" spans="2:7" x14ac:dyDescent="0.3">
      <c r="B44" t="s">
        <v>43</v>
      </c>
      <c r="D44" s="19">
        <v>0</v>
      </c>
      <c r="E44" s="19">
        <v>0</v>
      </c>
      <c r="F44" s="19">
        <v>0</v>
      </c>
      <c r="G44" s="19">
        <v>0</v>
      </c>
    </row>
    <row r="45" spans="2:7" x14ac:dyDescent="0.3">
      <c r="B45" t="s">
        <v>44</v>
      </c>
      <c r="D45" s="19">
        <v>12835000</v>
      </c>
      <c r="E45" s="19">
        <v>11653000</v>
      </c>
      <c r="F45" s="19">
        <v>12184000</v>
      </c>
      <c r="G45" s="19">
        <v>15687000</v>
      </c>
    </row>
    <row r="46" spans="2:7" x14ac:dyDescent="0.3">
      <c r="B46" t="s">
        <v>45</v>
      </c>
      <c r="D46" s="19">
        <v>26950000</v>
      </c>
      <c r="E46" s="19">
        <v>32895000</v>
      </c>
      <c r="F46" s="19">
        <v>33222000</v>
      </c>
      <c r="G46" s="19">
        <v>37354000</v>
      </c>
    </row>
    <row r="47" spans="2:7" x14ac:dyDescent="0.3">
      <c r="B47" t="s">
        <v>46</v>
      </c>
      <c r="D47" s="19">
        <v>10249000</v>
      </c>
      <c r="E47" s="19">
        <v>8991000</v>
      </c>
      <c r="F47" s="19">
        <v>9059000</v>
      </c>
      <c r="G47" s="19">
        <v>8419000</v>
      </c>
    </row>
    <row r="48" spans="2:7" x14ac:dyDescent="0.3">
      <c r="B48" t="s">
        <v>47</v>
      </c>
      <c r="D48" s="19">
        <v>0</v>
      </c>
      <c r="E48" s="19">
        <v>0</v>
      </c>
      <c r="F48" s="19">
        <v>0</v>
      </c>
      <c r="G48" s="19">
        <v>0</v>
      </c>
    </row>
    <row r="49" spans="2:7" x14ac:dyDescent="0.3">
      <c r="B49" t="s">
        <v>48</v>
      </c>
      <c r="D49" s="19">
        <v>0</v>
      </c>
      <c r="E49" s="19">
        <v>0</v>
      </c>
      <c r="F49" s="19">
        <v>0</v>
      </c>
      <c r="G49" s="19">
        <v>0</v>
      </c>
    </row>
    <row r="50" spans="2:7" x14ac:dyDescent="0.3">
      <c r="B50" t="s">
        <v>20</v>
      </c>
      <c r="D50" s="19">
        <v>0</v>
      </c>
      <c r="E50" s="19">
        <v>0</v>
      </c>
      <c r="F50" s="19">
        <v>0</v>
      </c>
      <c r="G50" s="19">
        <v>0</v>
      </c>
    </row>
    <row r="51" spans="2:7" x14ac:dyDescent="0.3">
      <c r="B51" t="s">
        <v>49</v>
      </c>
      <c r="D51" s="19">
        <v>50034000</v>
      </c>
      <c r="E51" s="19">
        <v>53539000</v>
      </c>
      <c r="F51" s="19">
        <v>54465000</v>
      </c>
      <c r="G51" s="19">
        <v>61460000</v>
      </c>
    </row>
    <row r="52" spans="2:7" x14ac:dyDescent="0.3">
      <c r="B52" t="s">
        <v>50</v>
      </c>
      <c r="D52" s="19"/>
      <c r="E52" s="19"/>
      <c r="F52" s="19"/>
      <c r="G52" s="19"/>
    </row>
    <row r="53" spans="2:7" x14ac:dyDescent="0.3">
      <c r="B53" t="s">
        <v>51</v>
      </c>
      <c r="D53" s="19">
        <v>31531000</v>
      </c>
      <c r="E53" s="19">
        <v>31802000</v>
      </c>
      <c r="F53" s="19">
        <v>32096000</v>
      </c>
      <c r="G53" s="19">
        <v>32514000</v>
      </c>
    </row>
    <row r="54" spans="2:7" x14ac:dyDescent="0.3">
      <c r="B54" t="s">
        <v>52</v>
      </c>
      <c r="D54" s="19">
        <v>-21330000</v>
      </c>
      <c r="E54" s="19">
        <v>-21408000</v>
      </c>
      <c r="F54" s="19">
        <v>-24600000</v>
      </c>
      <c r="G54" s="19">
        <v>-28622000</v>
      </c>
    </row>
    <row r="55" spans="2:7" x14ac:dyDescent="0.3">
      <c r="B55" t="s">
        <v>53</v>
      </c>
      <c r="D55" s="19">
        <v>0</v>
      </c>
      <c r="E55" s="19">
        <v>0</v>
      </c>
      <c r="F55" s="19">
        <v>0</v>
      </c>
      <c r="G55" s="19">
        <v>0</v>
      </c>
    </row>
    <row r="56" spans="2:7" x14ac:dyDescent="0.3">
      <c r="B56" t="s">
        <v>54</v>
      </c>
      <c r="D56" s="19">
        <v>0</v>
      </c>
      <c r="E56" s="19">
        <v>0</v>
      </c>
      <c r="F56" s="19">
        <v>0</v>
      </c>
      <c r="G56" s="19">
        <v>0</v>
      </c>
    </row>
    <row r="57" spans="2:7" x14ac:dyDescent="0.3">
      <c r="B57" t="s">
        <v>55</v>
      </c>
      <c r="D57" s="19">
        <v>-528000</v>
      </c>
      <c r="E57" s="19">
        <v>-985000</v>
      </c>
      <c r="F57" s="19">
        <v>-796000</v>
      </c>
      <c r="G57" s="19">
        <v>-231000</v>
      </c>
    </row>
    <row r="58" spans="2:7" x14ac:dyDescent="0.3">
      <c r="B58" t="s">
        <v>56</v>
      </c>
      <c r="D58" s="19">
        <v>9673000</v>
      </c>
      <c r="E58" s="19">
        <v>9409000</v>
      </c>
      <c r="F58" s="19">
        <v>6700000</v>
      </c>
      <c r="G58" s="19">
        <v>3661000</v>
      </c>
    </row>
    <row r="59" spans="2:7" x14ac:dyDescent="0.3">
      <c r="B59" t="s">
        <v>57</v>
      </c>
      <c r="D59" s="19">
        <v>59707000</v>
      </c>
      <c r="E59" s="19">
        <v>62948000</v>
      </c>
      <c r="F59" s="19">
        <v>61165000</v>
      </c>
      <c r="G59" s="19">
        <v>65121000</v>
      </c>
    </row>
    <row r="60" spans="2:7" x14ac:dyDescent="0.3">
      <c r="D60" s="19"/>
      <c r="E60" s="19"/>
      <c r="F60" s="19"/>
      <c r="G60" s="19"/>
    </row>
    <row r="61" spans="2:7" ht="18" x14ac:dyDescent="0.35">
      <c r="B61" s="2" t="s">
        <v>115</v>
      </c>
      <c r="D61" s="19"/>
      <c r="E61" s="19"/>
      <c r="F61" s="19"/>
      <c r="G61" s="19"/>
    </row>
    <row r="62" spans="2:7" x14ac:dyDescent="0.3">
      <c r="B62" t="s">
        <v>0</v>
      </c>
      <c r="D62" s="19" t="s">
        <v>71</v>
      </c>
      <c r="E62" s="19" t="s">
        <v>70</v>
      </c>
      <c r="F62" s="19" t="s">
        <v>69</v>
      </c>
      <c r="G62" s="19" t="s">
        <v>68</v>
      </c>
    </row>
    <row r="63" spans="2:7" x14ac:dyDescent="0.3">
      <c r="B63" t="s">
        <v>23</v>
      </c>
      <c r="D63" s="19">
        <v>7842000</v>
      </c>
      <c r="E63" s="19">
        <v>7264000</v>
      </c>
      <c r="F63" s="19">
        <v>5893000</v>
      </c>
      <c r="G63" s="19">
        <v>6552000</v>
      </c>
    </row>
    <row r="64" spans="2:7" x14ac:dyDescent="0.3">
      <c r="B64" t="s">
        <v>72</v>
      </c>
      <c r="D64" s="19"/>
      <c r="E64" s="19"/>
      <c r="F64" s="19"/>
      <c r="G64" s="19"/>
    </row>
    <row r="65" spans="2:7" x14ac:dyDescent="0.3">
      <c r="B65" t="s">
        <v>73</v>
      </c>
      <c r="D65" s="19">
        <v>2206000</v>
      </c>
      <c r="E65" s="19">
        <v>3601000</v>
      </c>
      <c r="F65" s="19">
        <v>3398000</v>
      </c>
      <c r="G65" s="19">
        <v>3417000</v>
      </c>
    </row>
    <row r="66" spans="2:7" x14ac:dyDescent="0.3">
      <c r="B66" t="s">
        <v>74</v>
      </c>
      <c r="D66" s="19">
        <v>-167000</v>
      </c>
      <c r="E66" s="19">
        <v>-152000</v>
      </c>
      <c r="F66" s="19">
        <v>1164000</v>
      </c>
      <c r="G66" s="19">
        <v>485000</v>
      </c>
    </row>
    <row r="67" spans="2:7" x14ac:dyDescent="0.3">
      <c r="B67" t="s">
        <v>75</v>
      </c>
      <c r="D67" s="19"/>
      <c r="E67" s="19"/>
      <c r="F67" s="19"/>
      <c r="G67" s="19"/>
    </row>
    <row r="68" spans="2:7" x14ac:dyDescent="0.3">
      <c r="B68" t="s">
        <v>76</v>
      </c>
      <c r="D68" s="19">
        <v>-504000</v>
      </c>
      <c r="E68" s="19">
        <v>-427000</v>
      </c>
      <c r="F68" s="19">
        <v>-429000</v>
      </c>
      <c r="G68" s="19">
        <v>-746000</v>
      </c>
    </row>
    <row r="69" spans="2:7" x14ac:dyDescent="0.3">
      <c r="B69" t="s">
        <v>77</v>
      </c>
      <c r="D69" s="19">
        <v>-66000</v>
      </c>
      <c r="E69" s="19">
        <v>-215000</v>
      </c>
      <c r="F69" s="19">
        <v>-165000</v>
      </c>
      <c r="G69" s="19">
        <v>-742000</v>
      </c>
    </row>
    <row r="70" spans="2:7" x14ac:dyDescent="0.3">
      <c r="B70" t="s">
        <v>78</v>
      </c>
      <c r="D70" s="19">
        <v>10000</v>
      </c>
      <c r="E70" s="19">
        <v>129000</v>
      </c>
      <c r="F70" s="19">
        <v>-237000</v>
      </c>
      <c r="G70" s="19">
        <v>258000</v>
      </c>
    </row>
    <row r="71" spans="2:7" x14ac:dyDescent="0.3">
      <c r="B71" t="s">
        <v>79</v>
      </c>
      <c r="D71" s="19">
        <v>-171000</v>
      </c>
      <c r="E71" s="19">
        <v>297000</v>
      </c>
      <c r="F71" s="19">
        <v>-363000</v>
      </c>
      <c r="G71" s="19">
        <v>497000</v>
      </c>
    </row>
    <row r="72" spans="2:7" x14ac:dyDescent="0.3">
      <c r="B72" t="s">
        <v>80</v>
      </c>
      <c r="D72" s="19">
        <v>9150000</v>
      </c>
      <c r="E72" s="19">
        <v>10497000</v>
      </c>
      <c r="F72" s="19">
        <v>9261000</v>
      </c>
      <c r="G72" s="19">
        <v>9721000</v>
      </c>
    </row>
    <row r="73" spans="2:7" x14ac:dyDescent="0.3">
      <c r="B73" t="s">
        <v>81</v>
      </c>
      <c r="D73" s="19"/>
      <c r="E73" s="19"/>
      <c r="F73" s="19"/>
      <c r="G73" s="19"/>
    </row>
    <row r="74" spans="2:7" x14ac:dyDescent="0.3">
      <c r="B74" t="s">
        <v>82</v>
      </c>
      <c r="D74" s="19">
        <v>-618000</v>
      </c>
      <c r="E74" s="19">
        <v>-608000</v>
      </c>
      <c r="F74" s="19">
        <v>-880000</v>
      </c>
      <c r="G74" s="19">
        <v>-936000</v>
      </c>
    </row>
    <row r="75" spans="2:7" x14ac:dyDescent="0.3">
      <c r="B75" t="s">
        <v>83</v>
      </c>
      <c r="D75" s="19">
        <v>19972000</v>
      </c>
      <c r="E75" s="19">
        <v>-4718000</v>
      </c>
      <c r="F75" s="19">
        <v>4177000</v>
      </c>
      <c r="G75" s="19">
        <v>-1387000</v>
      </c>
    </row>
    <row r="76" spans="2:7" x14ac:dyDescent="0.3">
      <c r="B76" t="s">
        <v>84</v>
      </c>
      <c r="D76" s="19">
        <v>-13645000</v>
      </c>
      <c r="E76" s="19">
        <v>-75000</v>
      </c>
      <c r="F76" s="19">
        <v>-2564000</v>
      </c>
      <c r="G76" s="19">
        <v>-3721000</v>
      </c>
    </row>
    <row r="77" spans="2:7" x14ac:dyDescent="0.3">
      <c r="B77" t="s">
        <v>85</v>
      </c>
      <c r="D77" s="19">
        <v>5709000</v>
      </c>
      <c r="E77" s="19">
        <v>-5401000</v>
      </c>
      <c r="F77" s="19">
        <v>733000</v>
      </c>
      <c r="G77" s="19">
        <v>-6044000</v>
      </c>
    </row>
    <row r="78" spans="2:7" x14ac:dyDescent="0.3">
      <c r="B78" t="s">
        <v>86</v>
      </c>
      <c r="D78" s="19"/>
      <c r="E78" s="19"/>
      <c r="F78" s="19"/>
      <c r="G78" s="19"/>
    </row>
    <row r="79" spans="2:7" x14ac:dyDescent="0.3">
      <c r="B79" t="s">
        <v>87</v>
      </c>
      <c r="D79" s="19">
        <v>-7702000</v>
      </c>
      <c r="E79" s="19">
        <v>-3486000</v>
      </c>
      <c r="F79" s="19">
        <v>-4975000</v>
      </c>
      <c r="G79" s="19">
        <v>-6360000</v>
      </c>
    </row>
    <row r="80" spans="2:7" x14ac:dyDescent="0.3">
      <c r="B80" t="s">
        <v>88</v>
      </c>
      <c r="D80" s="19">
        <v>-4514000</v>
      </c>
      <c r="E80" s="19">
        <v>2464000</v>
      </c>
      <c r="F80" s="19">
        <v>795000</v>
      </c>
      <c r="G80" s="19">
        <v>6919000</v>
      </c>
    </row>
    <row r="81" spans="2:7" x14ac:dyDescent="0.3">
      <c r="B81" t="s">
        <v>89</v>
      </c>
      <c r="D81" s="19">
        <v>-42000</v>
      </c>
      <c r="E81" s="19">
        <v>-90000</v>
      </c>
      <c r="F81" s="19">
        <v>-78000</v>
      </c>
      <c r="G81" s="19">
        <v>-400000</v>
      </c>
    </row>
    <row r="82" spans="2:7" x14ac:dyDescent="0.3">
      <c r="B82" t="s">
        <v>90</v>
      </c>
      <c r="D82" s="19">
        <v>-15767000</v>
      </c>
      <c r="E82" s="19">
        <v>-4867000</v>
      </c>
      <c r="F82" s="19">
        <v>-8271000</v>
      </c>
      <c r="G82" s="19">
        <v>-4037000</v>
      </c>
    </row>
    <row r="83" spans="2:7" x14ac:dyDescent="0.3">
      <c r="B83" t="s">
        <v>91</v>
      </c>
      <c r="D83" s="19">
        <v>0</v>
      </c>
      <c r="E83" s="19">
        <v>0</v>
      </c>
      <c r="F83" s="19">
        <v>0</v>
      </c>
      <c r="G83" s="19">
        <v>0</v>
      </c>
    </row>
    <row r="84" spans="2:7" x14ac:dyDescent="0.3">
      <c r="B84" t="s">
        <v>92</v>
      </c>
      <c r="D84" s="19">
        <v>-908000</v>
      </c>
      <c r="E84" s="19">
        <v>229000</v>
      </c>
      <c r="F84" s="19">
        <v>1723000</v>
      </c>
      <c r="G84" s="19">
        <v>-360000</v>
      </c>
    </row>
  </sheetData>
  <sheetProtection sheet="1" objects="1" scenarios="1"/>
  <customSheetViews>
    <customSheetView guid="{157A7F57-E932-4D71-AAC5-1BA0DA6A9C96}" showGridLines="0">
      <selection activeCell="H23" sqref="H2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K84"/>
  <sheetViews>
    <sheetView showGridLines="0" topLeftCell="A23" workbookViewId="0">
      <selection activeCell="H14" sqref="H14"/>
    </sheetView>
  </sheetViews>
  <sheetFormatPr defaultRowHeight="14.4" x14ac:dyDescent="0.3"/>
  <cols>
    <col min="1" max="1" width="1.88671875" customWidth="1"/>
    <col min="2" max="2" width="47.6640625" customWidth="1"/>
    <col min="3" max="3" width="10.5546875" bestFit="1" customWidth="1"/>
    <col min="4" max="4" width="11" bestFit="1" customWidth="1"/>
    <col min="5" max="5" width="11.5546875" bestFit="1" customWidth="1"/>
    <col min="6" max="6" width="10.5546875" bestFit="1" customWidth="1"/>
  </cols>
  <sheetData>
    <row r="1" spans="2:6" x14ac:dyDescent="0.3">
      <c r="F1" s="21"/>
    </row>
    <row r="2" spans="2:6" ht="21" x14ac:dyDescent="0.4">
      <c r="B2" s="5" t="s">
        <v>113</v>
      </c>
    </row>
    <row r="3" spans="2:6" x14ac:dyDescent="0.3">
      <c r="B3" t="s">
        <v>0</v>
      </c>
      <c r="C3" t="s">
        <v>71</v>
      </c>
      <c r="D3" t="s">
        <v>70</v>
      </c>
      <c r="E3" t="s">
        <v>69</v>
      </c>
      <c r="F3" t="s">
        <v>68</v>
      </c>
    </row>
    <row r="4" spans="2:6" x14ac:dyDescent="0.3">
      <c r="B4" t="s">
        <v>5</v>
      </c>
      <c r="C4" s="19">
        <v>624333</v>
      </c>
      <c r="D4" s="19">
        <v>774425</v>
      </c>
      <c r="E4" s="19">
        <v>1382049</v>
      </c>
      <c r="F4" s="19">
        <v>2330853</v>
      </c>
    </row>
    <row r="5" spans="2:6" x14ac:dyDescent="0.3">
      <c r="B5" t="s">
        <v>6</v>
      </c>
      <c r="C5" s="19">
        <v>403088</v>
      </c>
      <c r="D5" s="19">
        <v>428444</v>
      </c>
      <c r="E5" s="19">
        <v>827627</v>
      </c>
      <c r="F5" s="19">
        <v>1356258</v>
      </c>
    </row>
    <row r="6" spans="2:6" x14ac:dyDescent="0.3">
      <c r="B6" t="s">
        <v>7</v>
      </c>
      <c r="C6" s="19">
        <v>221245</v>
      </c>
      <c r="D6" s="19">
        <v>345981</v>
      </c>
      <c r="E6" s="19">
        <v>554422</v>
      </c>
      <c r="F6" s="19">
        <v>974595</v>
      </c>
    </row>
    <row r="7" spans="2:6" x14ac:dyDescent="0.3">
      <c r="B7" t="s">
        <v>8</v>
      </c>
      <c r="C7" s="19"/>
      <c r="D7" s="19"/>
      <c r="E7" s="19"/>
      <c r="F7" s="19"/>
    </row>
    <row r="8" spans="2:6" x14ac:dyDescent="0.3">
      <c r="B8" t="s">
        <v>9</v>
      </c>
      <c r="C8" s="19">
        <v>40381</v>
      </c>
      <c r="D8" s="19">
        <v>55921</v>
      </c>
      <c r="E8" s="19">
        <v>105526</v>
      </c>
      <c r="F8" s="19">
        <v>168846</v>
      </c>
    </row>
    <row r="9" spans="2:6" x14ac:dyDescent="0.3">
      <c r="B9" t="s">
        <v>10</v>
      </c>
      <c r="C9" s="19">
        <v>75536</v>
      </c>
      <c r="D9" s="19">
        <v>103621</v>
      </c>
      <c r="E9" s="19">
        <v>233064</v>
      </c>
      <c r="F9" s="19">
        <v>355104</v>
      </c>
    </row>
    <row r="10" spans="2:6" x14ac:dyDescent="0.3">
      <c r="B10" t="s">
        <v>11</v>
      </c>
      <c r="C10" s="19">
        <v>2599</v>
      </c>
      <c r="D10" s="19">
        <v>0</v>
      </c>
      <c r="E10" s="19">
        <v>0</v>
      </c>
      <c r="F10" s="19">
        <v>2384</v>
      </c>
    </row>
    <row r="11" spans="2:6" x14ac:dyDescent="0.3">
      <c r="B11" t="s">
        <v>13</v>
      </c>
      <c r="C11" s="19">
        <v>0</v>
      </c>
      <c r="D11" s="19">
        <v>0</v>
      </c>
      <c r="E11" s="19">
        <v>0</v>
      </c>
      <c r="F11" s="19">
        <v>0</v>
      </c>
    </row>
    <row r="12" spans="2:6" x14ac:dyDescent="0.3">
      <c r="B12" t="s">
        <v>14</v>
      </c>
      <c r="C12" s="19">
        <v>102729</v>
      </c>
      <c r="D12" s="19">
        <v>186439</v>
      </c>
      <c r="E12" s="19">
        <v>215832</v>
      </c>
      <c r="F12" s="19">
        <v>448261</v>
      </c>
    </row>
    <row r="13" spans="2:6" x14ac:dyDescent="0.3">
      <c r="B13" t="s">
        <v>15</v>
      </c>
      <c r="C13" s="19">
        <v>-2924</v>
      </c>
      <c r="D13" s="19">
        <v>-46028</v>
      </c>
      <c r="E13" s="19">
        <v>-49752</v>
      </c>
      <c r="F13" s="19">
        <v>13225</v>
      </c>
    </row>
    <row r="14" spans="2:6" x14ac:dyDescent="0.3">
      <c r="B14" t="s">
        <v>16</v>
      </c>
      <c r="C14" s="19">
        <v>99805</v>
      </c>
      <c r="D14" s="19">
        <v>140411</v>
      </c>
      <c r="E14" s="19">
        <v>166080</v>
      </c>
      <c r="F14" s="19">
        <v>461486</v>
      </c>
    </row>
    <row r="15" spans="2:6" x14ac:dyDescent="0.3">
      <c r="B15" t="s">
        <v>17</v>
      </c>
      <c r="C15" s="19">
        <v>9691</v>
      </c>
      <c r="D15" s="19">
        <v>21001</v>
      </c>
      <c r="E15" s="19">
        <v>45152</v>
      </c>
      <c r="F15" s="19">
        <v>9438</v>
      </c>
    </row>
    <row r="16" spans="2:6" x14ac:dyDescent="0.3">
      <c r="B16" t="s">
        <v>18</v>
      </c>
      <c r="C16" s="19">
        <v>90114</v>
      </c>
      <c r="D16" s="19">
        <v>119410</v>
      </c>
      <c r="E16" s="19">
        <v>120928</v>
      </c>
      <c r="F16" s="19">
        <v>452048</v>
      </c>
    </row>
    <row r="17" spans="2:6" x14ac:dyDescent="0.3">
      <c r="B17" t="s">
        <v>19</v>
      </c>
      <c r="C17" s="19">
        <v>-71034</v>
      </c>
      <c r="D17" s="19">
        <v>-14585</v>
      </c>
      <c r="E17" s="19">
        <v>-24521</v>
      </c>
      <c r="F17" s="19">
        <v>54686</v>
      </c>
    </row>
    <row r="18" spans="2:6" x14ac:dyDescent="0.3">
      <c r="B18" t="s">
        <v>20</v>
      </c>
      <c r="C18" s="19">
        <v>0</v>
      </c>
      <c r="D18" s="19">
        <v>0</v>
      </c>
      <c r="E18" s="19">
        <v>0</v>
      </c>
      <c r="F18" s="19">
        <v>0</v>
      </c>
    </row>
    <row r="19" spans="2:6" x14ac:dyDescent="0.3">
      <c r="B19" t="s">
        <v>21</v>
      </c>
      <c r="C19" s="19">
        <v>0</v>
      </c>
      <c r="D19" s="19">
        <v>0</v>
      </c>
      <c r="E19" s="19">
        <v>0</v>
      </c>
      <c r="F19" s="19">
        <v>0</v>
      </c>
    </row>
    <row r="20" spans="2:6" x14ac:dyDescent="0.3">
      <c r="B20" t="s">
        <v>22</v>
      </c>
      <c r="C20" s="19">
        <v>161148</v>
      </c>
      <c r="D20" s="19">
        <v>133995</v>
      </c>
      <c r="E20" s="19">
        <v>145449</v>
      </c>
      <c r="F20" s="19">
        <v>397362</v>
      </c>
    </row>
    <row r="21" spans="2:6" x14ac:dyDescent="0.3">
      <c r="B21" t="s">
        <v>23</v>
      </c>
      <c r="C21" s="19">
        <v>161148</v>
      </c>
      <c r="D21" s="19">
        <v>133995</v>
      </c>
      <c r="E21" s="19">
        <v>145449</v>
      </c>
      <c r="F21" s="19">
        <v>397362</v>
      </c>
    </row>
    <row r="22" spans="2:6" x14ac:dyDescent="0.3">
      <c r="B22" t="s">
        <v>24</v>
      </c>
      <c r="C22" s="19">
        <v>161148</v>
      </c>
      <c r="D22" s="19">
        <v>133995</v>
      </c>
      <c r="E22" s="19">
        <v>145449</v>
      </c>
      <c r="F22" s="19">
        <v>397362</v>
      </c>
    </row>
    <row r="23" spans="2:6" x14ac:dyDescent="0.3">
      <c r="B23" t="s">
        <v>160</v>
      </c>
      <c r="C23" s="19">
        <v>3210000</v>
      </c>
      <c r="D23" s="19">
        <v>22160000</v>
      </c>
      <c r="E23" s="19">
        <v>24680000</v>
      </c>
      <c r="F23" s="19">
        <v>36010000</v>
      </c>
    </row>
    <row r="24" spans="2:6" ht="18" x14ac:dyDescent="0.35">
      <c r="B24" s="2" t="s">
        <v>114</v>
      </c>
      <c r="C24" s="18"/>
      <c r="D24" s="18"/>
      <c r="E24" s="18"/>
      <c r="F24" s="18"/>
    </row>
    <row r="25" spans="2:6" x14ac:dyDescent="0.3">
      <c r="B25" s="4" t="s">
        <v>0</v>
      </c>
      <c r="C25" s="18" t="s">
        <v>71</v>
      </c>
      <c r="D25" s="18" t="s">
        <v>70</v>
      </c>
      <c r="E25" s="18" t="s">
        <v>69</v>
      </c>
      <c r="F25" s="18" t="s">
        <v>68</v>
      </c>
    </row>
    <row r="26" spans="2:6" x14ac:dyDescent="0.3">
      <c r="B26" t="s">
        <v>25</v>
      </c>
      <c r="C26" s="18"/>
      <c r="D26" s="18"/>
      <c r="E26" s="18"/>
      <c r="F26" s="18"/>
    </row>
    <row r="27" spans="2:6" x14ac:dyDescent="0.3">
      <c r="B27" t="s">
        <v>26</v>
      </c>
      <c r="C27" s="19">
        <v>296109</v>
      </c>
      <c r="D27" s="19">
        <v>679379</v>
      </c>
      <c r="E27" s="19">
        <v>119316</v>
      </c>
      <c r="F27" s="19">
        <v>473244</v>
      </c>
    </row>
    <row r="28" spans="2:6" x14ac:dyDescent="0.3">
      <c r="B28" t="s">
        <v>27</v>
      </c>
      <c r="C28" s="19">
        <v>0</v>
      </c>
      <c r="D28" s="19">
        <v>0</v>
      </c>
      <c r="E28" s="19">
        <v>897335</v>
      </c>
      <c r="F28" s="19">
        <v>1139599</v>
      </c>
    </row>
    <row r="29" spans="2:6" x14ac:dyDescent="0.3">
      <c r="B29" t="s">
        <v>28</v>
      </c>
      <c r="C29" s="19">
        <v>145413</v>
      </c>
      <c r="D29" s="19">
        <v>182165</v>
      </c>
      <c r="E29" s="19">
        <v>333626</v>
      </c>
      <c r="F29" s="19">
        <v>440896</v>
      </c>
    </row>
    <row r="30" spans="2:6" x14ac:dyDescent="0.3">
      <c r="B30" t="s">
        <v>29</v>
      </c>
      <c r="C30" s="19">
        <v>32056</v>
      </c>
      <c r="D30" s="19">
        <v>41764</v>
      </c>
      <c r="E30" s="19">
        <v>74400</v>
      </c>
      <c r="F30" s="19">
        <v>149708</v>
      </c>
    </row>
    <row r="31" spans="2:6" x14ac:dyDescent="0.3">
      <c r="B31" t="s">
        <v>30</v>
      </c>
      <c r="C31" s="19">
        <v>26079</v>
      </c>
      <c r="D31" s="19">
        <v>29756</v>
      </c>
      <c r="E31" s="19">
        <v>37784</v>
      </c>
      <c r="F31" s="19">
        <v>60824</v>
      </c>
    </row>
    <row r="32" spans="2:6" x14ac:dyDescent="0.3">
      <c r="B32" t="s">
        <v>31</v>
      </c>
      <c r="C32" s="19">
        <v>499657</v>
      </c>
      <c r="D32" s="19">
        <v>933064</v>
      </c>
      <c r="E32" s="19">
        <v>1462461</v>
      </c>
      <c r="F32" s="19">
        <v>2264271</v>
      </c>
    </row>
    <row r="33" spans="2:11" x14ac:dyDescent="0.3">
      <c r="B33" t="s">
        <v>32</v>
      </c>
      <c r="C33" s="19"/>
      <c r="D33" s="19"/>
      <c r="E33" s="19"/>
      <c r="F33" s="19"/>
    </row>
    <row r="34" spans="2:11" x14ac:dyDescent="0.3">
      <c r="B34" t="s">
        <v>33</v>
      </c>
      <c r="C34" s="19">
        <v>0</v>
      </c>
      <c r="D34" s="19">
        <v>0</v>
      </c>
      <c r="E34" s="19">
        <v>0</v>
      </c>
      <c r="F34" s="19" t="s">
        <v>12</v>
      </c>
    </row>
    <row r="35" spans="2:11" x14ac:dyDescent="0.3">
      <c r="B35" t="s">
        <v>34</v>
      </c>
      <c r="C35" s="19">
        <v>39053</v>
      </c>
      <c r="D35" s="19">
        <v>60668</v>
      </c>
      <c r="E35" s="19">
        <v>96587</v>
      </c>
      <c r="F35" s="19">
        <v>132746</v>
      </c>
    </row>
    <row r="36" spans="2:11" x14ac:dyDescent="0.3">
      <c r="B36" t="s">
        <v>35</v>
      </c>
      <c r="C36" s="19">
        <v>24783</v>
      </c>
      <c r="D36" s="19">
        <v>24783</v>
      </c>
      <c r="E36" s="19">
        <v>181254</v>
      </c>
      <c r="F36" s="19">
        <v>213559</v>
      </c>
    </row>
    <row r="37" spans="2:11" x14ac:dyDescent="0.3">
      <c r="B37" t="s">
        <v>36</v>
      </c>
      <c r="C37" s="19">
        <v>30579</v>
      </c>
      <c r="D37" s="19">
        <v>28808</v>
      </c>
      <c r="E37" s="19">
        <v>97758</v>
      </c>
      <c r="F37" s="19">
        <v>99541</v>
      </c>
    </row>
    <row r="38" spans="2:11" x14ac:dyDescent="0.3">
      <c r="B38" t="s">
        <v>37</v>
      </c>
      <c r="C38" s="19">
        <v>44620</v>
      </c>
      <c r="D38" s="19">
        <v>59875</v>
      </c>
      <c r="E38" s="19">
        <v>118726</v>
      </c>
      <c r="F38" s="19">
        <v>169291</v>
      </c>
    </row>
    <row r="39" spans="2:11" x14ac:dyDescent="0.3">
      <c r="B39" t="s">
        <v>38</v>
      </c>
      <c r="C39" s="19">
        <v>74531</v>
      </c>
      <c r="D39" s="19">
        <v>92904</v>
      </c>
      <c r="E39" s="19">
        <v>122470</v>
      </c>
      <c r="F39" s="19">
        <v>204872</v>
      </c>
    </row>
    <row r="40" spans="2:11" x14ac:dyDescent="0.3">
      <c r="B40" t="s">
        <v>39</v>
      </c>
      <c r="C40" s="19">
        <v>713223</v>
      </c>
      <c r="D40" s="19">
        <v>1200102</v>
      </c>
      <c r="E40" s="19">
        <v>2079256</v>
      </c>
      <c r="F40" s="19">
        <v>3084280</v>
      </c>
    </row>
    <row r="41" spans="2:11" x14ac:dyDescent="0.3">
      <c r="B41" t="s">
        <v>40</v>
      </c>
      <c r="C41" s="19"/>
      <c r="D41" s="19"/>
      <c r="E41" s="19"/>
      <c r="F41" s="19"/>
    </row>
    <row r="42" spans="2:11" x14ac:dyDescent="0.3">
      <c r="B42" t="s">
        <v>41</v>
      </c>
      <c r="C42" s="19">
        <v>104566</v>
      </c>
      <c r="D42" s="19">
        <v>149151</v>
      </c>
      <c r="E42" s="19">
        <v>271679</v>
      </c>
      <c r="F42" s="19">
        <v>421024</v>
      </c>
    </row>
    <row r="43" spans="2:11" x14ac:dyDescent="0.3">
      <c r="B43" t="s">
        <v>42</v>
      </c>
      <c r="C43" s="19">
        <v>2884</v>
      </c>
      <c r="D43" s="20">
        <v>325967</v>
      </c>
      <c r="E43" s="19">
        <v>86052</v>
      </c>
      <c r="F43" s="19">
        <v>90892</v>
      </c>
    </row>
    <row r="44" spans="2:11" x14ac:dyDescent="0.3">
      <c r="B44" t="s">
        <v>43</v>
      </c>
      <c r="C44" s="19">
        <v>91861</v>
      </c>
      <c r="D44" s="19">
        <v>58925</v>
      </c>
      <c r="E44" s="19">
        <v>82065</v>
      </c>
      <c r="F44" s="19">
        <v>126303</v>
      </c>
    </row>
    <row r="45" spans="2:11" x14ac:dyDescent="0.3">
      <c r="B45" t="s">
        <v>44</v>
      </c>
      <c r="C45" s="19">
        <v>199311</v>
      </c>
      <c r="D45" s="19">
        <v>534043</v>
      </c>
      <c r="E45" s="19">
        <v>439796</v>
      </c>
      <c r="F45" s="19">
        <v>638219</v>
      </c>
    </row>
    <row r="46" spans="2:11" x14ac:dyDescent="0.3">
      <c r="B46" t="s">
        <v>45</v>
      </c>
      <c r="C46" s="19">
        <v>102659</v>
      </c>
      <c r="D46" s="19">
        <v>4898</v>
      </c>
      <c r="E46" s="19">
        <v>951594</v>
      </c>
      <c r="F46" s="19">
        <v>1199465</v>
      </c>
    </row>
    <row r="47" spans="2:11" x14ac:dyDescent="0.3">
      <c r="B47" t="s">
        <v>46</v>
      </c>
      <c r="C47" s="19">
        <v>38837</v>
      </c>
      <c r="D47" s="19">
        <v>51695</v>
      </c>
      <c r="E47" s="19">
        <v>70512</v>
      </c>
      <c r="F47" s="19">
        <v>139410</v>
      </c>
      <c r="J47" s="18"/>
      <c r="K47" s="18"/>
    </row>
    <row r="48" spans="2:11" x14ac:dyDescent="0.3">
      <c r="B48" t="s">
        <v>47</v>
      </c>
      <c r="C48" s="19">
        <v>100204</v>
      </c>
      <c r="D48" s="19">
        <v>125473</v>
      </c>
      <c r="E48" s="19">
        <v>187186</v>
      </c>
      <c r="F48" s="19">
        <v>281613</v>
      </c>
    </row>
    <row r="49" spans="2:6" x14ac:dyDescent="0.3">
      <c r="B49" t="s">
        <v>48</v>
      </c>
      <c r="C49" s="19">
        <v>0</v>
      </c>
      <c r="D49" s="19">
        <v>0</v>
      </c>
      <c r="E49" s="19">
        <v>0</v>
      </c>
      <c r="F49" s="19">
        <v>0</v>
      </c>
    </row>
    <row r="50" spans="2:6" x14ac:dyDescent="0.3">
      <c r="B50" t="s">
        <v>20</v>
      </c>
      <c r="C50" s="19">
        <v>0</v>
      </c>
      <c r="D50" s="19">
        <v>0</v>
      </c>
      <c r="E50" s="19">
        <v>0</v>
      </c>
      <c r="F50" s="19">
        <v>0</v>
      </c>
    </row>
    <row r="51" spans="2:6" x14ac:dyDescent="0.3">
      <c r="B51" t="s">
        <v>49</v>
      </c>
      <c r="C51" s="19">
        <v>441011</v>
      </c>
      <c r="D51" s="19">
        <v>716109</v>
      </c>
      <c r="E51" s="19">
        <v>1649088</v>
      </c>
      <c r="F51" s="19">
        <v>2258707</v>
      </c>
    </row>
    <row r="52" spans="2:6" x14ac:dyDescent="0.3">
      <c r="B52" t="s">
        <v>50</v>
      </c>
      <c r="C52" s="19"/>
      <c r="D52" s="19"/>
      <c r="E52" s="19"/>
      <c r="F52" s="19"/>
    </row>
    <row r="53" spans="2:6" x14ac:dyDescent="0.3">
      <c r="B53" t="s">
        <v>51</v>
      </c>
      <c r="C53" s="19">
        <v>1</v>
      </c>
      <c r="D53" s="19">
        <v>1</v>
      </c>
      <c r="E53" s="19">
        <v>1</v>
      </c>
      <c r="F53" s="19">
        <v>1</v>
      </c>
    </row>
    <row r="54" spans="2:6" x14ac:dyDescent="0.3">
      <c r="B54" t="s">
        <v>52</v>
      </c>
      <c r="C54" s="19">
        <v>-185181</v>
      </c>
      <c r="D54" s="19">
        <v>-51186</v>
      </c>
      <c r="E54" s="19">
        <v>-405737</v>
      </c>
      <c r="F54" s="19">
        <v>17335</v>
      </c>
    </row>
    <row r="55" spans="2:6" x14ac:dyDescent="0.3">
      <c r="B55" t="s">
        <v>53</v>
      </c>
      <c r="C55" s="19">
        <v>0</v>
      </c>
      <c r="D55" s="19">
        <v>0</v>
      </c>
      <c r="E55" s="19">
        <v>0</v>
      </c>
      <c r="F55" s="19">
        <v>0</v>
      </c>
    </row>
    <row r="56" spans="2:6" x14ac:dyDescent="0.3">
      <c r="B56" t="s">
        <v>54</v>
      </c>
      <c r="C56" s="19">
        <v>458315</v>
      </c>
      <c r="D56" s="19">
        <v>534744</v>
      </c>
      <c r="E56" s="19">
        <v>837924</v>
      </c>
      <c r="F56" s="19">
        <v>819119</v>
      </c>
    </row>
    <row r="57" spans="2:6" x14ac:dyDescent="0.3">
      <c r="B57" t="s">
        <v>55</v>
      </c>
      <c r="C57" s="19">
        <v>-923</v>
      </c>
      <c r="D57" s="19">
        <v>434</v>
      </c>
      <c r="E57" s="19">
        <v>-2020</v>
      </c>
      <c r="F57" s="19">
        <v>-10882</v>
      </c>
    </row>
    <row r="58" spans="2:6" x14ac:dyDescent="0.3">
      <c r="B58" t="s">
        <v>56</v>
      </c>
      <c r="C58" s="19">
        <v>272212</v>
      </c>
      <c r="D58" s="19">
        <v>483993</v>
      </c>
      <c r="E58" s="19">
        <v>430168</v>
      </c>
      <c r="F58" s="19">
        <v>825573</v>
      </c>
    </row>
    <row r="59" spans="2:6" x14ac:dyDescent="0.3">
      <c r="B59" t="s">
        <v>57</v>
      </c>
      <c r="C59" s="19">
        <v>713223</v>
      </c>
      <c r="D59" s="19">
        <v>1200102</v>
      </c>
      <c r="E59" s="19">
        <v>2079256</v>
      </c>
      <c r="F59" s="19">
        <v>3084280</v>
      </c>
    </row>
    <row r="60" spans="2:6" x14ac:dyDescent="0.3">
      <c r="C60" s="18"/>
      <c r="D60" s="18"/>
      <c r="E60" s="18"/>
      <c r="F60" s="18"/>
    </row>
    <row r="61" spans="2:6" ht="18" x14ac:dyDescent="0.35">
      <c r="B61" s="2" t="s">
        <v>115</v>
      </c>
      <c r="C61" s="18"/>
      <c r="D61" s="18"/>
      <c r="E61" s="18"/>
      <c r="F61" s="18"/>
    </row>
    <row r="62" spans="2:6" x14ac:dyDescent="0.3">
      <c r="B62" t="s">
        <v>0</v>
      </c>
      <c r="C62" s="18" t="s">
        <v>71</v>
      </c>
      <c r="D62" s="18" t="s">
        <v>70</v>
      </c>
      <c r="E62" s="18" t="s">
        <v>69</v>
      </c>
      <c r="F62" s="18" t="s">
        <v>68</v>
      </c>
    </row>
    <row r="63" spans="2:6" x14ac:dyDescent="0.3">
      <c r="B63" t="s">
        <v>23</v>
      </c>
      <c r="C63" s="19">
        <v>161148</v>
      </c>
      <c r="D63" s="19">
        <v>133995</v>
      </c>
      <c r="E63" s="19">
        <v>145449</v>
      </c>
      <c r="F63" s="19">
        <v>397362</v>
      </c>
    </row>
    <row r="64" spans="2:6" x14ac:dyDescent="0.3">
      <c r="B64" t="s">
        <v>72</v>
      </c>
      <c r="C64" s="19"/>
      <c r="D64" s="19"/>
      <c r="E64" s="19"/>
      <c r="F64" s="19"/>
    </row>
    <row r="65" spans="2:6" x14ac:dyDescent="0.3">
      <c r="B65" t="s">
        <v>73</v>
      </c>
      <c r="C65" s="19">
        <v>14119</v>
      </c>
      <c r="D65" s="19">
        <v>18103</v>
      </c>
      <c r="E65" s="19">
        <v>32439</v>
      </c>
      <c r="F65" s="19">
        <v>56143</v>
      </c>
    </row>
    <row r="66" spans="2:6" x14ac:dyDescent="0.3">
      <c r="B66" t="s">
        <v>74</v>
      </c>
      <c r="C66" s="19">
        <v>-37625</v>
      </c>
      <c r="D66" s="19">
        <v>88889</v>
      </c>
      <c r="E66" s="19">
        <v>159077</v>
      </c>
      <c r="F66" s="19">
        <v>229186</v>
      </c>
    </row>
    <row r="67" spans="2:6" x14ac:dyDescent="0.3">
      <c r="B67" t="s">
        <v>75</v>
      </c>
      <c r="C67" s="19"/>
      <c r="D67" s="19"/>
      <c r="E67" s="19"/>
      <c r="F67" s="19"/>
    </row>
    <row r="68" spans="2:6" x14ac:dyDescent="0.3">
      <c r="B68" t="s">
        <v>76</v>
      </c>
      <c r="C68" s="19">
        <v>-68745</v>
      </c>
      <c r="D68" s="19">
        <v>-34321</v>
      </c>
      <c r="E68" s="19">
        <v>-151160</v>
      </c>
      <c r="F68" s="19">
        <v>-107556</v>
      </c>
    </row>
    <row r="69" spans="2:6" x14ac:dyDescent="0.3">
      <c r="B69" t="s">
        <v>77</v>
      </c>
      <c r="C69" s="19">
        <v>-15789</v>
      </c>
      <c r="D69" s="19">
        <v>-9708</v>
      </c>
      <c r="E69" s="19">
        <v>-29258</v>
      </c>
      <c r="F69" s="19">
        <v>-75273</v>
      </c>
    </row>
    <row r="70" spans="2:6" x14ac:dyDescent="0.3">
      <c r="B70" t="s">
        <v>78</v>
      </c>
      <c r="C70" s="19">
        <v>-14293</v>
      </c>
      <c r="D70" s="19">
        <v>-14636</v>
      </c>
      <c r="E70" s="19">
        <v>-26885</v>
      </c>
      <c r="F70" s="19">
        <v>-68423</v>
      </c>
    </row>
    <row r="71" spans="2:6" x14ac:dyDescent="0.3">
      <c r="B71" t="s">
        <v>79</v>
      </c>
      <c r="C71" s="19">
        <v>100252</v>
      </c>
      <c r="D71" s="19">
        <v>34012</v>
      </c>
      <c r="E71" s="19">
        <v>222366</v>
      </c>
      <c r="F71" s="19">
        <v>313378</v>
      </c>
    </row>
    <row r="72" spans="2:6" x14ac:dyDescent="0.3">
      <c r="B72" t="s">
        <v>80</v>
      </c>
      <c r="C72" s="19">
        <v>139067</v>
      </c>
      <c r="D72" s="19">
        <v>216334</v>
      </c>
      <c r="E72" s="19">
        <v>352028</v>
      </c>
      <c r="F72" s="19">
        <v>744817</v>
      </c>
    </row>
    <row r="73" spans="2:6" x14ac:dyDescent="0.3">
      <c r="B73" t="s">
        <v>81</v>
      </c>
      <c r="C73" s="19"/>
      <c r="D73" s="19"/>
      <c r="E73" s="19"/>
      <c r="F73" s="19"/>
    </row>
    <row r="74" spans="2:6" x14ac:dyDescent="0.3">
      <c r="B74" t="s">
        <v>82</v>
      </c>
      <c r="C74" s="19">
        <v>-14788</v>
      </c>
      <c r="D74" s="19">
        <v>-20558</v>
      </c>
      <c r="E74" s="19">
        <v>-52258</v>
      </c>
      <c r="F74" s="19">
        <v>-46443</v>
      </c>
    </row>
    <row r="75" spans="2:6" x14ac:dyDescent="0.3">
      <c r="B75" t="s">
        <v>83</v>
      </c>
      <c r="C75" s="19">
        <v>0</v>
      </c>
      <c r="D75" s="19">
        <v>-5010</v>
      </c>
      <c r="E75" s="19">
        <v>-931387</v>
      </c>
      <c r="F75" s="19">
        <v>-263301</v>
      </c>
    </row>
    <row r="76" spans="2:6" x14ac:dyDescent="0.3">
      <c r="B76" t="s">
        <v>84</v>
      </c>
      <c r="C76" s="19">
        <v>0</v>
      </c>
      <c r="D76" s="19">
        <v>0</v>
      </c>
      <c r="E76" s="19">
        <v>-235902</v>
      </c>
      <c r="F76" s="19">
        <v>-62162</v>
      </c>
    </row>
    <row r="77" spans="2:6" x14ac:dyDescent="0.3">
      <c r="B77" t="s">
        <v>85</v>
      </c>
      <c r="C77" s="19">
        <v>-14788</v>
      </c>
      <c r="D77" s="19">
        <v>-25568</v>
      </c>
      <c r="E77" s="19">
        <v>-1219547</v>
      </c>
      <c r="F77" s="19">
        <v>-371906</v>
      </c>
    </row>
    <row r="78" spans="2:6" x14ac:dyDescent="0.3">
      <c r="B78" t="s">
        <v>86</v>
      </c>
      <c r="C78" s="19"/>
      <c r="D78" s="19"/>
      <c r="E78" s="19"/>
      <c r="F78" s="19"/>
    </row>
    <row r="79" spans="2:6" x14ac:dyDescent="0.3">
      <c r="B79" t="s">
        <v>87</v>
      </c>
      <c r="C79" s="19">
        <v>34803</v>
      </c>
      <c r="D79" s="19">
        <v>79947</v>
      </c>
      <c r="E79" s="19">
        <v>-271716</v>
      </c>
      <c r="F79" s="19">
        <v>10370</v>
      </c>
    </row>
    <row r="80" spans="2:6" x14ac:dyDescent="0.3">
      <c r="B80" t="s">
        <v>88</v>
      </c>
      <c r="C80" s="19">
        <v>45245</v>
      </c>
      <c r="D80" s="19">
        <v>180061</v>
      </c>
      <c r="E80" s="19">
        <v>610263</v>
      </c>
      <c r="F80" s="19">
        <v>0</v>
      </c>
    </row>
    <row r="81" spans="2:6" x14ac:dyDescent="0.3">
      <c r="B81" t="s">
        <v>89</v>
      </c>
      <c r="C81" s="19">
        <v>-14198</v>
      </c>
      <c r="D81" s="19">
        <v>-68330</v>
      </c>
      <c r="E81" s="19">
        <v>-29136</v>
      </c>
      <c r="F81" s="19">
        <v>-27496</v>
      </c>
    </row>
    <row r="82" spans="2:6" x14ac:dyDescent="0.3">
      <c r="B82" t="s">
        <v>90</v>
      </c>
      <c r="C82" s="19">
        <v>65850</v>
      </c>
      <c r="D82" s="19">
        <v>191678</v>
      </c>
      <c r="E82" s="19">
        <v>309411</v>
      </c>
      <c r="F82" s="19">
        <v>-17126</v>
      </c>
    </row>
    <row r="83" spans="2:6" x14ac:dyDescent="0.3">
      <c r="B83" t="s">
        <v>91</v>
      </c>
      <c r="C83" s="19">
        <v>-257</v>
      </c>
      <c r="D83" s="19">
        <v>826</v>
      </c>
      <c r="E83" s="19">
        <v>-1955</v>
      </c>
      <c r="F83" s="19">
        <v>-1857</v>
      </c>
    </row>
    <row r="84" spans="2:6" x14ac:dyDescent="0.3">
      <c r="B84" t="s">
        <v>92</v>
      </c>
      <c r="C84" s="19">
        <v>189872</v>
      </c>
      <c r="D84" s="19">
        <v>383270</v>
      </c>
      <c r="E84" s="19">
        <v>-560063</v>
      </c>
      <c r="F84" s="19">
        <v>353928</v>
      </c>
    </row>
  </sheetData>
  <sheetProtection sheet="1" objects="1" scenarios="1"/>
  <customSheetViews>
    <customSheetView guid="{157A7F57-E932-4D71-AAC5-1BA0DA6A9C96}" showGridLines="0" topLeftCell="A23">
      <selection activeCell="H14" sqref="H14"/>
      <pageMargins left="0.7" right="0.7" top="0.75" bottom="0.75" header="0.3" footer="0.3"/>
    </customSheetView>
  </customSheetView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17"/>
  <sheetViews>
    <sheetView showGridLines="0" topLeftCell="B1" zoomScaleNormal="100" workbookViewId="0">
      <selection activeCell="L20" sqref="L20"/>
    </sheetView>
  </sheetViews>
  <sheetFormatPr defaultRowHeight="14.4" x14ac:dyDescent="0.3"/>
  <cols>
    <col min="1" max="1" width="1.88671875" customWidth="1"/>
    <col min="2" max="2" width="9.44140625" bestFit="1" customWidth="1"/>
    <col min="12" max="13" width="12.109375" bestFit="1" customWidth="1"/>
    <col min="14" max="14" width="11.33203125" bestFit="1" customWidth="1"/>
    <col min="15" max="15" width="12.109375" bestFit="1" customWidth="1"/>
  </cols>
  <sheetData>
    <row r="2" spans="2:18" x14ac:dyDescent="0.3">
      <c r="B2" s="535" t="s">
        <v>321</v>
      </c>
      <c r="C2" s="535"/>
      <c r="D2" s="535"/>
      <c r="E2" s="535"/>
      <c r="F2" s="535"/>
      <c r="G2" s="535"/>
      <c r="H2" s="368"/>
      <c r="I2" s="368"/>
      <c r="J2" s="368"/>
      <c r="K2" s="368"/>
      <c r="L2" s="368"/>
      <c r="M2" s="368"/>
      <c r="N2" s="368"/>
      <c r="O2" s="368"/>
      <c r="P2" s="368"/>
      <c r="Q2" s="368"/>
      <c r="R2" s="368"/>
    </row>
    <row r="3" spans="2:18" x14ac:dyDescent="0.3">
      <c r="B3" s="535"/>
      <c r="C3" s="535"/>
      <c r="D3" s="535"/>
      <c r="E3" s="535"/>
      <c r="F3" s="535"/>
      <c r="G3" s="535"/>
      <c r="H3" s="368"/>
      <c r="I3" s="368"/>
      <c r="J3" s="368"/>
      <c r="K3" s="368"/>
      <c r="L3" s="368"/>
      <c r="M3" s="368"/>
      <c r="N3" s="368"/>
      <c r="O3" s="368"/>
      <c r="P3" s="368"/>
      <c r="Q3" s="368"/>
      <c r="R3" s="368"/>
    </row>
    <row r="4" spans="2:18" x14ac:dyDescent="0.3">
      <c r="B4" s="535"/>
      <c r="C4" s="535"/>
      <c r="D4" s="535"/>
      <c r="E4" s="535"/>
      <c r="F4" s="535"/>
      <c r="G4" s="535"/>
      <c r="H4" s="368"/>
      <c r="I4" s="368"/>
      <c r="J4" s="368"/>
      <c r="K4" s="368"/>
      <c r="L4" s="368"/>
      <c r="M4" s="368"/>
      <c r="N4" s="368"/>
      <c r="O4" s="368"/>
      <c r="P4" s="368"/>
      <c r="Q4" s="368"/>
      <c r="R4" s="368"/>
    </row>
    <row r="5" spans="2:18" x14ac:dyDescent="0.3">
      <c r="B5" s="242" t="s">
        <v>322</v>
      </c>
      <c r="C5" s="368"/>
      <c r="D5" s="368"/>
      <c r="E5" s="368"/>
      <c r="F5" s="368"/>
      <c r="G5" s="368"/>
      <c r="H5" s="368"/>
      <c r="I5" s="368"/>
      <c r="J5" s="368"/>
      <c r="K5" s="368"/>
      <c r="L5" s="368"/>
      <c r="M5" s="368"/>
      <c r="N5" s="368"/>
      <c r="O5" s="368"/>
      <c r="P5" s="368"/>
      <c r="Q5" s="368"/>
      <c r="R5" s="368"/>
    </row>
    <row r="6" spans="2:18" x14ac:dyDescent="0.3">
      <c r="B6" s="242" t="s">
        <v>323</v>
      </c>
      <c r="C6" s="368"/>
      <c r="D6" s="368"/>
      <c r="E6" s="368"/>
      <c r="F6" s="368"/>
      <c r="G6" s="368"/>
      <c r="H6" s="368"/>
      <c r="I6" s="368"/>
      <c r="J6" s="368"/>
      <c r="K6" s="368"/>
      <c r="L6" s="368"/>
      <c r="M6" s="368"/>
      <c r="N6" s="368"/>
      <c r="O6" s="368"/>
      <c r="P6" s="368"/>
      <c r="Q6" s="368"/>
      <c r="R6" s="368"/>
    </row>
    <row r="8" spans="2:18" ht="14.4" customHeight="1" x14ac:dyDescent="0.3">
      <c r="B8" s="536" t="s">
        <v>324</v>
      </c>
      <c r="C8" s="536"/>
      <c r="D8" s="536"/>
      <c r="E8" s="536"/>
      <c r="F8" s="536"/>
      <c r="G8" s="536"/>
      <c r="H8" s="536"/>
      <c r="I8" s="536"/>
      <c r="J8" s="536"/>
      <c r="K8" s="536"/>
      <c r="L8" s="536"/>
      <c r="M8" s="536"/>
      <c r="N8" s="536"/>
      <c r="O8" s="536"/>
      <c r="P8" s="536"/>
      <c r="Q8" s="536"/>
      <c r="R8" s="536"/>
    </row>
    <row r="9" spans="2:18" x14ac:dyDescent="0.3">
      <c r="B9" s="536"/>
      <c r="C9" s="536"/>
      <c r="D9" s="536"/>
      <c r="E9" s="536"/>
      <c r="F9" s="536"/>
      <c r="G9" s="536"/>
      <c r="H9" s="536"/>
      <c r="I9" s="536"/>
      <c r="J9" s="536"/>
      <c r="K9" s="536"/>
      <c r="L9" s="536"/>
      <c r="M9" s="536"/>
      <c r="N9" s="536"/>
      <c r="O9" s="536"/>
      <c r="P9" s="536"/>
      <c r="Q9" s="536"/>
      <c r="R9" s="536"/>
    </row>
    <row r="10" spans="2:18" x14ac:dyDescent="0.3">
      <c r="B10" s="536"/>
      <c r="C10" s="536"/>
      <c r="D10" s="536"/>
      <c r="E10" s="536"/>
      <c r="F10" s="536"/>
      <c r="G10" s="536"/>
      <c r="H10" s="536"/>
      <c r="I10" s="536"/>
      <c r="J10" s="536"/>
      <c r="K10" s="536"/>
      <c r="L10" s="536"/>
      <c r="M10" s="536"/>
      <c r="N10" s="536"/>
      <c r="O10" s="536"/>
      <c r="P10" s="536"/>
      <c r="Q10" s="536"/>
      <c r="R10" s="536"/>
    </row>
    <row r="11" spans="2:18" x14ac:dyDescent="0.3">
      <c r="B11" s="536"/>
      <c r="C11" s="536"/>
      <c r="D11" s="536"/>
      <c r="E11" s="536"/>
      <c r="F11" s="536"/>
      <c r="G11" s="536"/>
      <c r="H11" s="536"/>
      <c r="I11" s="536"/>
      <c r="J11" s="536"/>
      <c r="K11" s="536"/>
      <c r="L11" s="536"/>
      <c r="M11" s="536"/>
      <c r="N11" s="536"/>
      <c r="O11" s="536"/>
      <c r="P11" s="536"/>
      <c r="Q11" s="536"/>
      <c r="R11" s="536"/>
    </row>
    <row r="12" spans="2:18" x14ac:dyDescent="0.3">
      <c r="B12" s="536"/>
      <c r="C12" s="536"/>
      <c r="D12" s="536"/>
      <c r="E12" s="536"/>
      <c r="F12" s="536"/>
      <c r="G12" s="536"/>
      <c r="H12" s="536"/>
      <c r="I12" s="536"/>
      <c r="J12" s="536"/>
      <c r="K12" s="536"/>
      <c r="L12" s="536"/>
      <c r="M12" s="536"/>
      <c r="N12" s="536"/>
      <c r="O12" s="536"/>
      <c r="P12" s="536"/>
      <c r="Q12" s="536"/>
      <c r="R12" s="536"/>
    </row>
    <row r="13" spans="2:18" x14ac:dyDescent="0.3">
      <c r="B13" s="3"/>
      <c r="C13" s="3"/>
      <c r="D13" s="3"/>
      <c r="E13" s="3"/>
      <c r="F13" s="3"/>
      <c r="G13" s="3"/>
      <c r="H13" s="3"/>
      <c r="I13" s="3"/>
      <c r="J13" s="3"/>
      <c r="K13" s="3"/>
      <c r="L13" s="3"/>
      <c r="M13" s="3"/>
      <c r="N13" s="3"/>
      <c r="O13" s="3"/>
      <c r="P13" s="3"/>
      <c r="Q13" s="3"/>
      <c r="R13" s="3"/>
    </row>
    <row r="14" spans="2:18" x14ac:dyDescent="0.3">
      <c r="B14" s="532" t="s">
        <v>58</v>
      </c>
      <c r="C14" s="533"/>
      <c r="D14" s="533"/>
      <c r="E14" s="533"/>
      <c r="F14" s="533"/>
      <c r="G14" s="533"/>
      <c r="H14" s="533"/>
      <c r="I14" s="533"/>
      <c r="J14" s="533"/>
      <c r="K14" s="533"/>
      <c r="L14" s="533"/>
      <c r="M14" s="533"/>
      <c r="N14" s="533"/>
      <c r="O14" s="533"/>
      <c r="P14" s="533"/>
      <c r="Q14" s="533"/>
      <c r="R14" s="534"/>
    </row>
    <row r="15" spans="2:18" x14ac:dyDescent="0.3">
      <c r="B15" s="369"/>
      <c r="C15" s="38"/>
      <c r="D15" s="38"/>
      <c r="E15" s="38"/>
      <c r="F15" s="38"/>
      <c r="G15" s="38"/>
      <c r="H15" s="38"/>
      <c r="I15" s="38"/>
      <c r="J15" s="38"/>
      <c r="K15" s="38"/>
      <c r="L15" s="38"/>
      <c r="M15" s="38"/>
      <c r="N15" s="38"/>
      <c r="O15" s="38"/>
      <c r="P15" s="38"/>
      <c r="Q15" s="38"/>
      <c r="R15" s="370"/>
    </row>
    <row r="16" spans="2:18" x14ac:dyDescent="0.3">
      <c r="B16" s="529" t="s">
        <v>64</v>
      </c>
      <c r="C16" s="530"/>
      <c r="D16" s="530"/>
      <c r="E16" s="530"/>
      <c r="F16" s="530"/>
      <c r="G16" s="530"/>
      <c r="H16" s="530"/>
      <c r="I16" s="530"/>
      <c r="J16" s="530"/>
      <c r="K16" s="530"/>
      <c r="L16" s="530"/>
      <c r="M16" s="530"/>
      <c r="N16" s="530"/>
      <c r="O16" s="530"/>
      <c r="P16" s="530"/>
      <c r="Q16" s="530"/>
      <c r="R16" s="531"/>
    </row>
    <row r="17" spans="2:18" x14ac:dyDescent="0.3">
      <c r="B17" s="369"/>
      <c r="C17" s="38"/>
      <c r="D17" s="38"/>
      <c r="E17" s="38"/>
      <c r="F17" s="38"/>
      <c r="G17" s="38"/>
      <c r="H17" s="38"/>
      <c r="I17" s="38"/>
      <c r="J17" s="38"/>
      <c r="K17" s="38"/>
      <c r="L17" s="49">
        <v>43800</v>
      </c>
      <c r="M17" s="49">
        <f>L17+366</f>
        <v>44166</v>
      </c>
      <c r="N17" s="49">
        <f t="shared" ref="N17:O17" si="0">M17+366</f>
        <v>44532</v>
      </c>
      <c r="O17" s="49">
        <f t="shared" si="0"/>
        <v>44898</v>
      </c>
      <c r="P17" s="38"/>
      <c r="Q17" s="38"/>
      <c r="R17" s="370"/>
    </row>
    <row r="18" spans="2:18" x14ac:dyDescent="0.3">
      <c r="B18" s="369" t="s">
        <v>179</v>
      </c>
      <c r="C18" s="38"/>
      <c r="D18" s="38"/>
      <c r="E18" s="38"/>
      <c r="F18" s="38"/>
      <c r="G18" s="38"/>
      <c r="H18" s="38"/>
      <c r="I18" s="38"/>
      <c r="J18" s="38"/>
      <c r="K18" s="38"/>
      <c r="L18" s="39">
        <f>'Amgen Financials'!D32/'Amgen Financials'!D45</f>
        <v>1.436696532917803</v>
      </c>
      <c r="M18" s="39">
        <f>'Amgen Financials'!E32/'Amgen Financials'!E45</f>
        <v>1.8144683772419119</v>
      </c>
      <c r="N18" s="39">
        <f>'Amgen Financials'!F32/'Amgen Financials'!F45</f>
        <v>1.5910210111621799</v>
      </c>
      <c r="O18" s="39">
        <f>'Amgen Financials'!G32/'Amgen Financials'!G45</f>
        <v>1.4142920889908841</v>
      </c>
      <c r="P18" s="38"/>
      <c r="Q18" s="38"/>
      <c r="R18" s="370"/>
    </row>
    <row r="19" spans="2:18" x14ac:dyDescent="0.3">
      <c r="B19" s="369" t="s">
        <v>180</v>
      </c>
      <c r="C19" s="38"/>
      <c r="D19" s="38"/>
      <c r="E19" s="38"/>
      <c r="F19" s="38"/>
      <c r="G19" s="38"/>
      <c r="H19" s="38"/>
      <c r="I19" s="38"/>
      <c r="J19" s="38"/>
      <c r="K19" s="38"/>
      <c r="L19" s="39">
        <f>('Amgen Financials'!D32-'Amgen Financials'!D30)/'Amgen Financials'!D45</f>
        <v>1.1574600701207636</v>
      </c>
      <c r="M19" s="39">
        <f>('Amgen Financials'!E32-'Amgen Financials'!E30)/'Amgen Financials'!E45</f>
        <v>1.4803913155410624</v>
      </c>
      <c r="N19" s="39">
        <f>('Amgen Financials'!F32-'Amgen Financials'!F30)/'Amgen Financials'!F45</f>
        <v>1.2556631648063032</v>
      </c>
      <c r="O19" s="39">
        <f>('Amgen Financials'!G32-'Amgen Financials'!G30)/'Amgen Financials'!G45</f>
        <v>1.1000191241155097</v>
      </c>
      <c r="P19" s="38"/>
      <c r="Q19" s="38"/>
      <c r="R19" s="370"/>
    </row>
    <row r="20" spans="2:18" x14ac:dyDescent="0.3">
      <c r="B20" s="369" t="s">
        <v>67</v>
      </c>
      <c r="C20" s="38"/>
      <c r="D20" s="38"/>
      <c r="E20" s="38"/>
      <c r="F20" s="38"/>
      <c r="G20" s="38"/>
      <c r="H20" s="38"/>
      <c r="I20" s="38"/>
      <c r="J20" s="38"/>
      <c r="K20" s="38"/>
      <c r="L20" s="39">
        <f>('Amgen Financials'!D27+'Amgen Financials'!D28)/'Amgen Financials'!D45</f>
        <v>0.69427347097779513</v>
      </c>
      <c r="M20" s="39">
        <f>('Amgen Financials'!E27+'Amgen Financials'!E28)/'Amgen Financials'!E45</f>
        <v>0.91367029949369261</v>
      </c>
      <c r="N20" s="39">
        <f>('Amgen Financials'!F27+'Amgen Financials'!F28)/'Amgen Financials'!F45</f>
        <v>0.65963558765594221</v>
      </c>
      <c r="O20" s="39">
        <f>('Amgen Financials'!G27+'Amgen Financials'!G28)/'Amgen Financials'!G45</f>
        <v>0.59316631605788228</v>
      </c>
      <c r="P20" s="38"/>
      <c r="Q20" s="38"/>
      <c r="R20" s="370"/>
    </row>
    <row r="21" spans="2:18" x14ac:dyDescent="0.3">
      <c r="B21" s="369"/>
      <c r="C21" s="38"/>
      <c r="D21" s="38"/>
      <c r="E21" s="38"/>
      <c r="F21" s="38"/>
      <c r="G21" s="38"/>
      <c r="H21" s="38"/>
      <c r="I21" s="38"/>
      <c r="J21" s="38"/>
      <c r="K21" s="38"/>
      <c r="L21" s="38"/>
      <c r="M21" s="38"/>
      <c r="N21" s="38"/>
      <c r="O21" s="38"/>
      <c r="P21" s="38"/>
      <c r="Q21" s="38"/>
      <c r="R21" s="370"/>
    </row>
    <row r="22" spans="2:18" x14ac:dyDescent="0.3">
      <c r="B22" s="529" t="s">
        <v>116</v>
      </c>
      <c r="C22" s="530"/>
      <c r="D22" s="530"/>
      <c r="E22" s="530"/>
      <c r="F22" s="530"/>
      <c r="G22" s="530"/>
      <c r="H22" s="530"/>
      <c r="I22" s="530"/>
      <c r="J22" s="530"/>
      <c r="K22" s="530"/>
      <c r="L22" s="530"/>
      <c r="M22" s="530"/>
      <c r="N22" s="530"/>
      <c r="O22" s="530"/>
      <c r="P22" s="530"/>
      <c r="Q22" s="530"/>
      <c r="R22" s="531"/>
    </row>
    <row r="23" spans="2:18" x14ac:dyDescent="0.3">
      <c r="B23" s="369"/>
      <c r="C23" s="38"/>
      <c r="D23" s="38"/>
      <c r="E23" s="38"/>
      <c r="F23" s="38"/>
      <c r="G23" s="38"/>
      <c r="H23" s="38"/>
      <c r="I23" s="38"/>
      <c r="J23" s="38"/>
      <c r="K23" s="38"/>
      <c r="L23" s="49">
        <f>L17</f>
        <v>43800</v>
      </c>
      <c r="M23" s="49">
        <f t="shared" ref="M23:O23" si="1">M17</f>
        <v>44166</v>
      </c>
      <c r="N23" s="49">
        <f t="shared" si="1"/>
        <v>44532</v>
      </c>
      <c r="O23" s="49">
        <f t="shared" si="1"/>
        <v>44898</v>
      </c>
      <c r="P23" s="38"/>
      <c r="Q23" s="38"/>
      <c r="R23" s="370"/>
    </row>
    <row r="24" spans="2:18" x14ac:dyDescent="0.3">
      <c r="B24" s="369" t="s">
        <v>117</v>
      </c>
      <c r="C24" s="38"/>
      <c r="D24" s="38"/>
      <c r="E24" s="38"/>
      <c r="F24" s="38"/>
      <c r="G24" s="38"/>
      <c r="H24" s="38"/>
      <c r="I24" s="38"/>
      <c r="J24" s="38"/>
      <c r="K24" s="38"/>
      <c r="L24" s="39">
        <f>('Amgen Financials'!D46+'Amgen Financials'!D43)/'Amgen Financials'!D40</f>
        <v>0.50082904852027399</v>
      </c>
      <c r="M24" s="39">
        <f>('Amgen Financials'!E46+'Amgen Financials'!E43)/'Amgen Financials'!E40</f>
        <v>0.52401982588803453</v>
      </c>
      <c r="N24" s="39">
        <f>('Amgen Financials'!F46+'Amgen Financials'!F43)/'Amgen Financials'!F40</f>
        <v>0.5445761464890051</v>
      </c>
      <c r="O24" s="39">
        <f>('Amgen Financials'!G46+'Amgen Financials'!G43)/'Amgen Financials'!G40</f>
        <v>0.59804057063005789</v>
      </c>
      <c r="P24" s="38"/>
      <c r="Q24" s="38"/>
      <c r="R24" s="370"/>
    </row>
    <row r="25" spans="2:18" x14ac:dyDescent="0.3">
      <c r="B25" s="369" t="s">
        <v>118</v>
      </c>
      <c r="C25" s="38"/>
      <c r="D25" s="38"/>
      <c r="E25" s="38"/>
      <c r="F25" s="38"/>
      <c r="G25" s="38"/>
      <c r="H25" s="38"/>
      <c r="I25" s="38"/>
      <c r="J25" s="38"/>
      <c r="K25" s="38"/>
      <c r="L25" s="39">
        <f>('Amgen Financials'!D46+'Amgen Financials'!D43)/'Amgen Financials'!D58</f>
        <v>3.0913884007029875</v>
      </c>
      <c r="M25" s="39">
        <f>('Amgen Financials'!E46+'Amgen Financials'!E43)/'Amgen Financials'!E58</f>
        <v>3.5057923264959081</v>
      </c>
      <c r="N25" s="39">
        <f>('Amgen Financials'!F46+'Amgen Financials'!F43)/'Amgen Financials'!F58</f>
        <v>4.9714925373134324</v>
      </c>
      <c r="O25" s="39">
        <f>('Amgen Financials'!G46+'Amgen Financials'!G43)/'Amgen Financials'!G58</f>
        <v>10.637803878721661</v>
      </c>
      <c r="P25" s="38"/>
      <c r="Q25" s="38"/>
      <c r="R25" s="370"/>
    </row>
    <row r="26" spans="2:18" x14ac:dyDescent="0.3">
      <c r="B26" s="369" t="s">
        <v>120</v>
      </c>
      <c r="C26" s="38"/>
      <c r="D26" s="38"/>
      <c r="E26" s="38"/>
      <c r="F26" s="38"/>
      <c r="G26" s="38"/>
      <c r="H26" s="38"/>
      <c r="I26" s="38"/>
      <c r="J26" s="38"/>
      <c r="K26" s="38"/>
      <c r="L26" s="39">
        <f>L25/(1+L25)</f>
        <v>0.75558419243986252</v>
      </c>
      <c r="M26" s="39">
        <f t="shared" ref="M26:O26" si="2">M25/(1+M25)</f>
        <v>0.77806345087864137</v>
      </c>
      <c r="N26" s="39">
        <f t="shared" si="2"/>
        <v>0.83253767902221998</v>
      </c>
      <c r="O26" s="39">
        <f t="shared" si="2"/>
        <v>0.91407313523916822</v>
      </c>
      <c r="P26" s="38"/>
      <c r="Q26" s="38"/>
      <c r="R26" s="370"/>
    </row>
    <row r="27" spans="2:18" x14ac:dyDescent="0.3">
      <c r="B27" s="369" t="s">
        <v>121</v>
      </c>
      <c r="C27" s="38"/>
      <c r="D27" s="38"/>
      <c r="E27" s="38"/>
      <c r="F27" s="38"/>
      <c r="G27" s="38"/>
      <c r="H27" s="38"/>
      <c r="I27" s="38"/>
      <c r="J27" s="38"/>
      <c r="K27" s="38"/>
      <c r="L27" s="39">
        <f>('Amgen Financials'!D14+'Amgen Financials'!D65)/'Amgen Financials'!D15</f>
        <v>9.8006206361520558</v>
      </c>
      <c r="M27" s="39">
        <f>('Amgen Financials'!E14+'Amgen Financials'!E65)/'Amgen Financials'!E15</f>
        <v>10.297939778129953</v>
      </c>
      <c r="N27" s="39">
        <f>('Amgen Financials'!F14+'Amgen Financials'!F65)/'Amgen Financials'!F15</f>
        <v>9.4369256474519627</v>
      </c>
      <c r="O27" s="39">
        <f>('Amgen Financials'!G14+'Amgen Financials'!G65)/'Amgen Financials'!G15</f>
        <v>8.6550497866287337</v>
      </c>
      <c r="P27" s="38"/>
      <c r="Q27" s="38"/>
      <c r="R27" s="370"/>
    </row>
    <row r="28" spans="2:18" x14ac:dyDescent="0.3">
      <c r="B28" s="369" t="s">
        <v>119</v>
      </c>
      <c r="C28" s="38"/>
      <c r="D28" s="38"/>
      <c r="E28" s="38"/>
      <c r="F28" s="38"/>
      <c r="G28" s="38"/>
      <c r="H28" s="38"/>
      <c r="I28" s="38"/>
      <c r="J28" s="38"/>
      <c r="K28" s="38"/>
      <c r="L28" s="39">
        <f>'Amgen Financials'!D40/'Amgen Financials'!D58</f>
        <v>6.1725421275715906</v>
      </c>
      <c r="M28" s="39">
        <f>'Amgen Financials'!E40/'Amgen Financials'!E58</f>
        <v>6.6901902433839942</v>
      </c>
      <c r="N28" s="39">
        <f>'Amgen Financials'!F40/'Amgen Financials'!F58</f>
        <v>9.129104477611941</v>
      </c>
      <c r="O28" s="39">
        <f>'Amgen Financials'!G40/'Amgen Financials'!G58</f>
        <v>17.787762906309752</v>
      </c>
      <c r="P28" s="38"/>
      <c r="Q28" s="38"/>
      <c r="R28" s="370"/>
    </row>
    <row r="29" spans="2:18" x14ac:dyDescent="0.3">
      <c r="B29" s="369" t="s">
        <v>193</v>
      </c>
      <c r="C29" s="38"/>
      <c r="D29" s="38"/>
      <c r="E29" s="38"/>
      <c r="F29" s="38"/>
      <c r="G29" s="38"/>
      <c r="H29" s="38"/>
      <c r="I29" s="38"/>
      <c r="J29" s="38"/>
      <c r="K29" s="38"/>
      <c r="L29" s="39">
        <f>'Amgen Financials'!D72/('Amgen Financials'!D46+'Amgen Financials'!D43)</f>
        <v>0.30598936561549006</v>
      </c>
      <c r="M29" s="39">
        <f>'Amgen Financials'!E72/('Amgen Financials'!E46+'Amgen Financials'!E43)</f>
        <v>0.31822591402413147</v>
      </c>
      <c r="N29" s="39">
        <f>'Amgen Financials'!F72/('Amgen Financials'!F46+'Amgen Financials'!F43)</f>
        <v>0.27803296406376654</v>
      </c>
      <c r="O29" s="39">
        <f>'Amgen Financials'!G72/('Amgen Financials'!G46+'Amgen Financials'!G43)</f>
        <v>0.2496084221337784</v>
      </c>
      <c r="P29" s="38"/>
      <c r="Q29" s="38"/>
      <c r="R29" s="370"/>
    </row>
    <row r="30" spans="2:18" x14ac:dyDescent="0.3">
      <c r="B30" s="369"/>
      <c r="C30" s="38"/>
      <c r="D30" s="38"/>
      <c r="E30" s="38"/>
      <c r="F30" s="38"/>
      <c r="G30" s="38"/>
      <c r="H30" s="38"/>
      <c r="I30" s="38"/>
      <c r="J30" s="38"/>
      <c r="K30" s="38"/>
      <c r="L30" s="38"/>
      <c r="M30" s="38"/>
      <c r="N30" s="38"/>
      <c r="O30" s="38"/>
      <c r="P30" s="38"/>
      <c r="Q30" s="38"/>
      <c r="R30" s="370"/>
    </row>
    <row r="31" spans="2:18" x14ac:dyDescent="0.3">
      <c r="B31" s="529" t="s">
        <v>122</v>
      </c>
      <c r="C31" s="530"/>
      <c r="D31" s="530"/>
      <c r="E31" s="530"/>
      <c r="F31" s="530"/>
      <c r="G31" s="530"/>
      <c r="H31" s="530"/>
      <c r="I31" s="530"/>
      <c r="J31" s="530"/>
      <c r="K31" s="530"/>
      <c r="L31" s="530"/>
      <c r="M31" s="530"/>
      <c r="N31" s="530"/>
      <c r="O31" s="530"/>
      <c r="P31" s="530"/>
      <c r="Q31" s="530"/>
      <c r="R31" s="531"/>
    </row>
    <row r="32" spans="2:18" x14ac:dyDescent="0.3">
      <c r="B32" s="369"/>
      <c r="C32" s="38"/>
      <c r="D32" s="38"/>
      <c r="E32" s="38"/>
      <c r="F32" s="38"/>
      <c r="G32" s="38"/>
      <c r="H32" s="38"/>
      <c r="I32" s="38"/>
      <c r="J32" s="38"/>
      <c r="K32" s="38"/>
      <c r="L32" s="49">
        <f>L23</f>
        <v>43800</v>
      </c>
      <c r="M32" s="49">
        <f t="shared" ref="M32:O32" si="3">M23</f>
        <v>44166</v>
      </c>
      <c r="N32" s="49">
        <f t="shared" si="3"/>
        <v>44532</v>
      </c>
      <c r="O32" s="49">
        <f t="shared" si="3"/>
        <v>44898</v>
      </c>
      <c r="P32" s="38"/>
      <c r="Q32" s="38"/>
      <c r="R32" s="370"/>
    </row>
    <row r="33" spans="2:18" x14ac:dyDescent="0.3">
      <c r="B33" s="369" t="s">
        <v>123</v>
      </c>
      <c r="C33" s="38"/>
      <c r="D33" s="38"/>
      <c r="E33" s="38"/>
      <c r="F33" s="38"/>
      <c r="G33" s="38"/>
      <c r="H33" s="38"/>
      <c r="I33" s="38"/>
      <c r="J33" s="38"/>
      <c r="K33" s="38"/>
      <c r="L33" s="39">
        <f>'Amgen Financials'!D4/'Amgen Financials'!D40</f>
        <v>0.39127740465942018</v>
      </c>
      <c r="M33" s="39">
        <f>'Amgen Financials'!E4/'Amgen Financials'!E40</f>
        <v>0.40388892419139605</v>
      </c>
      <c r="N33" s="39">
        <f>'Amgen Financials'!F4/'Amgen Financials'!F40</f>
        <v>0.42473636883838795</v>
      </c>
      <c r="O33" s="39">
        <f>'Amgen Financials'!G4/'Amgen Financials'!G40</f>
        <v>0.40421676571305726</v>
      </c>
      <c r="P33" s="38"/>
      <c r="Q33" s="38"/>
      <c r="R33" s="370"/>
    </row>
    <row r="34" spans="2:18" x14ac:dyDescent="0.3">
      <c r="B34" s="369" t="s">
        <v>124</v>
      </c>
      <c r="C34" s="38"/>
      <c r="D34" s="38"/>
      <c r="E34" s="38"/>
      <c r="F34" s="38"/>
      <c r="G34" s="38"/>
      <c r="H34" s="38"/>
      <c r="I34" s="38"/>
      <c r="J34" s="38"/>
      <c r="K34" s="38"/>
      <c r="L34" s="39">
        <f>'Amgen Financials'!D4/'Analysis- Amgen'!L83</f>
        <v>4.1680642283675287</v>
      </c>
      <c r="M34" s="39">
        <f>'Amgen Financials'!E4/'Analysis- Amgen'!M83</f>
        <v>2.6787482878516489</v>
      </c>
      <c r="N34" s="39">
        <f>'Amgen Financials'!F4/'Analysis- Amgen'!N83</f>
        <v>3.6076933759200109</v>
      </c>
      <c r="O34" s="39">
        <f>'Amgen Financials'!G4/'Analysis- Amgen'!O83</f>
        <v>4.0503154331435605</v>
      </c>
      <c r="P34" s="38"/>
      <c r="Q34" s="38"/>
      <c r="R34" s="370"/>
    </row>
    <row r="35" spans="2:18" x14ac:dyDescent="0.3">
      <c r="B35" s="369" t="s">
        <v>125</v>
      </c>
      <c r="C35" s="38"/>
      <c r="D35" s="38"/>
      <c r="E35" s="38"/>
      <c r="F35" s="38"/>
      <c r="G35" s="38"/>
      <c r="H35" s="38"/>
      <c r="I35" s="38"/>
      <c r="J35" s="38"/>
      <c r="K35" s="38"/>
      <c r="L35" s="39">
        <f>'Amgen Financials'!D5/'Amgen Financials'!D30</f>
        <v>1.2154017857142858</v>
      </c>
      <c r="M35" s="39">
        <f>'Amgen Financials'!E5/'Amgen Financials'!E30</f>
        <v>1.5820703827382481</v>
      </c>
      <c r="N35" s="39">
        <f>'Amgen Financials'!F5/'Amgen Financials'!F30</f>
        <v>1.5795398923152226</v>
      </c>
      <c r="O35" s="39">
        <f>'Amgen Financials'!G5/'Amgen Financials'!G30</f>
        <v>1.2993914807302231</v>
      </c>
      <c r="P35" s="38"/>
      <c r="Q35" s="38"/>
      <c r="R35" s="370"/>
    </row>
    <row r="36" spans="2:18" x14ac:dyDescent="0.3">
      <c r="B36" s="369" t="s">
        <v>126</v>
      </c>
      <c r="C36" s="38"/>
      <c r="D36" s="38"/>
      <c r="E36" s="38"/>
      <c r="F36" s="38"/>
      <c r="G36" s="38"/>
      <c r="H36" s="38"/>
      <c r="I36" s="38"/>
      <c r="J36" s="38"/>
      <c r="K36" s="38"/>
      <c r="L36" s="39">
        <f>'Amgen Financials'!D4/'Amgen Financials'!D29</f>
        <v>5.7584421986689671</v>
      </c>
      <c r="M36" s="39">
        <f>'Amgen Financials'!E4/'Amgen Financials'!E29</f>
        <v>5.6185635359116022</v>
      </c>
      <c r="N36" s="39">
        <f>'Amgen Financials'!F4/'Amgen Financials'!F29</f>
        <v>5.307252298263534</v>
      </c>
      <c r="O36" s="39">
        <f>'Amgen Financials'!G4/'Amgen Financials'!G29</f>
        <v>4.7317993888189829</v>
      </c>
      <c r="P36" s="38"/>
      <c r="Q36" s="38"/>
      <c r="R36" s="370"/>
    </row>
    <row r="37" spans="2:18" x14ac:dyDescent="0.3">
      <c r="B37" s="369"/>
      <c r="C37" s="38"/>
      <c r="D37" s="38"/>
      <c r="E37" s="38"/>
      <c r="F37" s="38"/>
      <c r="G37" s="38"/>
      <c r="H37" s="38"/>
      <c r="I37" s="38"/>
      <c r="J37" s="38"/>
      <c r="K37" s="38"/>
      <c r="L37" s="38"/>
      <c r="M37" s="38"/>
      <c r="N37" s="38"/>
      <c r="O37" s="38"/>
      <c r="P37" s="38"/>
      <c r="Q37" s="38"/>
      <c r="R37" s="370"/>
    </row>
    <row r="38" spans="2:18" x14ac:dyDescent="0.3">
      <c r="B38" s="529" t="s">
        <v>131</v>
      </c>
      <c r="C38" s="530"/>
      <c r="D38" s="530"/>
      <c r="E38" s="530"/>
      <c r="F38" s="530"/>
      <c r="G38" s="530"/>
      <c r="H38" s="530"/>
      <c r="I38" s="530"/>
      <c r="J38" s="530"/>
      <c r="K38" s="530"/>
      <c r="L38" s="530"/>
      <c r="M38" s="530"/>
      <c r="N38" s="530"/>
      <c r="O38" s="530"/>
      <c r="P38" s="530"/>
      <c r="Q38" s="530"/>
      <c r="R38" s="531"/>
    </row>
    <row r="39" spans="2:18" x14ac:dyDescent="0.3">
      <c r="B39" s="369"/>
      <c r="C39" s="38"/>
      <c r="D39" s="38"/>
      <c r="E39" s="38"/>
      <c r="F39" s="38"/>
      <c r="G39" s="38"/>
      <c r="H39" s="38"/>
      <c r="I39" s="38"/>
      <c r="J39" s="38"/>
      <c r="K39" s="38"/>
      <c r="L39" s="49">
        <f>L32</f>
        <v>43800</v>
      </c>
      <c r="M39" s="49">
        <f t="shared" ref="M39:O39" si="4">M32</f>
        <v>44166</v>
      </c>
      <c r="N39" s="49">
        <f t="shared" si="4"/>
        <v>44532</v>
      </c>
      <c r="O39" s="49">
        <f t="shared" si="4"/>
        <v>44898</v>
      </c>
      <c r="P39" s="38"/>
      <c r="Q39" s="38"/>
      <c r="R39" s="370"/>
    </row>
    <row r="40" spans="2:18" x14ac:dyDescent="0.3">
      <c r="B40" s="369" t="s">
        <v>132</v>
      </c>
      <c r="C40" s="38"/>
      <c r="D40" s="38"/>
      <c r="E40" s="38"/>
      <c r="F40" s="38"/>
      <c r="G40" s="38"/>
      <c r="H40" s="38"/>
      <c r="I40" s="38"/>
      <c r="J40" s="38"/>
      <c r="K40" s="38"/>
      <c r="L40" s="67">
        <f>'Amgen Financials'!D22/'Amgen Financials'!D58</f>
        <v>0.81071022433577999</v>
      </c>
      <c r="M40" s="67">
        <f>'Amgen Financials'!E22/'Amgen Financials'!E58</f>
        <v>0.77202678286746729</v>
      </c>
      <c r="N40" s="67">
        <f>'Amgen Financials'!F22/'Amgen Financials'!F58</f>
        <v>0.87955223880597011</v>
      </c>
      <c r="O40" s="67">
        <f>'Amgen Financials'!G22/'Amgen Financials'!G58</f>
        <v>1.7896749521988529</v>
      </c>
      <c r="P40" s="38"/>
      <c r="Q40" s="38"/>
      <c r="R40" s="370"/>
    </row>
    <row r="41" spans="2:18" x14ac:dyDescent="0.3">
      <c r="B41" s="369" t="s">
        <v>133</v>
      </c>
      <c r="C41" s="38"/>
      <c r="D41" s="38"/>
      <c r="E41" s="38"/>
      <c r="F41" s="38"/>
      <c r="G41" s="38"/>
      <c r="H41" s="38"/>
      <c r="I41" s="38"/>
      <c r="J41" s="38"/>
      <c r="K41" s="38"/>
      <c r="L41" s="67">
        <f>'Amgen Financials'!D22/'Amgen Financials'!D40</f>
        <v>0.13134138375734838</v>
      </c>
      <c r="M41" s="67">
        <f>'Amgen Financials'!E22/'Amgen Financials'!E40</f>
        <v>0.11539683548325602</v>
      </c>
      <c r="N41" s="67">
        <f>'Amgen Financials'!F22/'Amgen Financials'!F40</f>
        <v>9.6345949480912282E-2</v>
      </c>
      <c r="O41" s="67">
        <f>'Amgen Financials'!G22/'Amgen Financials'!G40</f>
        <v>0.10061270557884554</v>
      </c>
      <c r="P41" s="38"/>
      <c r="Q41" s="38"/>
      <c r="R41" s="370"/>
    </row>
    <row r="42" spans="2:18" x14ac:dyDescent="0.3">
      <c r="B42" s="369" t="s">
        <v>134</v>
      </c>
      <c r="C42" s="38"/>
      <c r="D42" s="38"/>
      <c r="E42" s="38"/>
      <c r="F42" s="38"/>
      <c r="G42" s="38"/>
      <c r="H42" s="38"/>
      <c r="I42" s="38"/>
      <c r="J42" s="38"/>
      <c r="K42" s="38"/>
      <c r="L42" s="67">
        <f>'Amgen Financials'!D22/('Amgen Financials'!D43+'Amgen Financials'!D46+'Amgen Financials'!D58)</f>
        <v>0.19815039417828986</v>
      </c>
      <c r="M42" s="67">
        <f>'Amgen Financials'!E22/('Amgen Financials'!E43+'Amgen Financials'!E46+'Amgen Financials'!E58)</f>
        <v>0.17134096001887014</v>
      </c>
      <c r="N42" s="67">
        <f>'Amgen Financials'!F22/('Amgen Financials'!F43+'Amgen Financials'!F46+'Amgen Financials'!F58)</f>
        <v>0.14729185933165037</v>
      </c>
      <c r="O42" s="67">
        <f>'Amgen Financials'!G22/('Amgen Financials'!G43+'Amgen Financials'!G46+'Amgen Financials'!G58)</f>
        <v>0.15378115758343897</v>
      </c>
      <c r="P42" s="38"/>
      <c r="Q42" s="38"/>
      <c r="R42" s="370"/>
    </row>
    <row r="43" spans="2:18" x14ac:dyDescent="0.3">
      <c r="B43" s="369" t="s">
        <v>135</v>
      </c>
      <c r="C43" s="38"/>
      <c r="D43" s="38"/>
      <c r="E43" s="38"/>
      <c r="F43" s="38"/>
      <c r="G43" s="38"/>
      <c r="H43" s="38"/>
      <c r="I43" s="38"/>
      <c r="J43" s="38"/>
      <c r="K43" s="38"/>
      <c r="L43" s="67">
        <f>'Amgen Financials'!D22/('Amgen Financials'!D35+'Analysis- Amgen'!L83)</f>
        <v>0.74451723155796068</v>
      </c>
      <c r="M43" s="67">
        <f>'Amgen Financials'!E22/('Amgen Financials'!E35+'Analysis- Amgen'!M83)</f>
        <v>0.50514603616133513</v>
      </c>
      <c r="N43" s="67">
        <f>'Amgen Financials'!F22/('Amgen Financials'!F35+'Analysis- Amgen'!N83)</f>
        <v>0.47581752119499393</v>
      </c>
      <c r="O43" s="67">
        <f>'Amgen Financials'!G22/('Amgen Financials'!G35+'Analysis- Amgen'!O83)</f>
        <v>0.54938789200067084</v>
      </c>
      <c r="P43" s="38"/>
      <c r="Q43" s="38"/>
      <c r="R43" s="370"/>
    </row>
    <row r="44" spans="2:18" x14ac:dyDescent="0.3">
      <c r="B44" s="369" t="s">
        <v>136</v>
      </c>
      <c r="C44" s="38"/>
      <c r="D44" s="38"/>
      <c r="E44" s="38"/>
      <c r="F44" s="38"/>
      <c r="G44" s="38"/>
      <c r="H44" s="38"/>
      <c r="I44" s="38"/>
      <c r="J44" s="38"/>
      <c r="K44" s="38"/>
      <c r="L44" s="67">
        <f>('Amgen Financials'!D14+'Amgen Financials'!D65)/'Amgen Financials'!D4</f>
        <v>0.54074993579316843</v>
      </c>
      <c r="M44" s="67">
        <f>('Amgen Financials'!E14+'Amgen Financials'!E65)/'Amgen Financials'!E4</f>
        <v>0.5111705475141598</v>
      </c>
      <c r="N44" s="67">
        <f>('Amgen Financials'!F14+'Amgen Financials'!F65)/'Amgen Financials'!F4</f>
        <v>0.43481273336156129</v>
      </c>
      <c r="O44" s="67">
        <f>('Amgen Financials'!G14+'Amgen Financials'!G65)/'Amgen Financials'!G4</f>
        <v>0.46229533107928428</v>
      </c>
      <c r="P44" s="38"/>
      <c r="Q44" s="38"/>
      <c r="R44" s="370"/>
    </row>
    <row r="45" spans="2:18" x14ac:dyDescent="0.3">
      <c r="B45" s="369" t="s">
        <v>137</v>
      </c>
      <c r="C45" s="38"/>
      <c r="D45" s="38"/>
      <c r="E45" s="38"/>
      <c r="F45" s="38"/>
      <c r="G45" s="38"/>
      <c r="H45" s="38"/>
      <c r="I45" s="38"/>
      <c r="J45" s="38"/>
      <c r="K45" s="38"/>
      <c r="L45" s="67">
        <f>'Amgen Financials'!D22/'Amgen Financials'!D4</f>
        <v>0.33567331564078418</v>
      </c>
      <c r="M45" s="67">
        <f>'Amgen Financials'!E22/'Amgen Financials'!E4</f>
        <v>0.2857142857142857</v>
      </c>
      <c r="N45" s="67">
        <f>'Amgen Financials'!F22/'Amgen Financials'!F4</f>
        <v>0.2268370607028754</v>
      </c>
      <c r="O45" s="67">
        <f>'Amgen Financials'!G22/'Amgen Financials'!G4</f>
        <v>0.24890779926300194</v>
      </c>
      <c r="P45" s="38"/>
      <c r="Q45" s="38"/>
      <c r="R45" s="370"/>
    </row>
    <row r="46" spans="2:18" x14ac:dyDescent="0.3">
      <c r="B46" s="369"/>
      <c r="C46" s="38"/>
      <c r="D46" s="38"/>
      <c r="E46" s="38"/>
      <c r="F46" s="38"/>
      <c r="G46" s="38"/>
      <c r="H46" s="38"/>
      <c r="I46" s="38"/>
      <c r="J46" s="38"/>
      <c r="K46" s="38"/>
      <c r="L46" s="38"/>
      <c r="M46" s="38"/>
      <c r="N46" s="38"/>
      <c r="O46" s="38"/>
      <c r="P46" s="38"/>
      <c r="Q46" s="38"/>
      <c r="R46" s="370"/>
    </row>
    <row r="47" spans="2:18" x14ac:dyDescent="0.3">
      <c r="B47" s="529" t="s">
        <v>127</v>
      </c>
      <c r="C47" s="530"/>
      <c r="D47" s="530"/>
      <c r="E47" s="530"/>
      <c r="F47" s="530"/>
      <c r="G47" s="530"/>
      <c r="H47" s="530"/>
      <c r="I47" s="530"/>
      <c r="J47" s="530"/>
      <c r="K47" s="530"/>
      <c r="L47" s="530"/>
      <c r="M47" s="530"/>
      <c r="N47" s="530"/>
      <c r="O47" s="530"/>
      <c r="P47" s="530"/>
      <c r="Q47" s="530"/>
      <c r="R47" s="531"/>
    </row>
    <row r="48" spans="2:18" x14ac:dyDescent="0.3">
      <c r="B48" s="369"/>
      <c r="C48" s="38"/>
      <c r="D48" s="38"/>
      <c r="E48" s="38"/>
      <c r="F48" s="38"/>
      <c r="G48" s="38"/>
      <c r="H48" s="38"/>
      <c r="I48" s="38"/>
      <c r="J48" s="38"/>
      <c r="K48" s="38"/>
      <c r="L48" s="49">
        <f>L39</f>
        <v>43800</v>
      </c>
      <c r="M48" s="49">
        <f t="shared" ref="M48:O48" si="5">M39</f>
        <v>44166</v>
      </c>
      <c r="N48" s="49">
        <f t="shared" si="5"/>
        <v>44532</v>
      </c>
      <c r="O48" s="49">
        <f t="shared" si="5"/>
        <v>44898</v>
      </c>
      <c r="P48" s="38"/>
      <c r="Q48" s="38"/>
      <c r="R48" s="370"/>
    </row>
    <row r="49" spans="2:18" x14ac:dyDescent="0.3">
      <c r="B49" s="369" t="s">
        <v>128</v>
      </c>
      <c r="C49" s="38"/>
      <c r="D49" s="38"/>
      <c r="E49" s="38"/>
      <c r="F49" s="38"/>
      <c r="G49" s="38"/>
      <c r="H49" s="38"/>
      <c r="I49" s="38"/>
      <c r="J49" s="38"/>
      <c r="K49" s="38"/>
      <c r="L49" s="39">
        <f>'Amgen Financials'!D23/'Amgen Financials'!D4</f>
        <v>6.1022172759181581</v>
      </c>
      <c r="M49" s="39">
        <f>'Amgen Financials'!E23/'Amgen Financials'!E4</f>
        <v>5.264710509754563</v>
      </c>
      <c r="N49" s="39">
        <f>'Amgen Financials'!F23/'Amgen Financials'!F4</f>
        <v>4.8774009777127683</v>
      </c>
      <c r="O49" s="39">
        <f>'Amgen Financials'!G23/'Amgen Financials'!G4</f>
        <v>5.3234813661056872</v>
      </c>
      <c r="P49" s="38"/>
      <c r="Q49" s="38"/>
      <c r="R49" s="370"/>
    </row>
    <row r="50" spans="2:18" x14ac:dyDescent="0.3">
      <c r="B50" s="369" t="s">
        <v>129</v>
      </c>
      <c r="C50" s="38"/>
      <c r="D50" s="38"/>
      <c r="E50" s="38"/>
      <c r="F50" s="38"/>
      <c r="G50" s="38"/>
      <c r="H50" s="38"/>
      <c r="I50" s="38"/>
      <c r="J50" s="38"/>
      <c r="K50" s="38"/>
      <c r="L50" s="39">
        <f>'Amgen Financials'!D23/'Amgen Financials'!D22</f>
        <v>18.179035960214232</v>
      </c>
      <c r="M50" s="39">
        <f>'Amgen Financials'!E23/'Amgen Financials'!E22</f>
        <v>18.42648678414097</v>
      </c>
      <c r="N50" s="39">
        <f>'Amgen Financials'!F23/'Amgen Financials'!F22</f>
        <v>21.501781774987272</v>
      </c>
      <c r="O50" s="39">
        <f>'Amgen Financials'!G23/'Amgen Financials'!G22</f>
        <v>21.387362637362639</v>
      </c>
      <c r="P50" s="38"/>
      <c r="Q50" s="38"/>
      <c r="R50" s="370"/>
    </row>
    <row r="51" spans="2:18" x14ac:dyDescent="0.3">
      <c r="B51" s="369" t="s">
        <v>140</v>
      </c>
      <c r="C51" s="38"/>
      <c r="D51" s="38"/>
      <c r="E51" s="38"/>
      <c r="F51" s="38"/>
      <c r="G51" s="38"/>
      <c r="H51" s="38"/>
      <c r="I51" s="38"/>
      <c r="J51" s="38"/>
      <c r="K51" s="38"/>
      <c r="L51" s="39">
        <f>'Amgen Financials'!D23/'Amgen Financials'!D72</f>
        <v>15.580327868852459</v>
      </c>
      <c r="M51" s="39">
        <f>'Amgen Financials'!E23/'Amgen Financials'!E72</f>
        <v>12.751262265409165</v>
      </c>
      <c r="N51" s="39">
        <f>'Amgen Financials'!F23/'Amgen Financials'!F72</f>
        <v>13.682107763740417</v>
      </c>
      <c r="O51" s="39">
        <f>'Amgen Financials'!G23/'Amgen Financials'!G72</f>
        <v>14.415183623084046</v>
      </c>
      <c r="P51" s="38"/>
      <c r="Q51" s="38"/>
      <c r="R51" s="370"/>
    </row>
    <row r="52" spans="2:18" x14ac:dyDescent="0.3">
      <c r="B52" s="369" t="s">
        <v>130</v>
      </c>
      <c r="C52" s="38"/>
      <c r="D52" s="38"/>
      <c r="E52" s="38"/>
      <c r="F52" s="38"/>
      <c r="G52" s="38"/>
      <c r="H52" s="38"/>
      <c r="I52" s="38"/>
      <c r="J52" s="38"/>
      <c r="K52" s="38"/>
      <c r="L52" s="39">
        <f>'Amgen Financials'!D23/'Amgen Financials'!D58</f>
        <v>14.737930321513492</v>
      </c>
      <c r="M52" s="39">
        <f>'Amgen Financials'!E23/'Amgen Financials'!E58</f>
        <v>14.225741311510257</v>
      </c>
      <c r="N52" s="39">
        <f>'Amgen Financials'!F23/'Amgen Financials'!F58</f>
        <v>18.911940298507464</v>
      </c>
      <c r="O52" s="39">
        <f>'Amgen Financials'!G23/'Amgen Financials'!G58</f>
        <v>38.276427205681507</v>
      </c>
      <c r="P52" s="38"/>
      <c r="Q52" s="38"/>
      <c r="R52" s="370"/>
    </row>
    <row r="53" spans="2:18" x14ac:dyDescent="0.3">
      <c r="B53" s="369"/>
      <c r="C53" s="38"/>
      <c r="D53" s="38"/>
      <c r="E53" s="38"/>
      <c r="F53" s="38"/>
      <c r="G53" s="38"/>
      <c r="H53" s="38"/>
      <c r="I53" s="38"/>
      <c r="J53" s="38"/>
      <c r="K53" s="38"/>
      <c r="L53" s="38"/>
      <c r="M53" s="38"/>
      <c r="N53" s="38"/>
      <c r="O53" s="38"/>
      <c r="P53" s="38"/>
      <c r="Q53" s="38"/>
      <c r="R53" s="370"/>
    </row>
    <row r="54" spans="2:18" x14ac:dyDescent="0.3">
      <c r="B54" s="529" t="s">
        <v>264</v>
      </c>
      <c r="C54" s="530"/>
      <c r="D54" s="530"/>
      <c r="E54" s="530"/>
      <c r="F54" s="530"/>
      <c r="G54" s="530"/>
      <c r="H54" s="530"/>
      <c r="I54" s="530"/>
      <c r="J54" s="530"/>
      <c r="K54" s="530"/>
      <c r="L54" s="530"/>
      <c r="M54" s="530"/>
      <c r="N54" s="530"/>
      <c r="O54" s="530"/>
      <c r="P54" s="530"/>
      <c r="Q54" s="530"/>
      <c r="R54" s="531"/>
    </row>
    <row r="55" spans="2:18" x14ac:dyDescent="0.3">
      <c r="B55" s="369"/>
      <c r="C55" s="38"/>
      <c r="D55" s="38"/>
      <c r="E55" s="38"/>
      <c r="F55" s="38"/>
      <c r="G55" s="38"/>
      <c r="H55" s="38"/>
      <c r="I55" s="38"/>
      <c r="J55" s="38"/>
      <c r="K55" s="38"/>
      <c r="L55" s="49">
        <f>L48</f>
        <v>43800</v>
      </c>
      <c r="M55" s="49">
        <f t="shared" ref="M55:O55" si="6">M48</f>
        <v>44166</v>
      </c>
      <c r="N55" s="49">
        <f t="shared" si="6"/>
        <v>44532</v>
      </c>
      <c r="O55" s="49">
        <f t="shared" si="6"/>
        <v>44898</v>
      </c>
      <c r="P55" s="38"/>
      <c r="Q55" s="38"/>
      <c r="R55" s="370"/>
    </row>
    <row r="56" spans="2:18" x14ac:dyDescent="0.3">
      <c r="B56" s="369" t="s">
        <v>23</v>
      </c>
      <c r="C56" s="38"/>
      <c r="D56" s="38"/>
      <c r="E56" s="38"/>
      <c r="F56" s="38"/>
      <c r="G56" s="38"/>
      <c r="H56" s="38"/>
      <c r="I56" s="38"/>
      <c r="J56" s="38"/>
      <c r="K56" s="38"/>
      <c r="L56" s="51">
        <f>'Amgen Financials'!D22</f>
        <v>7842000</v>
      </c>
      <c r="M56" s="51">
        <f>'Amgen Financials'!E22</f>
        <v>7264000</v>
      </c>
      <c r="N56" s="51">
        <f>'Amgen Financials'!F22</f>
        <v>5893000</v>
      </c>
      <c r="O56" s="51">
        <f>'Amgen Financials'!G22</f>
        <v>6552000</v>
      </c>
      <c r="P56" s="38"/>
      <c r="Q56" s="38"/>
      <c r="R56" s="370"/>
    </row>
    <row r="57" spans="2:18" x14ac:dyDescent="0.3">
      <c r="B57" s="369" t="s">
        <v>139</v>
      </c>
      <c r="C57" s="38"/>
      <c r="D57" s="38"/>
      <c r="E57" s="38"/>
      <c r="F57" s="38"/>
      <c r="G57" s="38"/>
      <c r="H57" s="38"/>
      <c r="I57" s="38"/>
      <c r="J57" s="38"/>
      <c r="K57" s="38"/>
      <c r="L57" s="51">
        <f>'Amgen Financials'!D4</f>
        <v>23362000</v>
      </c>
      <c r="M57" s="51">
        <f>'Amgen Financials'!E4</f>
        <v>25424000</v>
      </c>
      <c r="N57" s="51">
        <f>'Amgen Financials'!F4</f>
        <v>25979000</v>
      </c>
      <c r="O57" s="51">
        <f>'Amgen Financials'!G4</f>
        <v>26323000</v>
      </c>
      <c r="P57" s="38"/>
      <c r="Q57" s="38"/>
      <c r="R57" s="370"/>
    </row>
    <row r="58" spans="2:18" x14ac:dyDescent="0.3">
      <c r="B58" s="369" t="s">
        <v>39</v>
      </c>
      <c r="C58" s="38"/>
      <c r="D58" s="38"/>
      <c r="E58" s="38"/>
      <c r="F58" s="38"/>
      <c r="G58" s="38"/>
      <c r="H58" s="38"/>
      <c r="I58" s="38"/>
      <c r="J58" s="38"/>
      <c r="K58" s="38"/>
      <c r="L58" s="51">
        <f>'Amgen Financials'!D40</f>
        <v>59707000</v>
      </c>
      <c r="M58" s="51">
        <f>'Amgen Financials'!E40</f>
        <v>62948000</v>
      </c>
      <c r="N58" s="51">
        <f>'Amgen Financials'!F40</f>
        <v>61165000</v>
      </c>
      <c r="O58" s="51">
        <f>'Amgen Financials'!G40</f>
        <v>65121000</v>
      </c>
      <c r="P58" s="38"/>
      <c r="Q58" s="38"/>
      <c r="R58" s="370"/>
    </row>
    <row r="59" spans="2:18" x14ac:dyDescent="0.3">
      <c r="B59" s="369" t="s">
        <v>141</v>
      </c>
      <c r="C59" s="38"/>
      <c r="D59" s="38"/>
      <c r="E59" s="38"/>
      <c r="F59" s="38"/>
      <c r="G59" s="38"/>
      <c r="H59" s="38"/>
      <c r="I59" s="38"/>
      <c r="J59" s="38"/>
      <c r="K59" s="38"/>
      <c r="L59" s="51">
        <f>'Amgen Financials'!D58</f>
        <v>9673000</v>
      </c>
      <c r="M59" s="51">
        <f>'Amgen Financials'!E58</f>
        <v>9409000</v>
      </c>
      <c r="N59" s="51">
        <f>'Amgen Financials'!F58</f>
        <v>6700000</v>
      </c>
      <c r="O59" s="51">
        <f>'Amgen Financials'!G58</f>
        <v>3661000</v>
      </c>
      <c r="P59" s="38"/>
      <c r="Q59" s="38"/>
      <c r="R59" s="370"/>
    </row>
    <row r="60" spans="2:18" x14ac:dyDescent="0.3">
      <c r="B60" s="369" t="s">
        <v>142</v>
      </c>
      <c r="C60" s="38"/>
      <c r="D60" s="38"/>
      <c r="E60" s="38"/>
      <c r="F60" s="38"/>
      <c r="G60" s="38"/>
      <c r="H60" s="38"/>
      <c r="I60" s="38"/>
      <c r="J60" s="38"/>
      <c r="K60" s="38"/>
      <c r="L60" s="307">
        <f>L56/L57</f>
        <v>0.33567331564078418</v>
      </c>
      <c r="M60" s="307">
        <f t="shared" ref="M60:O60" si="7">M56/M57</f>
        <v>0.2857142857142857</v>
      </c>
      <c r="N60" s="307">
        <f t="shared" si="7"/>
        <v>0.2268370607028754</v>
      </c>
      <c r="O60" s="307">
        <f t="shared" si="7"/>
        <v>0.24890779926300194</v>
      </c>
      <c r="P60" s="38"/>
      <c r="Q60" s="38"/>
      <c r="R60" s="370"/>
    </row>
    <row r="61" spans="2:18" x14ac:dyDescent="0.3">
      <c r="B61" s="369" t="s">
        <v>143</v>
      </c>
      <c r="C61" s="38"/>
      <c r="D61" s="38"/>
      <c r="E61" s="38"/>
      <c r="F61" s="38"/>
      <c r="G61" s="38"/>
      <c r="H61" s="38"/>
      <c r="I61" s="38"/>
      <c r="J61" s="38"/>
      <c r="K61" s="38"/>
      <c r="L61" s="39">
        <f>L57/L58</f>
        <v>0.39127740465942018</v>
      </c>
      <c r="M61" s="39">
        <f t="shared" ref="M61:O61" si="8">M57/M58</f>
        <v>0.40388892419139605</v>
      </c>
      <c r="N61" s="39">
        <f t="shared" si="8"/>
        <v>0.42473636883838795</v>
      </c>
      <c r="O61" s="39">
        <f t="shared" si="8"/>
        <v>0.40421676571305726</v>
      </c>
      <c r="P61" s="38"/>
      <c r="Q61" s="38"/>
      <c r="R61" s="370"/>
    </row>
    <row r="62" spans="2:18" x14ac:dyDescent="0.3">
      <c r="B62" s="369" t="s">
        <v>144</v>
      </c>
      <c r="C62" s="38"/>
      <c r="D62" s="38"/>
      <c r="E62" s="38"/>
      <c r="F62" s="38"/>
      <c r="G62" s="38"/>
      <c r="H62" s="38"/>
      <c r="I62" s="38"/>
      <c r="J62" s="38"/>
      <c r="K62" s="38"/>
      <c r="L62" s="39">
        <f>L58/L59</f>
        <v>6.1725421275715906</v>
      </c>
      <c r="M62" s="39">
        <f t="shared" ref="M62:O62" si="9">M58/M59</f>
        <v>6.6901902433839942</v>
      </c>
      <c r="N62" s="39">
        <f t="shared" si="9"/>
        <v>9.129104477611941</v>
      </c>
      <c r="O62" s="39">
        <f t="shared" si="9"/>
        <v>17.787762906309752</v>
      </c>
      <c r="P62" s="38"/>
      <c r="Q62" s="38"/>
      <c r="R62" s="370"/>
    </row>
    <row r="63" spans="2:18" x14ac:dyDescent="0.3">
      <c r="B63" s="369" t="s">
        <v>145</v>
      </c>
      <c r="C63" s="38"/>
      <c r="D63" s="38"/>
      <c r="E63" s="38"/>
      <c r="F63" s="38"/>
      <c r="G63" s="38"/>
      <c r="H63" s="38"/>
      <c r="I63" s="38"/>
      <c r="J63" s="38"/>
      <c r="K63" s="38"/>
      <c r="L63" s="307">
        <f>L60*L61*L62</f>
        <v>0.81071022433577999</v>
      </c>
      <c r="M63" s="307">
        <f t="shared" ref="M63:O63" si="10">M60*M61*M62</f>
        <v>0.77202678286746729</v>
      </c>
      <c r="N63" s="307">
        <f t="shared" si="10"/>
        <v>0.87955223880597022</v>
      </c>
      <c r="O63" s="307">
        <f t="shared" si="10"/>
        <v>1.7896749521988529</v>
      </c>
      <c r="P63" s="38"/>
      <c r="Q63" s="38"/>
      <c r="R63" s="370"/>
    </row>
    <row r="64" spans="2:18" x14ac:dyDescent="0.3">
      <c r="B64" s="369"/>
      <c r="C64" s="38"/>
      <c r="D64" s="38"/>
      <c r="E64" s="38"/>
      <c r="F64" s="38"/>
      <c r="G64" s="38"/>
      <c r="H64" s="38"/>
      <c r="I64" s="38"/>
      <c r="J64" s="38"/>
      <c r="K64" s="38"/>
      <c r="L64" s="38"/>
      <c r="M64" s="38"/>
      <c r="N64" s="38"/>
      <c r="O64" s="38"/>
      <c r="P64" s="38"/>
      <c r="Q64" s="38"/>
      <c r="R64" s="370"/>
    </row>
    <row r="65" spans="2:18" x14ac:dyDescent="0.3">
      <c r="B65" s="529" t="s">
        <v>325</v>
      </c>
      <c r="C65" s="530"/>
      <c r="D65" s="530"/>
      <c r="E65" s="530"/>
      <c r="F65" s="530"/>
      <c r="G65" s="530"/>
      <c r="H65" s="530"/>
      <c r="I65" s="530"/>
      <c r="J65" s="530"/>
      <c r="K65" s="530"/>
      <c r="L65" s="530"/>
      <c r="M65" s="530"/>
      <c r="N65" s="530"/>
      <c r="O65" s="530"/>
      <c r="P65" s="530"/>
      <c r="Q65" s="530"/>
      <c r="R65" s="531"/>
    </row>
    <row r="66" spans="2:18" x14ac:dyDescent="0.3">
      <c r="B66" s="369"/>
      <c r="C66" s="38"/>
      <c r="D66" s="38"/>
      <c r="E66" s="38"/>
      <c r="F66" s="38"/>
      <c r="G66" s="38"/>
      <c r="H66" s="38"/>
      <c r="I66" s="38"/>
      <c r="J66" s="38"/>
      <c r="K66" s="38"/>
      <c r="L66" s="49">
        <f>L55</f>
        <v>43800</v>
      </c>
      <c r="M66" s="49">
        <f t="shared" ref="M66:O66" si="11">M55</f>
        <v>44166</v>
      </c>
      <c r="N66" s="49">
        <f t="shared" si="11"/>
        <v>44532</v>
      </c>
      <c r="O66" s="49">
        <f t="shared" si="11"/>
        <v>44898</v>
      </c>
      <c r="P66" s="38"/>
      <c r="Q66" s="38"/>
      <c r="R66" s="370"/>
    </row>
    <row r="67" spans="2:18" x14ac:dyDescent="0.3">
      <c r="B67" s="369" t="s">
        <v>23</v>
      </c>
      <c r="C67" s="38"/>
      <c r="D67" s="38"/>
      <c r="E67" s="38"/>
      <c r="F67" s="38"/>
      <c r="G67" s="38"/>
      <c r="H67" s="38"/>
      <c r="I67" s="38"/>
      <c r="J67" s="38"/>
      <c r="K67" s="38"/>
      <c r="L67" s="51">
        <f>L56</f>
        <v>7842000</v>
      </c>
      <c r="M67" s="51">
        <f t="shared" ref="M67:O67" si="12">M56</f>
        <v>7264000</v>
      </c>
      <c r="N67" s="51">
        <f t="shared" si="12"/>
        <v>5893000</v>
      </c>
      <c r="O67" s="51">
        <f t="shared" si="12"/>
        <v>6552000</v>
      </c>
      <c r="P67" s="38"/>
      <c r="Q67" s="38"/>
      <c r="R67" s="370"/>
    </row>
    <row r="68" spans="2:18" x14ac:dyDescent="0.3">
      <c r="B68" s="369" t="s">
        <v>139</v>
      </c>
      <c r="C68" s="38"/>
      <c r="D68" s="38"/>
      <c r="E68" s="38"/>
      <c r="F68" s="38"/>
      <c r="G68" s="38"/>
      <c r="H68" s="38"/>
      <c r="I68" s="38"/>
      <c r="J68" s="38"/>
      <c r="K68" s="38"/>
      <c r="L68" s="51">
        <f t="shared" ref="L68:O69" si="13">L57</f>
        <v>23362000</v>
      </c>
      <c r="M68" s="51">
        <f t="shared" si="13"/>
        <v>25424000</v>
      </c>
      <c r="N68" s="51">
        <f t="shared" si="13"/>
        <v>25979000</v>
      </c>
      <c r="O68" s="51">
        <f t="shared" si="13"/>
        <v>26323000</v>
      </c>
      <c r="P68" s="38"/>
      <c r="Q68" s="38"/>
      <c r="R68" s="370"/>
    </row>
    <row r="69" spans="2:18" x14ac:dyDescent="0.3">
      <c r="B69" s="369" t="s">
        <v>39</v>
      </c>
      <c r="C69" s="38"/>
      <c r="D69" s="38"/>
      <c r="E69" s="38"/>
      <c r="F69" s="38"/>
      <c r="G69" s="38"/>
      <c r="H69" s="38"/>
      <c r="I69" s="38"/>
      <c r="J69" s="38"/>
      <c r="K69" s="38"/>
      <c r="L69" s="51">
        <f t="shared" si="13"/>
        <v>59707000</v>
      </c>
      <c r="M69" s="51">
        <f t="shared" si="13"/>
        <v>62948000</v>
      </c>
      <c r="N69" s="51">
        <f t="shared" si="13"/>
        <v>61165000</v>
      </c>
      <c r="O69" s="51">
        <f t="shared" si="13"/>
        <v>65121000</v>
      </c>
      <c r="P69" s="38"/>
      <c r="Q69" s="38"/>
      <c r="R69" s="370"/>
    </row>
    <row r="70" spans="2:18" x14ac:dyDescent="0.3">
      <c r="B70" s="369" t="s">
        <v>142</v>
      </c>
      <c r="C70" s="38"/>
      <c r="D70" s="38"/>
      <c r="E70" s="38"/>
      <c r="F70" s="38"/>
      <c r="G70" s="38"/>
      <c r="H70" s="38"/>
      <c r="I70" s="38"/>
      <c r="J70" s="38"/>
      <c r="K70" s="38"/>
      <c r="L70" s="67">
        <f>L67/L68</f>
        <v>0.33567331564078418</v>
      </c>
      <c r="M70" s="67">
        <f t="shared" ref="M70:O70" si="14">M67/M68</f>
        <v>0.2857142857142857</v>
      </c>
      <c r="N70" s="67">
        <f t="shared" si="14"/>
        <v>0.2268370607028754</v>
      </c>
      <c r="O70" s="67">
        <f t="shared" si="14"/>
        <v>0.24890779926300194</v>
      </c>
      <c r="P70" s="38"/>
      <c r="Q70" s="38"/>
      <c r="R70" s="370"/>
    </row>
    <row r="71" spans="2:18" x14ac:dyDescent="0.3">
      <c r="B71" s="369" t="s">
        <v>143</v>
      </c>
      <c r="C71" s="38"/>
      <c r="D71" s="38"/>
      <c r="E71" s="38"/>
      <c r="F71" s="38"/>
      <c r="G71" s="38"/>
      <c r="H71" s="38"/>
      <c r="I71" s="38"/>
      <c r="J71" s="38"/>
      <c r="K71" s="38"/>
      <c r="L71" s="39">
        <f>L68/L69</f>
        <v>0.39127740465942018</v>
      </c>
      <c r="M71" s="39">
        <f t="shared" ref="M71:O71" si="15">M68/M69</f>
        <v>0.40388892419139605</v>
      </c>
      <c r="N71" s="39">
        <f t="shared" si="15"/>
        <v>0.42473636883838795</v>
      </c>
      <c r="O71" s="39">
        <f t="shared" si="15"/>
        <v>0.40421676571305726</v>
      </c>
      <c r="P71" s="38"/>
      <c r="Q71" s="38"/>
      <c r="R71" s="370"/>
    </row>
    <row r="72" spans="2:18" x14ac:dyDescent="0.3">
      <c r="B72" s="369" t="s">
        <v>147</v>
      </c>
      <c r="C72" s="38"/>
      <c r="D72" s="38"/>
      <c r="E72" s="38"/>
      <c r="F72" s="38"/>
      <c r="G72" s="38"/>
      <c r="H72" s="38"/>
      <c r="I72" s="38"/>
      <c r="J72" s="38"/>
      <c r="K72" s="38"/>
      <c r="L72" s="307">
        <f>L70*L71</f>
        <v>0.13134138375734838</v>
      </c>
      <c r="M72" s="307">
        <f t="shared" ref="M72:O72" si="16">M70*M71</f>
        <v>0.11539683548325601</v>
      </c>
      <c r="N72" s="307">
        <f t="shared" si="16"/>
        <v>9.6345949480912282E-2</v>
      </c>
      <c r="O72" s="307">
        <f t="shared" si="16"/>
        <v>0.10061270557884554</v>
      </c>
      <c r="P72" s="38"/>
      <c r="Q72" s="38"/>
      <c r="R72" s="370"/>
    </row>
    <row r="73" spans="2:18" x14ac:dyDescent="0.3">
      <c r="B73" s="369"/>
      <c r="C73" s="38"/>
      <c r="D73" s="38"/>
      <c r="E73" s="38"/>
      <c r="F73" s="38"/>
      <c r="G73" s="38"/>
      <c r="H73" s="38"/>
      <c r="I73" s="38"/>
      <c r="J73" s="38"/>
      <c r="K73" s="38"/>
      <c r="L73" s="38"/>
      <c r="M73" s="38"/>
      <c r="N73" s="38"/>
      <c r="O73" s="38"/>
      <c r="P73" s="38"/>
      <c r="Q73" s="38"/>
      <c r="R73" s="370"/>
    </row>
    <row r="74" spans="2:18" x14ac:dyDescent="0.3">
      <c r="B74" s="378" t="s">
        <v>194</v>
      </c>
      <c r="C74" s="38"/>
      <c r="D74" s="38"/>
      <c r="E74" s="38"/>
      <c r="F74" s="38"/>
      <c r="G74" s="38"/>
      <c r="H74" s="38"/>
      <c r="I74" s="38"/>
      <c r="J74" s="38"/>
      <c r="K74" s="38"/>
      <c r="L74" s="38"/>
      <c r="M74" s="38"/>
      <c r="N74" s="38"/>
      <c r="O74" s="38"/>
      <c r="P74" s="38"/>
      <c r="Q74" s="38"/>
      <c r="R74" s="370"/>
    </row>
    <row r="75" spans="2:18" x14ac:dyDescent="0.3">
      <c r="B75" s="369" t="s">
        <v>326</v>
      </c>
      <c r="C75" s="38"/>
      <c r="D75" s="38"/>
      <c r="E75" s="38"/>
      <c r="F75" s="38"/>
      <c r="G75" s="38"/>
      <c r="H75" s="38"/>
      <c r="I75" s="38"/>
      <c r="J75" s="38"/>
      <c r="K75" s="38"/>
      <c r="L75" s="38"/>
      <c r="M75" s="38"/>
      <c r="N75" s="38"/>
      <c r="O75" s="38"/>
      <c r="P75" s="38"/>
      <c r="Q75" s="38"/>
      <c r="R75" s="370"/>
    </row>
    <row r="76" spans="2:18" x14ac:dyDescent="0.3">
      <c r="B76" s="369" t="s">
        <v>327</v>
      </c>
      <c r="C76" s="38"/>
      <c r="D76" s="38"/>
      <c r="E76" s="38"/>
      <c r="F76" s="38"/>
      <c r="G76" s="38"/>
      <c r="H76" s="38"/>
      <c r="I76" s="38"/>
      <c r="J76" s="38"/>
      <c r="K76" s="38"/>
      <c r="L76" s="38"/>
      <c r="M76" s="38"/>
      <c r="N76" s="38"/>
      <c r="O76" s="38"/>
      <c r="P76" s="38"/>
      <c r="Q76" s="38"/>
      <c r="R76" s="370"/>
    </row>
    <row r="77" spans="2:18" ht="15" thickBot="1" x14ac:dyDescent="0.35">
      <c r="B77" s="377" t="s">
        <v>328</v>
      </c>
      <c r="C77" s="373"/>
      <c r="D77" s="373"/>
      <c r="E77" s="373"/>
      <c r="F77" s="373"/>
      <c r="G77" s="373"/>
      <c r="H77" s="373"/>
      <c r="I77" s="373"/>
      <c r="J77" s="373"/>
      <c r="K77" s="373"/>
      <c r="L77" s="373"/>
      <c r="M77" s="373"/>
      <c r="N77" s="373"/>
      <c r="O77" s="373"/>
      <c r="P77" s="373"/>
      <c r="Q77" s="373"/>
      <c r="R77" s="376"/>
    </row>
    <row r="79" spans="2:18" x14ac:dyDescent="0.3">
      <c r="B79" s="532" t="s">
        <v>58</v>
      </c>
      <c r="C79" s="533"/>
      <c r="D79" s="533"/>
      <c r="E79" s="533"/>
      <c r="F79" s="533"/>
      <c r="G79" s="533"/>
      <c r="H79" s="533"/>
      <c r="I79" s="533"/>
      <c r="J79" s="533"/>
      <c r="K79" s="533"/>
      <c r="L79" s="533"/>
      <c r="M79" s="533"/>
      <c r="N79" s="533"/>
      <c r="O79" s="533"/>
      <c r="P79" s="533"/>
      <c r="Q79" s="533"/>
      <c r="R79" s="534"/>
    </row>
    <row r="80" spans="2:18" x14ac:dyDescent="0.3">
      <c r="B80" s="369"/>
      <c r="C80" s="38"/>
      <c r="D80" s="38"/>
      <c r="E80" s="38"/>
      <c r="F80" s="38"/>
      <c r="G80" s="38"/>
      <c r="H80" s="38"/>
      <c r="I80" s="38"/>
      <c r="J80" s="38"/>
      <c r="K80" s="38"/>
      <c r="L80" s="38"/>
      <c r="M80" s="38"/>
      <c r="N80" s="38"/>
      <c r="O80" s="38"/>
      <c r="P80" s="38"/>
      <c r="Q80" s="38"/>
      <c r="R80" s="370"/>
    </row>
    <row r="81" spans="2:18" x14ac:dyDescent="0.3">
      <c r="B81" s="529" t="s">
        <v>151</v>
      </c>
      <c r="C81" s="530"/>
      <c r="D81" s="530"/>
      <c r="E81" s="530"/>
      <c r="F81" s="530"/>
      <c r="G81" s="530"/>
      <c r="H81" s="530"/>
      <c r="I81" s="530"/>
      <c r="J81" s="530"/>
      <c r="K81" s="530"/>
      <c r="L81" s="530"/>
      <c r="M81" s="530"/>
      <c r="N81" s="530"/>
      <c r="O81" s="530"/>
      <c r="P81" s="530"/>
      <c r="Q81" s="530"/>
      <c r="R81" s="531"/>
    </row>
    <row r="82" spans="2:18" x14ac:dyDescent="0.3">
      <c r="B82" s="369"/>
      <c r="C82" s="38"/>
      <c r="D82" s="38"/>
      <c r="E82" s="38"/>
      <c r="F82" s="38"/>
      <c r="G82" s="38"/>
      <c r="H82" s="38"/>
      <c r="I82" s="38"/>
      <c r="J82" s="38"/>
      <c r="K82" s="38"/>
      <c r="L82" s="49">
        <f>L66</f>
        <v>43800</v>
      </c>
      <c r="M82" s="49">
        <f t="shared" ref="M82:O82" si="17">M66</f>
        <v>44166</v>
      </c>
      <c r="N82" s="49">
        <f t="shared" si="17"/>
        <v>44532</v>
      </c>
      <c r="O82" s="49">
        <f t="shared" si="17"/>
        <v>44898</v>
      </c>
      <c r="P82" s="38"/>
      <c r="Q82" s="38"/>
      <c r="R82" s="370"/>
    </row>
    <row r="83" spans="2:18" x14ac:dyDescent="0.3">
      <c r="B83" s="369" t="s">
        <v>152</v>
      </c>
      <c r="C83" s="38"/>
      <c r="D83" s="38"/>
      <c r="E83" s="38"/>
      <c r="F83" s="38"/>
      <c r="G83" s="38"/>
      <c r="H83" s="38"/>
      <c r="I83" s="38"/>
      <c r="J83" s="38"/>
      <c r="K83" s="38"/>
      <c r="L83" s="51">
        <f>'Amgen Financials'!D32-'Amgen Financials'!D45</f>
        <v>5605000</v>
      </c>
      <c r="M83" s="51">
        <f>'Amgen Financials'!E32-'Amgen Financials'!E45</f>
        <v>9491000</v>
      </c>
      <c r="N83" s="51">
        <f>'Amgen Financials'!F32-'Amgen Financials'!F45</f>
        <v>7201000</v>
      </c>
      <c r="O83" s="51">
        <f>'Amgen Financials'!G32-'Amgen Financials'!G45</f>
        <v>6499000</v>
      </c>
      <c r="P83" s="38"/>
      <c r="Q83" s="38"/>
      <c r="R83" s="370"/>
    </row>
    <row r="84" spans="2:18" x14ac:dyDescent="0.3">
      <c r="B84" s="369" t="s">
        <v>39</v>
      </c>
      <c r="C84" s="38"/>
      <c r="D84" s="38"/>
      <c r="E84" s="38"/>
      <c r="F84" s="38"/>
      <c r="G84" s="38"/>
      <c r="H84" s="38"/>
      <c r="I84" s="38"/>
      <c r="J84" s="38"/>
      <c r="K84" s="38"/>
      <c r="L84" s="51">
        <f>'Amgen Financials'!D40</f>
        <v>59707000</v>
      </c>
      <c r="M84" s="51">
        <f>'Amgen Financials'!E40</f>
        <v>62948000</v>
      </c>
      <c r="N84" s="51">
        <f>'Amgen Financials'!F40</f>
        <v>61165000</v>
      </c>
      <c r="O84" s="51">
        <f>'Amgen Financials'!G40</f>
        <v>65121000</v>
      </c>
      <c r="P84" s="38"/>
      <c r="Q84" s="38"/>
      <c r="R84" s="370"/>
    </row>
    <row r="85" spans="2:18" x14ac:dyDescent="0.3">
      <c r="B85" s="369" t="s">
        <v>161</v>
      </c>
      <c r="C85" s="38"/>
      <c r="D85" s="38"/>
      <c r="E85" s="38"/>
      <c r="F85" s="38"/>
      <c r="G85" s="38"/>
      <c r="H85" s="38"/>
      <c r="I85" s="38"/>
      <c r="J85" s="38"/>
      <c r="K85" s="38"/>
      <c r="L85" s="39">
        <f>L83/L84</f>
        <v>9.387509002294539E-2</v>
      </c>
      <c r="M85" s="39">
        <f t="shared" ref="M85:O85" si="18">M83/M84</f>
        <v>0.15077524305776197</v>
      </c>
      <c r="N85" s="39">
        <f t="shared" si="18"/>
        <v>0.11773072835772092</v>
      </c>
      <c r="O85" s="39">
        <f t="shared" si="18"/>
        <v>9.9798836012960496E-2</v>
      </c>
      <c r="P85" s="38"/>
      <c r="Q85" s="38"/>
      <c r="R85" s="370"/>
    </row>
    <row r="86" spans="2:18" x14ac:dyDescent="0.3">
      <c r="B86" s="369"/>
      <c r="C86" s="38"/>
      <c r="D86" s="38"/>
      <c r="E86" s="38"/>
      <c r="F86" s="38"/>
      <c r="G86" s="38"/>
      <c r="H86" s="38"/>
      <c r="I86" s="38"/>
      <c r="J86" s="38"/>
      <c r="K86" s="38"/>
      <c r="L86" s="38"/>
      <c r="M86" s="38"/>
      <c r="N86" s="38"/>
      <c r="O86" s="38"/>
      <c r="P86" s="38"/>
      <c r="Q86" s="38"/>
      <c r="R86" s="370"/>
    </row>
    <row r="87" spans="2:18" x14ac:dyDescent="0.3">
      <c r="B87" s="529" t="s">
        <v>153</v>
      </c>
      <c r="C87" s="530"/>
      <c r="D87" s="530"/>
      <c r="E87" s="530"/>
      <c r="F87" s="530"/>
      <c r="G87" s="530"/>
      <c r="H87" s="530"/>
      <c r="I87" s="530"/>
      <c r="J87" s="530"/>
      <c r="K87" s="530"/>
      <c r="L87" s="530"/>
      <c r="M87" s="530"/>
      <c r="N87" s="530"/>
      <c r="O87" s="530"/>
      <c r="P87" s="530"/>
      <c r="Q87" s="530"/>
      <c r="R87" s="531"/>
    </row>
    <row r="88" spans="2:18" x14ac:dyDescent="0.3">
      <c r="B88" s="369"/>
      <c r="C88" s="38"/>
      <c r="D88" s="38"/>
      <c r="E88" s="38"/>
      <c r="F88" s="38"/>
      <c r="G88" s="38"/>
      <c r="H88" s="38"/>
      <c r="I88" s="38"/>
      <c r="J88" s="38"/>
      <c r="K88" s="38"/>
      <c r="L88" s="49">
        <f>L82</f>
        <v>43800</v>
      </c>
      <c r="M88" s="49">
        <f t="shared" ref="M88:O88" si="19">M82</f>
        <v>44166</v>
      </c>
      <c r="N88" s="49">
        <f t="shared" si="19"/>
        <v>44532</v>
      </c>
      <c r="O88" s="49">
        <f t="shared" si="19"/>
        <v>44898</v>
      </c>
      <c r="P88" s="38"/>
      <c r="Q88" s="38"/>
      <c r="R88" s="370"/>
    </row>
    <row r="89" spans="2:18" x14ac:dyDescent="0.3">
      <c r="B89" s="369" t="s">
        <v>186</v>
      </c>
      <c r="C89" s="38"/>
      <c r="D89" s="38"/>
      <c r="E89" s="38"/>
      <c r="F89" s="38"/>
      <c r="G89" s="38"/>
      <c r="H89" s="38"/>
      <c r="I89" s="38"/>
      <c r="J89" s="38"/>
      <c r="K89" s="38"/>
      <c r="L89" s="51">
        <f>'Amgen Financials'!D14</f>
        <v>10427000</v>
      </c>
      <c r="M89" s="51">
        <f>'Amgen Financials'!E14</f>
        <v>9395000</v>
      </c>
      <c r="N89" s="51">
        <f>'Amgen Financials'!F14</f>
        <v>7898000</v>
      </c>
      <c r="O89" s="51">
        <f>'Amgen Financials'!G14</f>
        <v>8752000</v>
      </c>
      <c r="P89" s="38"/>
      <c r="Q89" s="38"/>
      <c r="R89" s="370"/>
    </row>
    <row r="90" spans="2:18" x14ac:dyDescent="0.3">
      <c r="B90" s="369" t="s">
        <v>39</v>
      </c>
      <c r="C90" s="38"/>
      <c r="D90" s="38"/>
      <c r="E90" s="38"/>
      <c r="F90" s="38"/>
      <c r="G90" s="38"/>
      <c r="H90" s="38"/>
      <c r="I90" s="38"/>
      <c r="J90" s="38"/>
      <c r="K90" s="38"/>
      <c r="L90" s="51">
        <f>L84</f>
        <v>59707000</v>
      </c>
      <c r="M90" s="51">
        <f t="shared" ref="M90:O90" si="20">M84</f>
        <v>62948000</v>
      </c>
      <c r="N90" s="51">
        <f t="shared" si="20"/>
        <v>61165000</v>
      </c>
      <c r="O90" s="51">
        <f t="shared" si="20"/>
        <v>65121000</v>
      </c>
      <c r="P90" s="38"/>
      <c r="Q90" s="38"/>
      <c r="R90" s="370"/>
    </row>
    <row r="91" spans="2:18" x14ac:dyDescent="0.3">
      <c r="B91" s="369" t="s">
        <v>237</v>
      </c>
      <c r="C91" s="38"/>
      <c r="D91" s="38"/>
      <c r="E91" s="38"/>
      <c r="F91" s="38"/>
      <c r="G91" s="38"/>
      <c r="H91" s="38"/>
      <c r="I91" s="38"/>
      <c r="J91" s="38"/>
      <c r="K91" s="38"/>
      <c r="L91" s="39">
        <f>L89/L90</f>
        <v>0.17463613981610196</v>
      </c>
      <c r="M91" s="39">
        <f t="shared" ref="M91:O91" si="21">M89/M90</f>
        <v>0.14925017474741056</v>
      </c>
      <c r="N91" s="39">
        <f t="shared" si="21"/>
        <v>0.12912613422709066</v>
      </c>
      <c r="O91" s="39">
        <f t="shared" si="21"/>
        <v>0.13439597057784738</v>
      </c>
      <c r="P91" s="38"/>
      <c r="Q91" s="38"/>
      <c r="R91" s="370"/>
    </row>
    <row r="92" spans="2:18" x14ac:dyDescent="0.3">
      <c r="B92" s="369"/>
      <c r="C92" s="38"/>
      <c r="D92" s="38"/>
      <c r="E92" s="38"/>
      <c r="F92" s="38"/>
      <c r="G92" s="38"/>
      <c r="H92" s="38"/>
      <c r="I92" s="38"/>
      <c r="J92" s="38"/>
      <c r="K92" s="38"/>
      <c r="L92" s="38"/>
      <c r="M92" s="38"/>
      <c r="N92" s="38"/>
      <c r="O92" s="38"/>
      <c r="P92" s="38"/>
      <c r="Q92" s="38"/>
      <c r="R92" s="370"/>
    </row>
    <row r="93" spans="2:18" x14ac:dyDescent="0.3">
      <c r="B93" s="529" t="s">
        <v>154</v>
      </c>
      <c r="C93" s="530"/>
      <c r="D93" s="530"/>
      <c r="E93" s="530"/>
      <c r="F93" s="530"/>
      <c r="G93" s="530"/>
      <c r="H93" s="530"/>
      <c r="I93" s="530"/>
      <c r="J93" s="530"/>
      <c r="K93" s="530"/>
      <c r="L93" s="530"/>
      <c r="M93" s="530"/>
      <c r="N93" s="530"/>
      <c r="O93" s="530"/>
      <c r="P93" s="530"/>
      <c r="Q93" s="530"/>
      <c r="R93" s="531"/>
    </row>
    <row r="94" spans="2:18" x14ac:dyDescent="0.3">
      <c r="B94" s="369"/>
      <c r="C94" s="38"/>
      <c r="D94" s="38"/>
      <c r="E94" s="38"/>
      <c r="F94" s="38"/>
      <c r="G94" s="38"/>
      <c r="H94" s="38"/>
      <c r="I94" s="38"/>
      <c r="J94" s="38"/>
      <c r="K94" s="38"/>
      <c r="L94" s="49">
        <f>L88</f>
        <v>43800</v>
      </c>
      <c r="M94" s="49">
        <f t="shared" ref="M94:O94" si="22">M88</f>
        <v>44166</v>
      </c>
      <c r="N94" s="49">
        <f t="shared" si="22"/>
        <v>44532</v>
      </c>
      <c r="O94" s="49">
        <f t="shared" si="22"/>
        <v>44898</v>
      </c>
      <c r="P94" s="38"/>
      <c r="Q94" s="38"/>
      <c r="R94" s="370"/>
    </row>
    <row r="95" spans="2:18" x14ac:dyDescent="0.3">
      <c r="B95" s="369" t="s">
        <v>53</v>
      </c>
      <c r="C95" s="38"/>
      <c r="D95" s="38"/>
      <c r="E95" s="38"/>
      <c r="F95" s="38"/>
      <c r="G95" s="38"/>
      <c r="H95" s="38"/>
      <c r="I95" s="38"/>
      <c r="J95" s="38"/>
      <c r="K95" s="38"/>
      <c r="L95" s="51">
        <f>'Amgen Financials'!D55</f>
        <v>0</v>
      </c>
      <c r="M95" s="51">
        <f>'Amgen Financials'!E55</f>
        <v>0</v>
      </c>
      <c r="N95" s="51">
        <f>'Amgen Financials'!F55</f>
        <v>0</v>
      </c>
      <c r="O95" s="51">
        <f>'Amgen Financials'!G55</f>
        <v>0</v>
      </c>
      <c r="P95" s="38"/>
      <c r="Q95" s="38"/>
      <c r="R95" s="370"/>
    </row>
    <row r="96" spans="2:18" x14ac:dyDescent="0.3">
      <c r="B96" s="369" t="s">
        <v>39</v>
      </c>
      <c r="C96" s="38"/>
      <c r="D96" s="38"/>
      <c r="E96" s="38"/>
      <c r="F96" s="38"/>
      <c r="G96" s="38"/>
      <c r="H96" s="38"/>
      <c r="I96" s="38"/>
      <c r="J96" s="38"/>
      <c r="K96" s="38"/>
      <c r="L96" s="51">
        <f>L90</f>
        <v>59707000</v>
      </c>
      <c r="M96" s="51">
        <f t="shared" ref="M96:O96" si="23">M90</f>
        <v>62948000</v>
      </c>
      <c r="N96" s="51">
        <f t="shared" si="23"/>
        <v>61165000</v>
      </c>
      <c r="O96" s="51">
        <f t="shared" si="23"/>
        <v>65121000</v>
      </c>
      <c r="P96" s="38"/>
      <c r="Q96" s="38"/>
      <c r="R96" s="370"/>
    </row>
    <row r="97" spans="2:18" x14ac:dyDescent="0.3">
      <c r="B97" s="369" t="s">
        <v>238</v>
      </c>
      <c r="C97" s="38"/>
      <c r="D97" s="38"/>
      <c r="E97" s="38"/>
      <c r="F97" s="38"/>
      <c r="G97" s="38"/>
      <c r="H97" s="38"/>
      <c r="I97" s="38"/>
      <c r="J97" s="38"/>
      <c r="K97" s="38"/>
      <c r="L97" s="39">
        <f>L95/L96</f>
        <v>0</v>
      </c>
      <c r="M97" s="39">
        <f t="shared" ref="M97:O97" si="24">M95/M96</f>
        <v>0</v>
      </c>
      <c r="N97" s="39">
        <f t="shared" si="24"/>
        <v>0</v>
      </c>
      <c r="O97" s="39">
        <f t="shared" si="24"/>
        <v>0</v>
      </c>
      <c r="P97" s="38"/>
      <c r="Q97" s="38"/>
      <c r="R97" s="370"/>
    </row>
    <row r="98" spans="2:18" x14ac:dyDescent="0.3">
      <c r="B98" s="369"/>
      <c r="C98" s="38"/>
      <c r="D98" s="38"/>
      <c r="E98" s="38"/>
      <c r="F98" s="38"/>
      <c r="G98" s="38"/>
      <c r="H98" s="38"/>
      <c r="I98" s="38"/>
      <c r="J98" s="38"/>
      <c r="K98" s="38"/>
      <c r="L98" s="38"/>
      <c r="M98" s="38"/>
      <c r="N98" s="38"/>
      <c r="O98" s="38"/>
      <c r="P98" s="38"/>
      <c r="Q98" s="38"/>
      <c r="R98" s="370"/>
    </row>
    <row r="99" spans="2:18" x14ac:dyDescent="0.3">
      <c r="B99" s="529" t="s">
        <v>156</v>
      </c>
      <c r="C99" s="530"/>
      <c r="D99" s="530"/>
      <c r="E99" s="530"/>
      <c r="F99" s="530"/>
      <c r="G99" s="530"/>
      <c r="H99" s="530"/>
      <c r="I99" s="530"/>
      <c r="J99" s="530"/>
      <c r="K99" s="530"/>
      <c r="L99" s="530"/>
      <c r="M99" s="530"/>
      <c r="N99" s="530"/>
      <c r="O99" s="530"/>
      <c r="P99" s="530"/>
      <c r="Q99" s="530"/>
      <c r="R99" s="531"/>
    </row>
    <row r="100" spans="2:18" x14ac:dyDescent="0.3">
      <c r="B100" s="369"/>
      <c r="C100" s="38"/>
      <c r="D100" s="38"/>
      <c r="E100" s="38"/>
      <c r="F100" s="38"/>
      <c r="G100" s="38"/>
      <c r="H100" s="38"/>
      <c r="I100" s="38"/>
      <c r="J100" s="38"/>
      <c r="K100" s="38"/>
      <c r="L100" s="49">
        <f>L94</f>
        <v>43800</v>
      </c>
      <c r="M100" s="49">
        <f t="shared" ref="M100:O100" si="25">M94</f>
        <v>44166</v>
      </c>
      <c r="N100" s="49">
        <f t="shared" si="25"/>
        <v>44532</v>
      </c>
      <c r="O100" s="49">
        <f t="shared" si="25"/>
        <v>44898</v>
      </c>
      <c r="P100" s="38"/>
      <c r="Q100" s="38"/>
      <c r="R100" s="370"/>
    </row>
    <row r="101" spans="2:18" x14ac:dyDescent="0.3">
      <c r="B101" s="369" t="s">
        <v>213</v>
      </c>
      <c r="C101" s="38"/>
      <c r="D101" s="38"/>
      <c r="E101" s="38"/>
      <c r="F101" s="38"/>
      <c r="G101" s="38"/>
      <c r="H101" s="38"/>
      <c r="I101" s="38"/>
      <c r="J101" s="38"/>
      <c r="K101" s="38"/>
      <c r="L101" s="51">
        <f>'Amgen Financials'!D4</f>
        <v>23362000</v>
      </c>
      <c r="M101" s="51">
        <f>'Amgen Financials'!E4</f>
        <v>25424000</v>
      </c>
      <c r="N101" s="51">
        <f>'Amgen Financials'!F4</f>
        <v>25979000</v>
      </c>
      <c r="O101" s="51">
        <f>'Amgen Financials'!G4</f>
        <v>26323000</v>
      </c>
      <c r="P101" s="38"/>
      <c r="Q101" s="38"/>
      <c r="R101" s="370"/>
    </row>
    <row r="102" spans="2:18" x14ac:dyDescent="0.3">
      <c r="B102" s="369" t="s">
        <v>39</v>
      </c>
      <c r="C102" s="38"/>
      <c r="D102" s="38"/>
      <c r="E102" s="38"/>
      <c r="F102" s="38"/>
      <c r="G102" s="38"/>
      <c r="H102" s="38"/>
      <c r="I102" s="38"/>
      <c r="J102" s="38"/>
      <c r="K102" s="38"/>
      <c r="L102" s="51">
        <f>L96</f>
        <v>59707000</v>
      </c>
      <c r="M102" s="51">
        <f t="shared" ref="M102:O102" si="26">M96</f>
        <v>62948000</v>
      </c>
      <c r="N102" s="51">
        <f t="shared" si="26"/>
        <v>61165000</v>
      </c>
      <c r="O102" s="51">
        <f t="shared" si="26"/>
        <v>65121000</v>
      </c>
      <c r="P102" s="38"/>
      <c r="Q102" s="38"/>
      <c r="R102" s="370"/>
    </row>
    <row r="103" spans="2:18" x14ac:dyDescent="0.3">
      <c r="B103" s="369" t="s">
        <v>239</v>
      </c>
      <c r="C103" s="38"/>
      <c r="D103" s="38"/>
      <c r="E103" s="38"/>
      <c r="F103" s="38"/>
      <c r="G103" s="38"/>
      <c r="H103" s="38"/>
      <c r="I103" s="38"/>
      <c r="J103" s="38"/>
      <c r="K103" s="38"/>
      <c r="L103" s="39">
        <f>L101/L102</f>
        <v>0.39127740465942018</v>
      </c>
      <c r="M103" s="39">
        <f t="shared" ref="M103:O103" si="27">M101/M102</f>
        <v>0.40388892419139605</v>
      </c>
      <c r="N103" s="39">
        <f t="shared" si="27"/>
        <v>0.42473636883838795</v>
      </c>
      <c r="O103" s="39">
        <f t="shared" si="27"/>
        <v>0.40421676571305726</v>
      </c>
      <c r="P103" s="38"/>
      <c r="Q103" s="38"/>
      <c r="R103" s="370"/>
    </row>
    <row r="104" spans="2:18" x14ac:dyDescent="0.3">
      <c r="B104" s="369"/>
      <c r="C104" s="38"/>
      <c r="D104" s="38"/>
      <c r="E104" s="38"/>
      <c r="F104" s="38"/>
      <c r="G104" s="38"/>
      <c r="H104" s="38"/>
      <c r="I104" s="38"/>
      <c r="J104" s="38"/>
      <c r="K104" s="38"/>
      <c r="L104" s="38"/>
      <c r="M104" s="38"/>
      <c r="N104" s="38"/>
      <c r="O104" s="38"/>
      <c r="P104" s="38"/>
      <c r="Q104" s="38"/>
      <c r="R104" s="370"/>
    </row>
    <row r="105" spans="2:18" x14ac:dyDescent="0.3">
      <c r="B105" s="529" t="s">
        <v>224</v>
      </c>
      <c r="C105" s="530"/>
      <c r="D105" s="530"/>
      <c r="E105" s="530"/>
      <c r="F105" s="530"/>
      <c r="G105" s="530"/>
      <c r="H105" s="530"/>
      <c r="I105" s="530"/>
      <c r="J105" s="530"/>
      <c r="K105" s="530"/>
      <c r="L105" s="530"/>
      <c r="M105" s="530"/>
      <c r="N105" s="530"/>
      <c r="O105" s="530"/>
      <c r="P105" s="530"/>
      <c r="Q105" s="530"/>
      <c r="R105" s="531"/>
    </row>
    <row r="106" spans="2:18" x14ac:dyDescent="0.3">
      <c r="B106" s="369"/>
      <c r="C106" s="38"/>
      <c r="D106" s="38"/>
      <c r="E106" s="38"/>
      <c r="F106" s="38"/>
      <c r="G106" s="38"/>
      <c r="H106" s="38"/>
      <c r="I106" s="38"/>
      <c r="J106" s="38"/>
      <c r="K106" s="38"/>
      <c r="L106" s="49">
        <f>L100</f>
        <v>43800</v>
      </c>
      <c r="M106" s="49">
        <f t="shared" ref="M106:O106" si="28">M100</f>
        <v>44166</v>
      </c>
      <c r="N106" s="49">
        <f t="shared" si="28"/>
        <v>44532</v>
      </c>
      <c r="O106" s="49">
        <f t="shared" si="28"/>
        <v>44898</v>
      </c>
      <c r="P106" s="38"/>
      <c r="Q106" s="38"/>
      <c r="R106" s="370"/>
    </row>
    <row r="107" spans="2:18" x14ac:dyDescent="0.3">
      <c r="B107" s="369" t="s">
        <v>160</v>
      </c>
      <c r="C107" s="38"/>
      <c r="D107" s="38"/>
      <c r="E107" s="38"/>
      <c r="F107" s="38"/>
      <c r="G107" s="38"/>
      <c r="H107" s="38"/>
      <c r="I107" s="38"/>
      <c r="J107" s="38"/>
      <c r="K107" s="38"/>
      <c r="L107" s="51">
        <f>'Amgen Financials'!D23</f>
        <v>142560000</v>
      </c>
      <c r="M107" s="51">
        <f>'Amgen Financials'!E23</f>
        <v>133850000</v>
      </c>
      <c r="N107" s="51">
        <f>'Amgen Financials'!F23</f>
        <v>126710000</v>
      </c>
      <c r="O107" s="51">
        <f>'Amgen Financials'!G23</f>
        <v>140130000</v>
      </c>
      <c r="P107" s="38"/>
      <c r="Q107" s="38"/>
      <c r="R107" s="370"/>
    </row>
    <row r="108" spans="2:18" x14ac:dyDescent="0.3">
      <c r="B108" s="369" t="s">
        <v>159</v>
      </c>
      <c r="C108" s="38"/>
      <c r="D108" s="38"/>
      <c r="E108" s="38"/>
      <c r="F108" s="38"/>
      <c r="G108" s="38"/>
      <c r="H108" s="38"/>
      <c r="I108" s="38"/>
      <c r="J108" s="38"/>
      <c r="K108" s="38"/>
      <c r="L108" s="51">
        <f>'Amgen Financials'!D46</f>
        <v>26950000</v>
      </c>
      <c r="M108" s="51">
        <f>'Amgen Financials'!E46</f>
        <v>32895000</v>
      </c>
      <c r="N108" s="51">
        <f>'Amgen Financials'!F46</f>
        <v>33222000</v>
      </c>
      <c r="O108" s="51">
        <f>'Amgen Financials'!G46</f>
        <v>37354000</v>
      </c>
      <c r="P108" s="38"/>
      <c r="Q108" s="38"/>
      <c r="R108" s="370"/>
    </row>
    <row r="109" spans="2:18" ht="15" thickBot="1" x14ac:dyDescent="0.35">
      <c r="B109" s="377" t="s">
        <v>240</v>
      </c>
      <c r="C109" s="373"/>
      <c r="D109" s="373"/>
      <c r="E109" s="373"/>
      <c r="F109" s="373"/>
      <c r="G109" s="373"/>
      <c r="H109" s="373"/>
      <c r="I109" s="373"/>
      <c r="J109" s="373"/>
      <c r="K109" s="373"/>
      <c r="L109" s="374">
        <f>L107/L108</f>
        <v>5.2897959183673473</v>
      </c>
      <c r="M109" s="374">
        <f t="shared" ref="M109:O109" si="29">M107/M108</f>
        <v>4.0690074479404164</v>
      </c>
      <c r="N109" s="374">
        <f t="shared" si="29"/>
        <v>3.8140388898922399</v>
      </c>
      <c r="O109" s="374">
        <f t="shared" si="29"/>
        <v>3.7514054719708732</v>
      </c>
      <c r="P109" s="373"/>
      <c r="Q109" s="373"/>
      <c r="R109" s="376"/>
    </row>
    <row r="111" spans="2:18" x14ac:dyDescent="0.3">
      <c r="B111" s="532" t="s">
        <v>166</v>
      </c>
      <c r="C111" s="533"/>
      <c r="D111" s="533"/>
      <c r="E111" s="533"/>
      <c r="F111" s="533"/>
      <c r="G111" s="533"/>
      <c r="H111" s="533"/>
      <c r="I111" s="533"/>
      <c r="J111" s="533"/>
      <c r="K111" s="533"/>
      <c r="L111" s="533"/>
      <c r="M111" s="533"/>
      <c r="N111" s="533"/>
      <c r="O111" s="533"/>
      <c r="P111" s="533"/>
      <c r="Q111" s="533"/>
      <c r="R111" s="534"/>
    </row>
    <row r="112" spans="2:18" x14ac:dyDescent="0.3">
      <c r="B112" s="369"/>
      <c r="C112" s="38"/>
      <c r="D112" s="88" t="s">
        <v>169</v>
      </c>
      <c r="E112" s="88" t="s">
        <v>170</v>
      </c>
      <c r="F112" s="88" t="s">
        <v>171</v>
      </c>
      <c r="G112" s="88" t="s">
        <v>172</v>
      </c>
      <c r="H112" s="88" t="s">
        <v>173</v>
      </c>
      <c r="I112" s="38"/>
      <c r="J112" s="38"/>
      <c r="K112" s="38"/>
      <c r="L112" s="38"/>
      <c r="M112" s="38"/>
      <c r="N112" s="38"/>
      <c r="O112" s="37" t="s">
        <v>166</v>
      </c>
      <c r="P112" s="38"/>
      <c r="Q112" s="37" t="s">
        <v>174</v>
      </c>
      <c r="R112" s="370"/>
    </row>
    <row r="113" spans="2:18" x14ac:dyDescent="0.3">
      <c r="B113" s="369" t="s">
        <v>226</v>
      </c>
      <c r="C113" s="38" t="s">
        <v>168</v>
      </c>
      <c r="D113" s="88">
        <v>1.2</v>
      </c>
      <c r="E113" s="88">
        <v>3.3</v>
      </c>
      <c r="F113" s="88">
        <v>1.4</v>
      </c>
      <c r="G113" s="88">
        <v>1</v>
      </c>
      <c r="H113" s="88">
        <v>0.6</v>
      </c>
      <c r="I113" s="38"/>
      <c r="J113" s="38"/>
      <c r="K113" s="38"/>
      <c r="L113" s="38"/>
      <c r="M113" s="38"/>
      <c r="N113" s="38"/>
      <c r="O113" s="38"/>
      <c r="P113" s="38"/>
      <c r="Q113" s="38"/>
      <c r="R113" s="370"/>
    </row>
    <row r="114" spans="2:18" x14ac:dyDescent="0.3">
      <c r="B114" s="371">
        <f t="array" ref="B114:B117">TRANSPOSE(L106:O106)</f>
        <v>43800</v>
      </c>
      <c r="C114" s="38"/>
      <c r="D114" s="39">
        <f t="array" ref="D114:D117">TRANSPOSE(L85:O85)</f>
        <v>9.387509002294539E-2</v>
      </c>
      <c r="E114" s="39">
        <f t="array" ref="E114:E117">TRANSPOSE(L91:O91)</f>
        <v>0.17463613981610196</v>
      </c>
      <c r="F114" s="39">
        <f t="array" ref="F114:F117">TRANSPOSE(L97:O97)</f>
        <v>0</v>
      </c>
      <c r="G114" s="39">
        <f t="array" ref="G114:G117">TRANSPOSE(L103:O103)</f>
        <v>0.39127740465942018</v>
      </c>
      <c r="H114" s="39">
        <f t="array" ref="H114:H117">TRANSPOSE(L109:O109)</f>
        <v>5.2897959183673473</v>
      </c>
      <c r="I114" s="38"/>
      <c r="J114" s="38"/>
      <c r="K114" s="38"/>
      <c r="L114" s="38"/>
      <c r="M114" s="38"/>
      <c r="N114" s="38"/>
      <c r="O114" s="66">
        <f>SUMPRODUCT(D114:H114,$D$113:$H$113)</f>
        <v>4.2541043251004993</v>
      </c>
      <c r="P114" s="38"/>
      <c r="Q114" s="38" t="str">
        <f>IF(O114&lt;3.1,"Distress Zone", " Safe Zone")</f>
        <v xml:space="preserve"> Safe Zone</v>
      </c>
      <c r="R114" s="370"/>
    </row>
    <row r="115" spans="2:18" x14ac:dyDescent="0.3">
      <c r="B115" s="371">
        <v>44166</v>
      </c>
      <c r="C115" s="38"/>
      <c r="D115" s="39">
        <v>0.15077524305776197</v>
      </c>
      <c r="E115" s="39">
        <v>0.14925017474741056</v>
      </c>
      <c r="F115" s="39">
        <v>0</v>
      </c>
      <c r="G115" s="39">
        <v>0.40388892419139605</v>
      </c>
      <c r="H115" s="39">
        <v>4.0690074479404164</v>
      </c>
      <c r="I115" s="38"/>
      <c r="J115" s="38"/>
      <c r="K115" s="38"/>
      <c r="L115" s="38"/>
      <c r="M115" s="38"/>
      <c r="N115" s="38"/>
      <c r="O115" s="66">
        <f t="shared" ref="O115:O117" si="30">SUMPRODUCT(D115:H115,$D$113:$H$113)</f>
        <v>3.5187492612914149</v>
      </c>
      <c r="P115" s="38"/>
      <c r="Q115" s="38" t="str">
        <f t="shared" ref="Q115:Q117" si="31">IF(O115&lt;3.1,"Distress Zone", " Safe Zone")</f>
        <v xml:space="preserve"> Safe Zone</v>
      </c>
      <c r="R115" s="370"/>
    </row>
    <row r="116" spans="2:18" x14ac:dyDescent="0.3">
      <c r="B116" s="371">
        <v>44532</v>
      </c>
      <c r="C116" s="38"/>
      <c r="D116" s="39">
        <v>0.11773072835772092</v>
      </c>
      <c r="E116" s="39">
        <v>0.12912613422709066</v>
      </c>
      <c r="F116" s="39">
        <v>0</v>
      </c>
      <c r="G116" s="39">
        <v>0.42473636883838795</v>
      </c>
      <c r="H116" s="39">
        <v>3.8140388898922399</v>
      </c>
      <c r="I116" s="38"/>
      <c r="J116" s="38"/>
      <c r="K116" s="38"/>
      <c r="L116" s="38"/>
      <c r="M116" s="38"/>
      <c r="N116" s="38"/>
      <c r="O116" s="66">
        <f t="shared" si="30"/>
        <v>3.2805528197523959</v>
      </c>
      <c r="P116" s="38"/>
      <c r="Q116" s="38" t="str">
        <f t="shared" si="31"/>
        <v xml:space="preserve"> Safe Zone</v>
      </c>
      <c r="R116" s="370"/>
    </row>
    <row r="117" spans="2:18" ht="15" thickBot="1" x14ac:dyDescent="0.35">
      <c r="B117" s="372">
        <v>44898</v>
      </c>
      <c r="C117" s="373"/>
      <c r="D117" s="374">
        <v>9.9798836012960496E-2</v>
      </c>
      <c r="E117" s="374">
        <v>0.13439597057784738</v>
      </c>
      <c r="F117" s="374">
        <v>0</v>
      </c>
      <c r="G117" s="374">
        <v>0.40421676571305726</v>
      </c>
      <c r="H117" s="374">
        <v>3.7514054719708732</v>
      </c>
      <c r="I117" s="373"/>
      <c r="J117" s="373"/>
      <c r="K117" s="373"/>
      <c r="L117" s="373"/>
      <c r="M117" s="373"/>
      <c r="N117" s="373"/>
      <c r="O117" s="375">
        <f t="shared" si="30"/>
        <v>3.2183253550180302</v>
      </c>
      <c r="P117" s="373"/>
      <c r="Q117" s="373" t="str">
        <f t="shared" si="31"/>
        <v xml:space="preserve"> Safe Zone</v>
      </c>
      <c r="R117" s="376"/>
    </row>
  </sheetData>
  <sheetProtection sheet="1" objects="1" scenarios="1"/>
  <customSheetViews>
    <customSheetView guid="{157A7F57-E932-4D71-AAC5-1BA0DA6A9C96}" showGridLines="0" topLeftCell="B1">
      <selection activeCell="T12" sqref="T12"/>
      <pageMargins left="0.7" right="0.7" top="0.75" bottom="0.75" header="0.3" footer="0.3"/>
      <pageSetup paperSize="9" orientation="portrait" r:id="rId1"/>
    </customSheetView>
  </customSheetViews>
  <mergeCells count="17">
    <mergeCell ref="B2:G4"/>
    <mergeCell ref="B8:R12"/>
    <mergeCell ref="B14:R14"/>
    <mergeCell ref="B16:R16"/>
    <mergeCell ref="B22:R22"/>
    <mergeCell ref="B111:R111"/>
    <mergeCell ref="B31:R31"/>
    <mergeCell ref="B38:R38"/>
    <mergeCell ref="B47:R47"/>
    <mergeCell ref="B54:R54"/>
    <mergeCell ref="B65:R65"/>
    <mergeCell ref="B79:R79"/>
    <mergeCell ref="B81:R81"/>
    <mergeCell ref="B87:R87"/>
    <mergeCell ref="B93:R93"/>
    <mergeCell ref="B99:R99"/>
    <mergeCell ref="B105:R105"/>
  </mergeCells>
  <conditionalFormatting sqref="O114:O117">
    <cfRule type="cellIs" dxfId="0" priority="1" operator="greaterThan">
      <formula>3.1</formula>
    </cfRule>
  </conditionalFormatting>
  <pageMargins left="0.7" right="0.7" top="0.75" bottom="0.75" header="0.3" footer="0.3"/>
  <pageSetup paperSize="9"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A8" sqref="A8"/>
    </sheetView>
  </sheetViews>
  <sheetFormatPr defaultRowHeight="14.4" x14ac:dyDescent="0.3"/>
  <sheetData/>
  <sheetProtection sheet="1" objects="1" scenarios="1"/>
  <customSheetViews>
    <customSheetView guid="{157A7F57-E932-4D71-AAC5-1BA0DA6A9C96}" topLeftCell="A7">
      <selection activeCell="A8" sqref="A8"/>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19"/>
  <sheetViews>
    <sheetView showGridLines="0" topLeftCell="A13" zoomScale="98" zoomScaleNormal="98" workbookViewId="0">
      <selection activeCell="Z42" sqref="Z42"/>
    </sheetView>
  </sheetViews>
  <sheetFormatPr defaultRowHeight="14.4" x14ac:dyDescent="0.3"/>
  <cols>
    <col min="1" max="1" width="1.88671875" customWidth="1"/>
    <col min="2" max="2" width="9.44140625" bestFit="1" customWidth="1"/>
    <col min="13" max="13" width="10.33203125" bestFit="1" customWidth="1"/>
    <col min="14" max="14" width="10.44140625" customWidth="1"/>
    <col min="15" max="15" width="10.33203125" bestFit="1" customWidth="1"/>
  </cols>
  <sheetData>
    <row r="2" spans="2:19" ht="23.4" customHeight="1" x14ac:dyDescent="0.45">
      <c r="B2" s="78" t="s">
        <v>175</v>
      </c>
      <c r="C2" s="77"/>
      <c r="D2" s="77"/>
      <c r="E2" s="77"/>
      <c r="F2" s="77"/>
      <c r="G2" s="77"/>
      <c r="H2" s="77"/>
      <c r="I2" s="77"/>
      <c r="J2" s="77"/>
      <c r="K2" s="77"/>
      <c r="L2" s="77"/>
      <c r="M2" s="77"/>
      <c r="N2" s="77"/>
      <c r="O2" s="77"/>
      <c r="P2" s="81"/>
      <c r="Q2" s="81"/>
      <c r="R2" s="81"/>
      <c r="S2" s="81"/>
    </row>
    <row r="3" spans="2:19" ht="15" customHeight="1" x14ac:dyDescent="0.3">
      <c r="B3" s="76"/>
      <c r="C3" s="77"/>
      <c r="D3" s="77"/>
      <c r="E3" s="77"/>
      <c r="F3" s="77"/>
      <c r="G3" s="77"/>
      <c r="H3" s="77"/>
      <c r="I3" s="77"/>
      <c r="J3" s="77"/>
      <c r="K3" s="77"/>
      <c r="L3" s="77"/>
      <c r="M3" s="77"/>
      <c r="N3" s="77"/>
      <c r="O3" s="77"/>
      <c r="P3" s="81"/>
      <c r="Q3" s="81"/>
      <c r="R3" s="81"/>
      <c r="S3" s="81"/>
    </row>
    <row r="4" spans="2:19" ht="14.4" customHeight="1" x14ac:dyDescent="0.35">
      <c r="B4" s="79" t="s">
        <v>176</v>
      </c>
      <c r="C4" s="77"/>
      <c r="D4" s="77"/>
      <c r="E4" s="77"/>
      <c r="F4" s="77"/>
      <c r="G4" s="77"/>
      <c r="H4" s="77"/>
      <c r="I4" s="77"/>
      <c r="J4" s="77"/>
      <c r="K4" s="77"/>
      <c r="L4" s="77"/>
      <c r="M4" s="77"/>
      <c r="N4" s="77"/>
      <c r="O4" s="77"/>
      <c r="P4" s="81"/>
      <c r="Q4" s="81"/>
      <c r="R4" s="81"/>
      <c r="S4" s="81"/>
    </row>
    <row r="5" spans="2:19" ht="14.4" customHeight="1" x14ac:dyDescent="0.3">
      <c r="B5" s="80" t="s">
        <v>177</v>
      </c>
      <c r="C5" s="77"/>
      <c r="D5" s="77"/>
      <c r="E5" s="77"/>
      <c r="F5" s="77"/>
      <c r="G5" s="77"/>
      <c r="H5" s="77"/>
      <c r="I5" s="77"/>
      <c r="J5" s="77"/>
      <c r="K5" s="77"/>
      <c r="L5" s="77"/>
      <c r="M5" s="77"/>
      <c r="N5" s="77"/>
      <c r="O5" s="77"/>
      <c r="P5" s="81"/>
      <c r="Q5" s="81"/>
      <c r="R5" s="81"/>
      <c r="S5" s="81"/>
    </row>
    <row r="6" spans="2:19" x14ac:dyDescent="0.3">
      <c r="B6" s="76"/>
      <c r="C6" s="76"/>
      <c r="D6" s="76"/>
      <c r="E6" s="76"/>
      <c r="F6" s="76"/>
      <c r="G6" s="76"/>
      <c r="H6" s="76"/>
      <c r="I6" s="76"/>
      <c r="J6" s="76"/>
      <c r="K6" s="76"/>
      <c r="L6" s="76"/>
      <c r="M6" s="76"/>
      <c r="N6" s="76"/>
      <c r="O6" s="76"/>
    </row>
    <row r="8" spans="2:19" x14ac:dyDescent="0.3">
      <c r="B8" s="400" t="s">
        <v>178</v>
      </c>
      <c r="C8" s="400"/>
      <c r="D8" s="400"/>
      <c r="E8" s="400"/>
      <c r="F8" s="400"/>
      <c r="G8" s="400"/>
      <c r="H8" s="400"/>
      <c r="I8" s="400"/>
      <c r="J8" s="400"/>
      <c r="K8" s="400"/>
      <c r="L8" s="400"/>
      <c r="M8" s="400"/>
      <c r="N8" s="400"/>
      <c r="O8" s="400"/>
      <c r="P8" s="400"/>
      <c r="Q8" s="400"/>
    </row>
    <row r="9" spans="2:19" x14ac:dyDescent="0.3">
      <c r="B9" s="400"/>
      <c r="C9" s="400"/>
      <c r="D9" s="400"/>
      <c r="E9" s="400"/>
      <c r="F9" s="400"/>
      <c r="G9" s="400"/>
      <c r="H9" s="400"/>
      <c r="I9" s="400"/>
      <c r="J9" s="400"/>
      <c r="K9" s="400"/>
      <c r="L9" s="400"/>
      <c r="M9" s="400"/>
      <c r="N9" s="400"/>
      <c r="O9" s="400"/>
      <c r="P9" s="400"/>
      <c r="Q9" s="400"/>
    </row>
    <row r="10" spans="2:19" x14ac:dyDescent="0.3">
      <c r="B10" s="400"/>
      <c r="C10" s="400"/>
      <c r="D10" s="400"/>
      <c r="E10" s="400"/>
      <c r="F10" s="400"/>
      <c r="G10" s="400"/>
      <c r="H10" s="400"/>
      <c r="I10" s="400"/>
      <c r="J10" s="400"/>
      <c r="K10" s="400"/>
      <c r="L10" s="400"/>
      <c r="M10" s="400"/>
      <c r="N10" s="400"/>
      <c r="O10" s="400"/>
      <c r="P10" s="400"/>
      <c r="Q10" s="400"/>
    </row>
    <row r="11" spans="2:19" x14ac:dyDescent="0.3">
      <c r="B11" s="400"/>
      <c r="C11" s="400"/>
      <c r="D11" s="400"/>
      <c r="E11" s="400"/>
      <c r="F11" s="400"/>
      <c r="G11" s="400"/>
      <c r="H11" s="400"/>
      <c r="I11" s="400"/>
      <c r="J11" s="400"/>
      <c r="K11" s="400"/>
      <c r="L11" s="400"/>
      <c r="M11" s="400"/>
      <c r="N11" s="400"/>
      <c r="O11" s="400"/>
      <c r="P11" s="400"/>
      <c r="Q11" s="400"/>
    </row>
    <row r="12" spans="2:19" ht="15" thickBot="1" x14ac:dyDescent="0.35">
      <c r="B12" s="400"/>
      <c r="C12" s="400"/>
      <c r="D12" s="400"/>
      <c r="E12" s="400"/>
      <c r="F12" s="400"/>
      <c r="G12" s="400"/>
      <c r="H12" s="400"/>
      <c r="I12" s="400"/>
      <c r="J12" s="400"/>
      <c r="K12" s="400"/>
      <c r="L12" s="400"/>
      <c r="M12" s="400"/>
      <c r="N12" s="400"/>
      <c r="O12" s="400"/>
      <c r="P12" s="400"/>
      <c r="Q12" s="400"/>
    </row>
    <row r="13" spans="2:19" x14ac:dyDescent="0.3">
      <c r="B13" s="401" t="s">
        <v>58</v>
      </c>
      <c r="C13" s="402"/>
      <c r="D13" s="402"/>
      <c r="E13" s="402"/>
      <c r="F13" s="402"/>
      <c r="G13" s="402"/>
      <c r="H13" s="402"/>
      <c r="I13" s="402"/>
      <c r="J13" s="402"/>
      <c r="K13" s="402"/>
      <c r="L13" s="402"/>
      <c r="M13" s="402"/>
      <c r="N13" s="402"/>
      <c r="O13" s="402"/>
      <c r="P13" s="402"/>
      <c r="Q13" s="403"/>
    </row>
    <row r="14" spans="2:19" x14ac:dyDescent="0.3">
      <c r="B14" s="119"/>
      <c r="C14" s="38"/>
      <c r="D14" s="38"/>
      <c r="E14" s="38"/>
      <c r="F14" s="38"/>
      <c r="G14" s="38"/>
      <c r="H14" s="38"/>
      <c r="I14" s="38"/>
      <c r="J14" s="38"/>
      <c r="K14" s="38"/>
      <c r="L14" s="38"/>
      <c r="M14" s="38"/>
      <c r="N14" s="38"/>
      <c r="O14" s="38"/>
      <c r="P14" s="38"/>
      <c r="Q14" s="120"/>
    </row>
    <row r="15" spans="2:19" x14ac:dyDescent="0.3">
      <c r="B15" s="397" t="s">
        <v>64</v>
      </c>
      <c r="C15" s="398"/>
      <c r="D15" s="398"/>
      <c r="E15" s="398"/>
      <c r="F15" s="398"/>
      <c r="G15" s="398"/>
      <c r="H15" s="398"/>
      <c r="I15" s="398"/>
      <c r="J15" s="398"/>
      <c r="K15" s="398"/>
      <c r="L15" s="398"/>
      <c r="M15" s="398"/>
      <c r="N15" s="398"/>
      <c r="O15" s="398"/>
      <c r="P15" s="398"/>
      <c r="Q15" s="399"/>
    </row>
    <row r="16" spans="2:19" x14ac:dyDescent="0.3">
      <c r="B16" s="119"/>
      <c r="C16" s="38"/>
      <c r="D16" s="38"/>
      <c r="E16" s="38"/>
      <c r="F16" s="38"/>
      <c r="G16" s="38"/>
      <c r="H16" s="38"/>
      <c r="I16" s="38"/>
      <c r="J16" s="38"/>
      <c r="K16" s="38"/>
      <c r="L16" s="49">
        <v>43800</v>
      </c>
      <c r="M16" s="49">
        <f>L16+366</f>
        <v>44166</v>
      </c>
      <c r="N16" s="49">
        <f t="shared" ref="N16:O16" si="0">M16+366</f>
        <v>44532</v>
      </c>
      <c r="O16" s="49">
        <f t="shared" si="0"/>
        <v>44898</v>
      </c>
      <c r="P16" s="38"/>
      <c r="Q16" s="120"/>
    </row>
    <row r="17" spans="2:17" x14ac:dyDescent="0.3">
      <c r="B17" s="119" t="s">
        <v>179</v>
      </c>
      <c r="C17" s="38"/>
      <c r="D17" s="38"/>
      <c r="E17" s="38"/>
      <c r="F17" s="38"/>
      <c r="G17" s="38"/>
      <c r="H17" s="38"/>
      <c r="I17" s="38"/>
      <c r="J17" s="38"/>
      <c r="K17" s="38"/>
      <c r="L17" s="39">
        <f>'Enphase Energy- Financials'!C32/'Enphase Energy- Financials'!C45</f>
        <v>2.5069213440301841</v>
      </c>
      <c r="M17" s="39">
        <f>'Enphase Energy- Financials'!D32/'Enphase Energy- Financials'!D45</f>
        <v>1.7471701716902945</v>
      </c>
      <c r="N17" s="39">
        <f>'Enphase Energy- Financials'!E32/'Enphase Energy- Financials'!E45</f>
        <v>3.3253167377602342</v>
      </c>
      <c r="O17" s="39">
        <f>'Enphase Energy- Financials'!F32/'Enphase Energy- Financials'!F45</f>
        <v>3.5477962893614889</v>
      </c>
      <c r="P17" s="38"/>
      <c r="Q17" s="120"/>
    </row>
    <row r="18" spans="2:17" x14ac:dyDescent="0.3">
      <c r="B18" s="119" t="s">
        <v>180</v>
      </c>
      <c r="C18" s="38"/>
      <c r="D18" s="38"/>
      <c r="E18" s="38"/>
      <c r="F18" s="38"/>
      <c r="G18" s="38"/>
      <c r="H18" s="38"/>
      <c r="I18" s="38"/>
      <c r="J18" s="38"/>
      <c r="K18" s="38"/>
      <c r="L18" s="39">
        <f>('Enphase Energy- Financials'!C32-'Enphase Energy- Financials'!C30)/'Enphase Energy- Financials'!C45</f>
        <v>2.3460872706473803</v>
      </c>
      <c r="M18" s="39">
        <f>('Enphase Energy- Financials'!D32-'Enphase Energy- Financials'!D30)/'Enphase Energy- Financials'!D45</f>
        <v>1.6689667311433722</v>
      </c>
      <c r="N18" s="39">
        <f>('Enphase Energy- Financials'!E32-'Enphase Energy- Financials'!E30)/'Enphase Energy- Financials'!E45</f>
        <v>3.156147395610692</v>
      </c>
      <c r="O18" s="39">
        <f>('Enphase Energy- Financials'!F32-'Enphase Energy- Financials'!F30)/'Enphase Energy- Financials'!F45</f>
        <v>3.3132247708075129</v>
      </c>
      <c r="P18" s="38"/>
      <c r="Q18" s="120"/>
    </row>
    <row r="19" spans="2:17" x14ac:dyDescent="0.3">
      <c r="B19" s="119" t="s">
        <v>67</v>
      </c>
      <c r="C19" s="38"/>
      <c r="D19" s="38"/>
      <c r="E19" s="38"/>
      <c r="F19" s="38"/>
      <c r="G19" s="38"/>
      <c r="H19" s="38"/>
      <c r="I19" s="38"/>
      <c r="J19" s="38"/>
      <c r="K19" s="38"/>
      <c r="L19" s="39">
        <f>'Enphase Energy- Financials'!C27/'Enphase Energy- Financials'!C45</f>
        <v>1.4856631094119241</v>
      </c>
      <c r="M19" s="39">
        <f>'Enphase Energy- Financials'!D27/'Enphase Energy- Financials'!D45</f>
        <v>1.272142879880459</v>
      </c>
      <c r="N19" s="39">
        <f>'Enphase Energy- Financials'!E27/'Enphase Energy- Financials'!E45</f>
        <v>0.27129851112788655</v>
      </c>
      <c r="O19" s="39">
        <f>'Enphase Energy- Financials'!F27/'Enphase Energy- Financials'!F45</f>
        <v>0.74150722557617366</v>
      </c>
      <c r="P19" s="38"/>
      <c r="Q19" s="120"/>
    </row>
    <row r="20" spans="2:17" x14ac:dyDescent="0.3">
      <c r="B20" s="119"/>
      <c r="C20" s="38"/>
      <c r="D20" s="38"/>
      <c r="E20" s="38"/>
      <c r="F20" s="38"/>
      <c r="G20" s="38"/>
      <c r="H20" s="38"/>
      <c r="I20" s="38"/>
      <c r="J20" s="38"/>
      <c r="K20" s="38"/>
      <c r="L20" s="38"/>
      <c r="M20" s="38"/>
      <c r="N20" s="38"/>
      <c r="O20" s="38"/>
      <c r="P20" s="38"/>
      <c r="Q20" s="120"/>
    </row>
    <row r="21" spans="2:17" x14ac:dyDescent="0.3">
      <c r="B21" s="397" t="s">
        <v>116</v>
      </c>
      <c r="C21" s="398"/>
      <c r="D21" s="398"/>
      <c r="E21" s="398"/>
      <c r="F21" s="398"/>
      <c r="G21" s="398"/>
      <c r="H21" s="398"/>
      <c r="I21" s="398"/>
      <c r="J21" s="398"/>
      <c r="K21" s="398"/>
      <c r="L21" s="398"/>
      <c r="M21" s="398"/>
      <c r="N21" s="398"/>
      <c r="O21" s="398"/>
      <c r="P21" s="398"/>
      <c r="Q21" s="399"/>
    </row>
    <row r="22" spans="2:17" x14ac:dyDescent="0.3">
      <c r="B22" s="119"/>
      <c r="C22" s="38"/>
      <c r="D22" s="38"/>
      <c r="E22" s="38"/>
      <c r="F22" s="38"/>
      <c r="G22" s="38"/>
      <c r="H22" s="38"/>
      <c r="I22" s="38"/>
      <c r="J22" s="38"/>
      <c r="K22" s="38"/>
      <c r="L22" s="49">
        <f>L16</f>
        <v>43800</v>
      </c>
      <c r="M22" s="49">
        <f t="shared" ref="M22:O22" si="1">M16</f>
        <v>44166</v>
      </c>
      <c r="N22" s="49">
        <f t="shared" si="1"/>
        <v>44532</v>
      </c>
      <c r="O22" s="49">
        <f t="shared" si="1"/>
        <v>44898</v>
      </c>
      <c r="P22" s="38"/>
      <c r="Q22" s="120"/>
    </row>
    <row r="23" spans="2:17" x14ac:dyDescent="0.3">
      <c r="B23" s="119" t="s">
        <v>117</v>
      </c>
      <c r="C23" s="38"/>
      <c r="D23" s="38"/>
      <c r="E23" s="38"/>
      <c r="F23" s="38"/>
      <c r="G23" s="38"/>
      <c r="H23" s="38"/>
      <c r="I23" s="38"/>
      <c r="J23" s="38"/>
      <c r="K23" s="38"/>
      <c r="L23" s="39">
        <f>('Enphase Energy- Financials'!C46+'Enphase Energy- Financials'!C43)/'Enphase Energy- Financials'!C40</f>
        <v>0.14798036518732571</v>
      </c>
      <c r="M23" s="39">
        <f>('Enphase Energy- Financials'!D46+'Enphase Energy- Financials'!D43)/'Enphase Energy- Financials'!D40</f>
        <v>0.27569739905441371</v>
      </c>
      <c r="N23" s="39">
        <f>('Enphase Energy- Financials'!E46+'Enphase Energy- Financials'!E43)/'Enphase Energy- Financials'!E40</f>
        <v>0.49904677442315903</v>
      </c>
      <c r="O23" s="39">
        <f>('Enphase Energy- Financials'!F46+'Enphase Energy- Financials'!F43)/'Enphase Energy- Financials'!F40</f>
        <v>0.4183657125812183</v>
      </c>
      <c r="P23" s="38"/>
      <c r="Q23" s="120"/>
    </row>
    <row r="24" spans="2:17" x14ac:dyDescent="0.3">
      <c r="B24" s="119" t="s">
        <v>118</v>
      </c>
      <c r="C24" s="38"/>
      <c r="D24" s="38"/>
      <c r="E24" s="38"/>
      <c r="F24" s="38"/>
      <c r="G24" s="38"/>
      <c r="H24" s="38"/>
      <c r="I24" s="38"/>
      <c r="J24" s="38"/>
      <c r="K24" s="38"/>
      <c r="L24" s="39">
        <f>('Enphase Energy- Financials'!C46+'Enphase Energy- Financials'!C43)/'Enphase Energy- Financials'!C58</f>
        <v>0.38772353900636269</v>
      </c>
      <c r="M24" s="39">
        <f>('Enphase Energy- Financials'!D46+'Enphase Energy- Financials'!D43)/'Enphase Energy- Financials'!D58</f>
        <v>0.68361525889837249</v>
      </c>
      <c r="N24" s="39">
        <f>('Enphase Energy- Financials'!E46+'Enphase Energy- Financials'!E43)/'Enphase Energy- Financials'!E58</f>
        <v>2.4121877963958269</v>
      </c>
      <c r="O24" s="39">
        <f>('Enphase Energy- Financials'!F46+'Enphase Energy- Financials'!F43)/'Enphase Energy- Financials'!F58</f>
        <v>1.5629835278043249</v>
      </c>
      <c r="P24" s="38"/>
      <c r="Q24" s="120"/>
    </row>
    <row r="25" spans="2:17" x14ac:dyDescent="0.3">
      <c r="B25" s="119" t="s">
        <v>120</v>
      </c>
      <c r="C25" s="38"/>
      <c r="D25" s="38"/>
      <c r="E25" s="38"/>
      <c r="F25" s="38"/>
      <c r="G25" s="38"/>
      <c r="H25" s="38"/>
      <c r="I25" s="38"/>
      <c r="J25" s="38"/>
      <c r="K25" s="38"/>
      <c r="L25" s="39">
        <f>L24/(1+L24)</f>
        <v>0.27939537530939368</v>
      </c>
      <c r="M25" s="39">
        <f t="shared" ref="M25:O25" si="2">M24/(1+M24)</f>
        <v>0.40604007078533927</v>
      </c>
      <c r="N25" s="39">
        <f t="shared" si="2"/>
        <v>0.70693289476732069</v>
      </c>
      <c r="O25" s="39">
        <f t="shared" si="2"/>
        <v>0.60982972026484816</v>
      </c>
      <c r="P25" s="38"/>
      <c r="Q25" s="120"/>
    </row>
    <row r="26" spans="2:17" x14ac:dyDescent="0.3">
      <c r="B26" s="119" t="s">
        <v>121</v>
      </c>
      <c r="C26" s="38"/>
      <c r="D26" s="38"/>
      <c r="E26" s="38"/>
      <c r="F26" s="38"/>
      <c r="G26" s="38"/>
      <c r="H26" s="38"/>
      <c r="I26" s="38"/>
      <c r="J26" s="38"/>
      <c r="K26" s="38"/>
      <c r="L26" s="39">
        <f>('Enphase Energy- Financials'!C14+'Enphase Energy- Financials'!C65)/'Enphase Energy- Financials'!C15</f>
        <v>11.75564957176762</v>
      </c>
      <c r="M26" s="39">
        <f>('Enphase Energy- Financials'!D14+'Enphase Energy- Financials'!D65)/'Enphase Energy- Financials'!D15</f>
        <v>7.5479262892243231</v>
      </c>
      <c r="N26" s="39">
        <f>('Enphase Energy- Financials'!E14+'Enphase Energy- Financials'!E65)/'Enphase Energy- Financials'!E15</f>
        <v>4.3966823175053156</v>
      </c>
      <c r="O26" s="39">
        <f>('Enphase Energy- Financials'!F14+'Enphase Energy- Financials'!F65)/'Enphase Energy- Financials'!F15</f>
        <v>54.845200254291164</v>
      </c>
      <c r="P26" s="38"/>
      <c r="Q26" s="120"/>
    </row>
    <row r="27" spans="2:17" x14ac:dyDescent="0.3">
      <c r="B27" s="119" t="s">
        <v>119</v>
      </c>
      <c r="C27" s="38"/>
      <c r="D27" s="38"/>
      <c r="E27" s="38"/>
      <c r="F27" s="38"/>
      <c r="G27" s="38"/>
      <c r="H27" s="38"/>
      <c r="I27" s="38"/>
      <c r="J27" s="38"/>
      <c r="K27" s="38"/>
      <c r="L27" s="39">
        <f>'Enphase Energy- Financials'!C40/'Enphase Energy- Financials'!C58</f>
        <v>2.6201012446181653</v>
      </c>
      <c r="M27" s="39">
        <f>'Enphase Energy- Financials'!D40/'Enphase Energy- Financials'!D58</f>
        <v>2.4795854485498756</v>
      </c>
      <c r="N27" s="39">
        <f>'Enphase Energy- Financials'!E40/'Enphase Energy- Financials'!E58</f>
        <v>4.833590597162039</v>
      </c>
      <c r="O27" s="39">
        <f>'Enphase Energy- Financials'!F40/'Enphase Energy- Financials'!F58</f>
        <v>3.7359264413928264</v>
      </c>
      <c r="P27" s="38"/>
      <c r="Q27" s="120"/>
    </row>
    <row r="28" spans="2:17" x14ac:dyDescent="0.3">
      <c r="B28" s="119" t="s">
        <v>193</v>
      </c>
      <c r="C28" s="38"/>
      <c r="D28" s="38"/>
      <c r="E28" s="38"/>
      <c r="F28" s="38"/>
      <c r="G28" s="38"/>
      <c r="H28" s="38"/>
      <c r="I28" s="38"/>
      <c r="J28" s="38"/>
      <c r="K28" s="38"/>
      <c r="L28" s="39">
        <f>'Enphase Energy- Financials'!C72/('Enphase Energy- Financials'!C43+'Enphase Energy- Financials'!C46)</f>
        <v>1.3176335711510949</v>
      </c>
      <c r="M28" s="39">
        <f>'Enphase Energy- Financials'!D72/('Enphase Energy- Financials'!D43+'Enphase Energy- Financials'!D46)</f>
        <v>0.65384371269248787</v>
      </c>
      <c r="N28" s="39">
        <f>'Enphase Energy- Financials'!E72/('Enphase Energy- Financials'!E43+'Enphase Energy- Financials'!E46)</f>
        <v>0.33925635525024911</v>
      </c>
      <c r="O28" s="39">
        <f>'Enphase Energy- Financials'!F72/('Enphase Energy- Financials'!F43+'Enphase Energy- Financials'!F46)</f>
        <v>0.57721777771577942</v>
      </c>
      <c r="P28" s="38"/>
      <c r="Q28" s="120"/>
    </row>
    <row r="29" spans="2:17" x14ac:dyDescent="0.3">
      <c r="B29" s="119"/>
      <c r="C29" s="38"/>
      <c r="D29" s="38"/>
      <c r="E29" s="38"/>
      <c r="F29" s="38"/>
      <c r="G29" s="38"/>
      <c r="H29" s="38"/>
      <c r="I29" s="38"/>
      <c r="J29" s="38"/>
      <c r="K29" s="38"/>
      <c r="L29" s="38"/>
      <c r="M29" s="38"/>
      <c r="N29" s="38"/>
      <c r="O29" s="38"/>
      <c r="P29" s="38"/>
      <c r="Q29" s="120"/>
    </row>
    <row r="30" spans="2:17" x14ac:dyDescent="0.3">
      <c r="B30" s="397" t="s">
        <v>122</v>
      </c>
      <c r="C30" s="398"/>
      <c r="D30" s="398"/>
      <c r="E30" s="398"/>
      <c r="F30" s="398"/>
      <c r="G30" s="398"/>
      <c r="H30" s="398"/>
      <c r="I30" s="398"/>
      <c r="J30" s="398"/>
      <c r="K30" s="398"/>
      <c r="L30" s="398"/>
      <c r="M30" s="398"/>
      <c r="N30" s="398"/>
      <c r="O30" s="398"/>
      <c r="P30" s="398"/>
      <c r="Q30" s="399"/>
    </row>
    <row r="31" spans="2:17" x14ac:dyDescent="0.3">
      <c r="B31" s="119"/>
      <c r="C31" s="38"/>
      <c r="D31" s="38"/>
      <c r="E31" s="38"/>
      <c r="F31" s="38"/>
      <c r="G31" s="38"/>
      <c r="H31" s="38"/>
      <c r="I31" s="38"/>
      <c r="J31" s="38"/>
      <c r="K31" s="38"/>
      <c r="L31" s="49">
        <f>L22</f>
        <v>43800</v>
      </c>
      <c r="M31" s="49">
        <f t="shared" ref="M31:O31" si="3">M22</f>
        <v>44166</v>
      </c>
      <c r="N31" s="49">
        <f t="shared" si="3"/>
        <v>44532</v>
      </c>
      <c r="O31" s="49">
        <f t="shared" si="3"/>
        <v>44898</v>
      </c>
      <c r="P31" s="38"/>
      <c r="Q31" s="120"/>
    </row>
    <row r="32" spans="2:17" x14ac:dyDescent="0.3">
      <c r="B32" s="119" t="s">
        <v>123</v>
      </c>
      <c r="C32" s="38"/>
      <c r="D32" s="38"/>
      <c r="E32" s="38"/>
      <c r="F32" s="38"/>
      <c r="G32" s="38"/>
      <c r="H32" s="38"/>
      <c r="I32" s="38"/>
      <c r="J32" s="38"/>
      <c r="K32" s="38"/>
      <c r="L32" s="39">
        <f>'Enphase Energy- Financials'!C4/'Enphase Energy- Financials'!C40</f>
        <v>0.87536857336345009</v>
      </c>
      <c r="M32" s="39">
        <f>'Enphase Energy- Financials'!D4/'Enphase Energy- Financials'!D40</f>
        <v>0.64529931622478753</v>
      </c>
      <c r="N32" s="39">
        <f>'Enphase Energy- Financials'!E4/'Enphase Energy- Financials'!E40</f>
        <v>0.66468438710769617</v>
      </c>
      <c r="O32" s="39">
        <f>'Enphase Energy- Financials'!F4/'Enphase Energy- Financials'!F40</f>
        <v>0.75572029776803662</v>
      </c>
      <c r="P32" s="38"/>
      <c r="Q32" s="120"/>
    </row>
    <row r="33" spans="2:32" x14ac:dyDescent="0.3">
      <c r="B33" s="119" t="s">
        <v>124</v>
      </c>
      <c r="C33" s="38"/>
      <c r="D33" s="38"/>
      <c r="E33" s="38"/>
      <c r="F33" s="38"/>
      <c r="G33" s="38"/>
      <c r="H33" s="38"/>
      <c r="I33" s="38"/>
      <c r="J33" s="38"/>
      <c r="K33" s="38"/>
      <c r="L33" s="39">
        <f>'Enphase Energy- Financials'!C4/('Enphase Energy- Financials'!C32-'Enphase Energy- Financials'!C45)</f>
        <v>2.0787125515239091</v>
      </c>
      <c r="M33" s="39">
        <f>'Enphase Energy- Financials'!D4/('Enphase Energy- Financials'!D32-'Enphase Energy- Financials'!D45)</f>
        <v>1.9408126389337905</v>
      </c>
      <c r="N33" s="39">
        <f>'Enphase Energy- Financials'!E4/('Enphase Energy- Financials'!E32-'Enphase Energy- Financials'!E45)</f>
        <v>1.3514190864065945</v>
      </c>
      <c r="O33" s="39">
        <f>'Enphase Energy- Financials'!F4/('Enphase Energy- Financials'!F32-'Enphase Energy- Financials'!F45)</f>
        <v>1.4334430879209275</v>
      </c>
      <c r="P33" s="38"/>
      <c r="Q33" s="120"/>
    </row>
    <row r="34" spans="2:32" x14ac:dyDescent="0.3">
      <c r="B34" s="119" t="s">
        <v>125</v>
      </c>
      <c r="C34" s="38"/>
      <c r="D34" s="38"/>
      <c r="E34" s="38"/>
      <c r="F34" s="38"/>
      <c r="G34" s="38"/>
      <c r="H34" s="38"/>
      <c r="I34" s="38"/>
      <c r="J34" s="38"/>
      <c r="K34" s="38"/>
      <c r="L34" s="39">
        <f>'Enphase Energy- Financials'!C5/'Enphase Energy- Financials'!C30</f>
        <v>12.574494634389819</v>
      </c>
      <c r="M34" s="39">
        <f>'Enphase Energy- Financials'!D5/'Enphase Energy- Financials'!D30</f>
        <v>10.258691696197682</v>
      </c>
      <c r="N34" s="39">
        <f>'Enphase Energy- Financials'!E5/'Enphase Energy- Financials'!E30</f>
        <v>11.1240188172043</v>
      </c>
      <c r="O34" s="39">
        <f>'Enphase Energy- Financials'!F5/'Enphase Energy- Financials'!F30</f>
        <v>9.0593555454618322</v>
      </c>
      <c r="P34" s="38"/>
      <c r="Q34" s="120"/>
    </row>
    <row r="35" spans="2:32" x14ac:dyDescent="0.3">
      <c r="B35" s="119" t="s">
        <v>126</v>
      </c>
      <c r="C35" s="38"/>
      <c r="D35" s="38"/>
      <c r="E35" s="38"/>
      <c r="F35" s="38"/>
      <c r="G35" s="38"/>
      <c r="H35" s="38"/>
      <c r="I35" s="38"/>
      <c r="J35" s="38"/>
      <c r="K35" s="38"/>
      <c r="L35" s="39">
        <f>'Enphase Energy- Financials'!C4/'Enphase Energy- Financials'!C29</f>
        <v>4.2935157104247903</v>
      </c>
      <c r="M35" s="39">
        <f>'Enphase Energy- Financials'!D4/'Enphase Energy- Financials'!D29</f>
        <v>4.2512282820519856</v>
      </c>
      <c r="N35" s="39">
        <f>'Enphase Energy- Financials'!E4/'Enphase Energy- Financials'!E29</f>
        <v>4.1425098763285835</v>
      </c>
      <c r="O35" s="39">
        <f>'Enphase Energy- Financials'!F4/'Enphase Energy- Financials'!F29</f>
        <v>5.2866276854405578</v>
      </c>
      <c r="P35" s="38"/>
      <c r="Q35" s="120"/>
    </row>
    <row r="36" spans="2:32" x14ac:dyDescent="0.3">
      <c r="B36" s="119"/>
      <c r="C36" s="38"/>
      <c r="D36" s="38"/>
      <c r="E36" s="38"/>
      <c r="F36" s="38"/>
      <c r="G36" s="38"/>
      <c r="H36" s="38"/>
      <c r="I36" s="38"/>
      <c r="J36" s="38"/>
      <c r="K36" s="38"/>
      <c r="L36" s="38"/>
      <c r="M36" s="38"/>
      <c r="N36" s="38"/>
      <c r="O36" s="38"/>
      <c r="P36" s="38"/>
      <c r="Q36" s="120"/>
    </row>
    <row r="37" spans="2:32" x14ac:dyDescent="0.3">
      <c r="B37" s="397" t="s">
        <v>131</v>
      </c>
      <c r="C37" s="398"/>
      <c r="D37" s="398"/>
      <c r="E37" s="398"/>
      <c r="F37" s="398"/>
      <c r="G37" s="398"/>
      <c r="H37" s="398"/>
      <c r="I37" s="398"/>
      <c r="J37" s="398"/>
      <c r="K37" s="398"/>
      <c r="L37" s="398"/>
      <c r="M37" s="398"/>
      <c r="N37" s="398"/>
      <c r="O37" s="398"/>
      <c r="P37" s="398"/>
      <c r="Q37" s="399"/>
    </row>
    <row r="38" spans="2:32" x14ac:dyDescent="0.3">
      <c r="B38" s="119"/>
      <c r="C38" s="38"/>
      <c r="D38" s="38"/>
      <c r="E38" s="38"/>
      <c r="F38" s="38"/>
      <c r="G38" s="38"/>
      <c r="H38" s="38"/>
      <c r="I38" s="38"/>
      <c r="J38" s="38"/>
      <c r="K38" s="38"/>
      <c r="L38" s="49">
        <f>L31</f>
        <v>43800</v>
      </c>
      <c r="M38" s="49">
        <f t="shared" ref="M38:O38" si="4">M31</f>
        <v>44166</v>
      </c>
      <c r="N38" s="49">
        <f t="shared" si="4"/>
        <v>44532</v>
      </c>
      <c r="O38" s="49">
        <f t="shared" si="4"/>
        <v>44898</v>
      </c>
      <c r="P38" s="38"/>
      <c r="Q38" s="120"/>
    </row>
    <row r="39" spans="2:32" x14ac:dyDescent="0.3">
      <c r="B39" s="119" t="s">
        <v>132</v>
      </c>
      <c r="C39" s="38"/>
      <c r="D39" s="38"/>
      <c r="E39" s="38"/>
      <c r="F39" s="38"/>
      <c r="G39" s="38"/>
      <c r="H39" s="38"/>
      <c r="I39" s="38"/>
      <c r="J39" s="38"/>
      <c r="K39" s="38"/>
      <c r="L39" s="67">
        <f>'Enphase Energy- Financials'!C22/'Enphase Energy- Financials'!C58</f>
        <v>0.59199447489456747</v>
      </c>
      <c r="M39" s="67">
        <f>'Enphase Energy- Financials'!D22/'Enphase Energy- Financials'!D58</f>
        <v>0.27685317762860207</v>
      </c>
      <c r="N39" s="67">
        <f>'Enphase Energy- Financials'!E22/'Enphase Energy- Financials'!E58</f>
        <v>0.33812138513325024</v>
      </c>
      <c r="O39" s="67">
        <f>'Enphase Energy- Financials'!F22/'Enphase Energy- Financials'!F58</f>
        <v>0.4813166128252741</v>
      </c>
      <c r="P39" s="38"/>
      <c r="Q39" s="120"/>
    </row>
    <row r="40" spans="2:32" x14ac:dyDescent="0.3">
      <c r="B40" s="119" t="s">
        <v>133</v>
      </c>
      <c r="C40" s="38"/>
      <c r="D40" s="38"/>
      <c r="E40" s="38"/>
      <c r="F40" s="38"/>
      <c r="G40" s="38"/>
      <c r="H40" s="38"/>
      <c r="I40" s="38"/>
      <c r="J40" s="38"/>
      <c r="K40" s="38"/>
      <c r="L40" s="67">
        <f>'Enphase Energy- Financials'!C22/'Enphase Energy- Financials'!C40</f>
        <v>0.22594335852881917</v>
      </c>
      <c r="M40" s="67">
        <f>'Enphase Energy- Financials'!D22/'Enphase Energy- Financials'!D40</f>
        <v>0.11165300949419299</v>
      </c>
      <c r="N40" s="67">
        <f>'Enphase Energy- Financials'!E22/'Enphase Energy- Financials'!E40</f>
        <v>6.9952425290584708E-2</v>
      </c>
      <c r="O40" s="67">
        <f>'Enphase Energy- Financials'!F22/'Enphase Energy- Financials'!F40</f>
        <v>0.12883460645596378</v>
      </c>
      <c r="P40" s="38"/>
      <c r="Q40" s="120"/>
    </row>
    <row r="41" spans="2:32" x14ac:dyDescent="0.3">
      <c r="B41" s="119" t="s">
        <v>134</v>
      </c>
      <c r="C41" s="38"/>
      <c r="D41" s="38"/>
      <c r="E41" s="38"/>
      <c r="F41" s="38"/>
      <c r="G41" s="38"/>
      <c r="H41" s="38"/>
      <c r="I41" s="38"/>
      <c r="J41" s="38"/>
      <c r="K41" s="38"/>
      <c r="L41" s="67">
        <f>'Enphase Energy- Financials'!C22/('Enphase Energy- Financials'!C58+'Enphase Energy- Financials'!C46+'Enphase Energy- Financials'!C43)</f>
        <v>0.42659395640031239</v>
      </c>
      <c r="M41" s="67">
        <f>'Enphase Energy- Financials'!D22/('Enphase Energy- Financials'!D58+'Enphase Energy- Financials'!D46+'Enphase Energy- Financials'!D43)</f>
        <v>0.16443969378713838</v>
      </c>
      <c r="N41" s="67">
        <f>'Enphase Energy- Financials'!E22/('Enphase Energy- Financials'!E58+'Enphase Energy- Financials'!E46+'Enphase Energy- Financials'!E43)</f>
        <v>9.9092255558265563E-2</v>
      </c>
      <c r="O41" s="67">
        <f>'Enphase Energy- Financials'!F22/('Enphase Energy- Financials'!F58+'Enphase Energy- Financials'!F46+'Enphase Energy- Financials'!F43)</f>
        <v>0.187795437467213</v>
      </c>
      <c r="P41" s="38"/>
      <c r="Q41" s="120"/>
    </row>
    <row r="42" spans="2:32" x14ac:dyDescent="0.3">
      <c r="B42" s="119" t="s">
        <v>135</v>
      </c>
      <c r="C42" s="38"/>
      <c r="D42" s="38"/>
      <c r="E42" s="38"/>
      <c r="F42" s="38"/>
      <c r="G42" s="38"/>
      <c r="H42" s="38"/>
      <c r="I42" s="38"/>
      <c r="J42" s="38"/>
      <c r="K42" s="38"/>
      <c r="L42" s="67">
        <f>'Enphase Energy- Financials'!C22/('Enphase Energy- Financials'!C35+'Enphase Energy- Financials'!C32-'Enphase Energy- Financials'!C45)</f>
        <v>0.47480399176190857</v>
      </c>
      <c r="M42" s="67">
        <f>'Enphase Energy- Financials'!D22/('Enphase Energy- Financials'!D35+'Enphase Energy- Financials'!D32-'Enphase Energy- Financials'!D45)</f>
        <v>0.29149055122049905</v>
      </c>
      <c r="N42" s="67">
        <f>'Enphase Energy- Financials'!E22/('Enphase Energy- Financials'!E35+'Enphase Energy- Financials'!E32-'Enphase Energy- Financials'!E45)</f>
        <v>0.12995196792143324</v>
      </c>
      <c r="O42" s="67">
        <f>'Enphase Energy- Financials'!F22/('Enphase Energy- Financials'!F35+'Enphase Energy- Financials'!F32-'Enphase Energy- Financials'!F45)</f>
        <v>0.2259281623017538</v>
      </c>
      <c r="P42" s="38"/>
      <c r="Q42" s="120"/>
    </row>
    <row r="43" spans="2:32" x14ac:dyDescent="0.3">
      <c r="B43" s="119" t="s">
        <v>136</v>
      </c>
      <c r="C43" s="38"/>
      <c r="D43" s="38"/>
      <c r="E43" s="38"/>
      <c r="F43" s="38"/>
      <c r="G43" s="38"/>
      <c r="H43" s="38"/>
      <c r="I43" s="38"/>
      <c r="J43" s="38"/>
      <c r="K43" s="38"/>
      <c r="L43" s="67">
        <f>('Enphase Energy- Financials'!C14+'Enphase Energy- Financials'!C65)/'Enphase Energy- Financials'!C4</f>
        <v>0.18247313533002421</v>
      </c>
      <c r="M43" s="67">
        <f>('Enphase Energy- Financials'!D14+'Enphase Energy- Financials'!D65)/'Enphase Energy- Financials'!D4</f>
        <v>0.2046860573974239</v>
      </c>
      <c r="N43" s="67">
        <f>('Enphase Energy- Financials'!E14+'Enphase Energy- Financials'!E65)/'Enphase Energy- Financials'!E4</f>
        <v>0.14364107206039728</v>
      </c>
      <c r="O43" s="67">
        <f>('Enphase Energy- Financials'!F14+'Enphase Energy- Financials'!F65)/'Enphase Energy- Financials'!F4</f>
        <v>0.22207706792320236</v>
      </c>
      <c r="P43" s="38"/>
      <c r="Q43" s="120"/>
    </row>
    <row r="44" spans="2:32" x14ac:dyDescent="0.3">
      <c r="B44" s="119" t="s">
        <v>137</v>
      </c>
      <c r="C44" s="38"/>
      <c r="D44" s="38"/>
      <c r="E44" s="38"/>
      <c r="F44" s="38"/>
      <c r="G44" s="38"/>
      <c r="H44" s="38"/>
      <c r="I44" s="38"/>
      <c r="J44" s="38"/>
      <c r="K44" s="38"/>
      <c r="L44" s="67">
        <f>'Enphase Energy- Financials'!C22/'Enphase Energy- Financials'!C4</f>
        <v>0.25811225740109844</v>
      </c>
      <c r="M44" s="67">
        <f>'Enphase Energy- Financials'!D22/'Enphase Energy- Financials'!D4</f>
        <v>0.17302514769022179</v>
      </c>
      <c r="N44" s="67">
        <f>'Enphase Energy- Financials'!E22/'Enphase Energy- Financials'!E4</f>
        <v>0.10524156524117452</v>
      </c>
      <c r="O44" s="67">
        <f>'Enphase Energy- Financials'!F22/'Enphase Energy- Financials'!F4</f>
        <v>0.17047921941023308</v>
      </c>
      <c r="P44" s="38"/>
      <c r="Q44" s="120"/>
    </row>
    <row r="45" spans="2:32" x14ac:dyDescent="0.3">
      <c r="B45" s="119"/>
      <c r="C45" s="38"/>
      <c r="D45" s="38"/>
      <c r="E45" s="38"/>
      <c r="F45" s="38"/>
      <c r="G45" s="38"/>
      <c r="H45" s="38"/>
      <c r="I45" s="38"/>
      <c r="J45" s="38"/>
      <c r="K45" s="38"/>
      <c r="L45" s="38"/>
      <c r="M45" s="38"/>
      <c r="N45" s="38"/>
      <c r="O45" s="38"/>
      <c r="P45" s="38"/>
      <c r="Q45" s="120"/>
    </row>
    <row r="46" spans="2:32" x14ac:dyDescent="0.3">
      <c r="B46" s="397" t="s">
        <v>127</v>
      </c>
      <c r="C46" s="398"/>
      <c r="D46" s="398"/>
      <c r="E46" s="398"/>
      <c r="F46" s="398"/>
      <c r="G46" s="398"/>
      <c r="H46" s="398"/>
      <c r="I46" s="398"/>
      <c r="J46" s="398"/>
      <c r="K46" s="398"/>
      <c r="L46" s="398"/>
      <c r="M46" s="398"/>
      <c r="N46" s="398"/>
      <c r="O46" s="398"/>
      <c r="P46" s="398"/>
      <c r="Q46" s="399"/>
      <c r="R46" s="82"/>
      <c r="S46" s="82"/>
      <c r="T46" s="82"/>
      <c r="U46" s="82"/>
      <c r="V46" s="82"/>
      <c r="W46" s="82"/>
      <c r="X46" s="82"/>
      <c r="Y46" s="82"/>
      <c r="Z46" s="82"/>
      <c r="AA46" s="82"/>
      <c r="AB46" s="82"/>
      <c r="AC46" s="82"/>
      <c r="AD46" s="82"/>
      <c r="AE46" s="82"/>
      <c r="AF46" s="82"/>
    </row>
    <row r="47" spans="2:32" x14ac:dyDescent="0.3">
      <c r="B47" s="119"/>
      <c r="C47" s="38"/>
      <c r="D47" s="38"/>
      <c r="E47" s="38"/>
      <c r="F47" s="38"/>
      <c r="G47" s="38"/>
      <c r="H47" s="38"/>
      <c r="I47" s="38"/>
      <c r="J47" s="38"/>
      <c r="K47" s="38"/>
      <c r="L47" s="49">
        <f>L38</f>
        <v>43800</v>
      </c>
      <c r="M47" s="49">
        <f t="shared" ref="M47:O47" si="5">M38</f>
        <v>44166</v>
      </c>
      <c r="N47" s="49">
        <f t="shared" si="5"/>
        <v>44532</v>
      </c>
      <c r="O47" s="49">
        <f t="shared" si="5"/>
        <v>44898</v>
      </c>
      <c r="P47" s="38"/>
      <c r="Q47" s="120"/>
    </row>
    <row r="48" spans="2:32" x14ac:dyDescent="0.3">
      <c r="B48" s="119" t="s">
        <v>128</v>
      </c>
      <c r="C48" s="38"/>
      <c r="D48" s="38"/>
      <c r="E48" s="38"/>
      <c r="F48" s="38"/>
      <c r="G48" s="38"/>
      <c r="H48" s="38"/>
      <c r="I48" s="38"/>
      <c r="J48" s="38"/>
      <c r="K48" s="38"/>
      <c r="L48" s="39">
        <f>'Enphase Energy- Financials'!C23/'Enphase Energy- Financials'!C4</f>
        <v>5.1414869949209798</v>
      </c>
      <c r="M48" s="39">
        <f>'Enphase Energy- Financials'!D23/'Enphase Energy- Financials'!D4</f>
        <v>28.614778706782452</v>
      </c>
      <c r="N48" s="39">
        <f>'Enphase Energy- Financials'!E23/'Enphase Energy- Financials'!E4</f>
        <v>17.857543401138454</v>
      </c>
      <c r="O48" s="39">
        <f>'Enphase Energy- Financials'!F23/'Enphase Energy- Financials'!F4</f>
        <v>15.449279727207164</v>
      </c>
      <c r="P48" s="38"/>
      <c r="Q48" s="120"/>
    </row>
    <row r="49" spans="2:18" x14ac:dyDescent="0.3">
      <c r="B49" s="119" t="s">
        <v>129</v>
      </c>
      <c r="C49" s="38"/>
      <c r="D49" s="38"/>
      <c r="E49" s="38"/>
      <c r="F49" s="38"/>
      <c r="G49" s="38"/>
      <c r="H49" s="38"/>
      <c r="I49" s="38"/>
      <c r="J49" s="38"/>
      <c r="K49" s="38"/>
      <c r="L49" s="39">
        <f>'Enphase Energy- Financials'!C23/'Enphase Energy- Financials'!C22</f>
        <v>19.919577034775486</v>
      </c>
      <c r="M49" s="39">
        <f>'Enphase Energy- Financials'!D23/'Enphase Energy- Financials'!D22</f>
        <v>165.37930519795515</v>
      </c>
      <c r="N49" s="39">
        <f>'Enphase Energy- Financials'!E23/'Enphase Energy- Financials'!E22</f>
        <v>169.68146910600967</v>
      </c>
      <c r="O49" s="39">
        <f>'Enphase Energy- Financials'!F23/'Enphase Energy- Financials'!F22</f>
        <v>90.622656419083853</v>
      </c>
      <c r="P49" s="38"/>
      <c r="Q49" s="120"/>
    </row>
    <row r="50" spans="2:18" x14ac:dyDescent="0.3">
      <c r="B50" s="119" t="s">
        <v>140</v>
      </c>
      <c r="C50" s="38"/>
      <c r="D50" s="38"/>
      <c r="E50" s="38"/>
      <c r="F50" s="38"/>
      <c r="G50" s="38"/>
      <c r="H50" s="38"/>
      <c r="I50" s="38"/>
      <c r="J50" s="38"/>
      <c r="K50" s="38"/>
      <c r="L50" s="39">
        <f>'Enphase Energy- Financials'!C23/'Enphase Energy- Financials'!C72</f>
        <v>23.082399131353952</v>
      </c>
      <c r="M50" s="39">
        <f>'Enphase Energy- Financials'!D23/'Enphase Energy- Financials'!D72</f>
        <v>102.43419897011103</v>
      </c>
      <c r="N50" s="39">
        <f>'Enphase Energy- Financials'!E23/'Enphase Energy- Financials'!E72</f>
        <v>70.108059586169276</v>
      </c>
      <c r="O50" s="39">
        <f>'Enphase Energy- Financials'!F23/'Enphase Energy- Financials'!F72</f>
        <v>48.347446419724577</v>
      </c>
      <c r="P50" s="38"/>
      <c r="Q50" s="120"/>
    </row>
    <row r="51" spans="2:18" x14ac:dyDescent="0.3">
      <c r="B51" s="119" t="s">
        <v>130</v>
      </c>
      <c r="C51" s="38"/>
      <c r="D51" s="38"/>
      <c r="E51" s="38"/>
      <c r="F51" s="38"/>
      <c r="G51" s="38"/>
      <c r="H51" s="38"/>
      <c r="I51" s="38"/>
      <c r="J51" s="38"/>
      <c r="K51" s="38"/>
      <c r="L51" s="39">
        <f>'Enphase Energy- Financials'!C23/'Enphase Energy- Financials'!C58</f>
        <v>11.792279546823799</v>
      </c>
      <c r="M51" s="39">
        <f>'Enphase Energy- Financials'!D23/'Enphase Energy- Financials'!D58</f>
        <v>45.785786158064269</v>
      </c>
      <c r="N51" s="39">
        <f>'Enphase Energy- Financials'!E23/'Enphase Energy- Financials'!E58</f>
        <v>57.372933365568798</v>
      </c>
      <c r="O51" s="39">
        <f>'Enphase Energy- Financials'!F23/'Enphase Energy- Financials'!F58</f>
        <v>43.618190032862024</v>
      </c>
      <c r="P51" s="38"/>
      <c r="Q51" s="120"/>
    </row>
    <row r="52" spans="2:18" x14ac:dyDescent="0.3">
      <c r="B52" s="119"/>
      <c r="C52" s="38"/>
      <c r="D52" s="38"/>
      <c r="E52" s="38"/>
      <c r="F52" s="38"/>
      <c r="G52" s="38"/>
      <c r="H52" s="38"/>
      <c r="I52" s="38"/>
      <c r="J52" s="38"/>
      <c r="K52" s="38"/>
      <c r="L52" s="38"/>
      <c r="M52" s="38"/>
      <c r="N52" s="38"/>
      <c r="O52" s="38"/>
      <c r="P52" s="38"/>
      <c r="Q52" s="120"/>
    </row>
    <row r="53" spans="2:18" x14ac:dyDescent="0.3">
      <c r="B53" s="397" t="s">
        <v>181</v>
      </c>
      <c r="C53" s="398"/>
      <c r="D53" s="398"/>
      <c r="E53" s="398"/>
      <c r="F53" s="398"/>
      <c r="G53" s="398"/>
      <c r="H53" s="398"/>
      <c r="I53" s="398"/>
      <c r="J53" s="398"/>
      <c r="K53" s="398"/>
      <c r="L53" s="398"/>
      <c r="M53" s="398"/>
      <c r="N53" s="398"/>
      <c r="O53" s="398"/>
      <c r="P53" s="398"/>
      <c r="Q53" s="399"/>
      <c r="R53" s="83"/>
    </row>
    <row r="54" spans="2:18" x14ac:dyDescent="0.3">
      <c r="B54" s="119"/>
      <c r="C54" s="38"/>
      <c r="D54" s="38"/>
      <c r="E54" s="38"/>
      <c r="F54" s="38"/>
      <c r="G54" s="38"/>
      <c r="H54" s="38"/>
      <c r="I54" s="38"/>
      <c r="J54" s="38"/>
      <c r="K54" s="38"/>
      <c r="L54" s="49">
        <f>L38</f>
        <v>43800</v>
      </c>
      <c r="M54" s="49">
        <f t="shared" ref="M54:O54" si="6">M38</f>
        <v>44166</v>
      </c>
      <c r="N54" s="49">
        <f t="shared" si="6"/>
        <v>44532</v>
      </c>
      <c r="O54" s="49">
        <f t="shared" si="6"/>
        <v>44898</v>
      </c>
      <c r="P54" s="38"/>
      <c r="Q54" s="120"/>
    </row>
    <row r="55" spans="2:18" x14ac:dyDescent="0.3">
      <c r="B55" s="119" t="s">
        <v>23</v>
      </c>
      <c r="C55" s="38"/>
      <c r="D55" s="38"/>
      <c r="E55" s="38"/>
      <c r="F55" s="38"/>
      <c r="G55" s="38"/>
      <c r="H55" s="38"/>
      <c r="I55" s="38"/>
      <c r="J55" s="38"/>
      <c r="K55" s="38"/>
      <c r="L55" s="51">
        <f>'Enphase Energy- Financials'!C22</f>
        <v>161148</v>
      </c>
      <c r="M55" s="51">
        <f>'Enphase Energy- Financials'!D22</f>
        <v>133995</v>
      </c>
      <c r="N55" s="51">
        <f>'Enphase Energy- Financials'!E22</f>
        <v>145449</v>
      </c>
      <c r="O55" s="51">
        <f>'Enphase Energy- Financials'!F22</f>
        <v>397362</v>
      </c>
      <c r="P55" s="38"/>
      <c r="Q55" s="120"/>
    </row>
    <row r="56" spans="2:18" x14ac:dyDescent="0.3">
      <c r="B56" s="119" t="s">
        <v>139</v>
      </c>
      <c r="C56" s="38"/>
      <c r="D56" s="38"/>
      <c r="E56" s="38"/>
      <c r="F56" s="38"/>
      <c r="G56" s="38"/>
      <c r="H56" s="38"/>
      <c r="I56" s="38"/>
      <c r="J56" s="38"/>
      <c r="K56" s="38"/>
      <c r="L56" s="51">
        <f>'Enphase Energy- Financials'!C4</f>
        <v>624333</v>
      </c>
      <c r="M56" s="51">
        <f>'Enphase Energy- Financials'!D4</f>
        <v>774425</v>
      </c>
      <c r="N56" s="51">
        <f>'Enphase Energy- Financials'!E4</f>
        <v>1382049</v>
      </c>
      <c r="O56" s="51">
        <f>'Enphase Energy- Financials'!F4</f>
        <v>2330853</v>
      </c>
      <c r="P56" s="38"/>
      <c r="Q56" s="120"/>
    </row>
    <row r="57" spans="2:18" x14ac:dyDescent="0.3">
      <c r="B57" s="119" t="s">
        <v>39</v>
      </c>
      <c r="C57" s="38"/>
      <c r="D57" s="38"/>
      <c r="E57" s="38"/>
      <c r="F57" s="38"/>
      <c r="G57" s="38"/>
      <c r="H57" s="38"/>
      <c r="I57" s="38"/>
      <c r="J57" s="38"/>
      <c r="K57" s="38"/>
      <c r="L57" s="51">
        <f>'Enphase Energy- Financials'!C40</f>
        <v>713223</v>
      </c>
      <c r="M57" s="51">
        <f>'Enphase Energy- Financials'!D40</f>
        <v>1200102</v>
      </c>
      <c r="N57" s="51">
        <f>'Enphase Energy- Financials'!E40</f>
        <v>2079256</v>
      </c>
      <c r="O57" s="51">
        <f>'Enphase Energy- Financials'!F40</f>
        <v>3084280</v>
      </c>
      <c r="P57" s="38"/>
      <c r="Q57" s="120"/>
    </row>
    <row r="58" spans="2:18" x14ac:dyDescent="0.3">
      <c r="B58" s="119" t="s">
        <v>141</v>
      </c>
      <c r="C58" s="38"/>
      <c r="D58" s="38"/>
      <c r="E58" s="38"/>
      <c r="F58" s="38"/>
      <c r="G58" s="38"/>
      <c r="H58" s="38"/>
      <c r="I58" s="38"/>
      <c r="J58" s="38"/>
      <c r="K58" s="38"/>
      <c r="L58" s="51">
        <f>'Enphase Energy- Financials'!C58</f>
        <v>272212</v>
      </c>
      <c r="M58" s="51">
        <f>'Enphase Energy- Financials'!D58</f>
        <v>483993</v>
      </c>
      <c r="N58" s="51">
        <f>'Enphase Energy- Financials'!E58</f>
        <v>430168</v>
      </c>
      <c r="O58" s="51">
        <f>'Enphase Energy- Financials'!F58</f>
        <v>825573</v>
      </c>
      <c r="P58" s="38"/>
      <c r="Q58" s="120"/>
    </row>
    <row r="59" spans="2:18" x14ac:dyDescent="0.3">
      <c r="B59" s="119" t="s">
        <v>142</v>
      </c>
      <c r="C59" s="38"/>
      <c r="D59" s="38"/>
      <c r="E59" s="38"/>
      <c r="F59" s="38"/>
      <c r="G59" s="38"/>
      <c r="H59" s="38"/>
      <c r="I59" s="38"/>
      <c r="J59" s="38"/>
      <c r="K59" s="38"/>
      <c r="L59" s="67">
        <f>L55/L56</f>
        <v>0.25811225740109844</v>
      </c>
      <c r="M59" s="67">
        <f t="shared" ref="M59:O59" si="7">M55/M56</f>
        <v>0.17302514769022179</v>
      </c>
      <c r="N59" s="67">
        <f t="shared" si="7"/>
        <v>0.10524156524117452</v>
      </c>
      <c r="O59" s="67">
        <f t="shared" si="7"/>
        <v>0.17047921941023308</v>
      </c>
      <c r="P59" s="38"/>
      <c r="Q59" s="120"/>
    </row>
    <row r="60" spans="2:18" x14ac:dyDescent="0.3">
      <c r="B60" s="119" t="s">
        <v>143</v>
      </c>
      <c r="C60" s="38"/>
      <c r="D60" s="38"/>
      <c r="E60" s="38"/>
      <c r="F60" s="38"/>
      <c r="G60" s="38"/>
      <c r="H60" s="38"/>
      <c r="I60" s="38"/>
      <c r="J60" s="38"/>
      <c r="K60" s="38"/>
      <c r="L60" s="39">
        <f>L56/L57</f>
        <v>0.87536857336345009</v>
      </c>
      <c r="M60" s="39">
        <f t="shared" ref="M60:O60" si="8">M56/M57</f>
        <v>0.64529931622478753</v>
      </c>
      <c r="N60" s="39">
        <f t="shared" si="8"/>
        <v>0.66468438710769617</v>
      </c>
      <c r="O60" s="39">
        <f t="shared" si="8"/>
        <v>0.75572029776803662</v>
      </c>
      <c r="P60" s="38"/>
      <c r="Q60" s="120"/>
    </row>
    <row r="61" spans="2:18" x14ac:dyDescent="0.3">
      <c r="B61" s="119" t="s">
        <v>144</v>
      </c>
      <c r="C61" s="38"/>
      <c r="D61" s="38"/>
      <c r="E61" s="38"/>
      <c r="F61" s="38"/>
      <c r="G61" s="38"/>
      <c r="H61" s="38"/>
      <c r="I61" s="38"/>
      <c r="J61" s="38"/>
      <c r="K61" s="38"/>
      <c r="L61" s="39">
        <f>L57/L58</f>
        <v>2.6201012446181653</v>
      </c>
      <c r="M61" s="39">
        <f t="shared" ref="M61:O61" si="9">M57/M58</f>
        <v>2.4795854485498756</v>
      </c>
      <c r="N61" s="39">
        <f t="shared" si="9"/>
        <v>4.833590597162039</v>
      </c>
      <c r="O61" s="39">
        <f t="shared" si="9"/>
        <v>3.7359264413928264</v>
      </c>
      <c r="P61" s="38"/>
      <c r="Q61" s="120"/>
    </row>
    <row r="62" spans="2:18" x14ac:dyDescent="0.3">
      <c r="B62" s="121" t="s">
        <v>145</v>
      </c>
      <c r="C62" s="122"/>
      <c r="D62" s="122"/>
      <c r="E62" s="122"/>
      <c r="F62" s="122"/>
      <c r="G62" s="122"/>
      <c r="H62" s="122"/>
      <c r="I62" s="122"/>
      <c r="J62" s="122"/>
      <c r="K62" s="122"/>
      <c r="L62" s="123">
        <f>L59*L60*L61</f>
        <v>0.59199447489456747</v>
      </c>
      <c r="M62" s="123">
        <f t="shared" ref="M62:O62" si="10">M59*M60*M61</f>
        <v>0.27685317762860207</v>
      </c>
      <c r="N62" s="123">
        <f t="shared" si="10"/>
        <v>0.33812138513325024</v>
      </c>
      <c r="O62" s="123">
        <f t="shared" si="10"/>
        <v>0.48131661282527405</v>
      </c>
      <c r="P62" s="122"/>
      <c r="Q62" s="124"/>
    </row>
    <row r="63" spans="2:18" x14ac:dyDescent="0.3">
      <c r="B63" s="119"/>
      <c r="C63" s="38"/>
      <c r="D63" s="38"/>
      <c r="E63" s="38"/>
      <c r="F63" s="38"/>
      <c r="G63" s="38"/>
      <c r="H63" s="38"/>
      <c r="I63" s="38"/>
      <c r="J63" s="38"/>
      <c r="K63" s="38"/>
      <c r="L63" s="38"/>
      <c r="M63" s="38"/>
      <c r="N63" s="38"/>
      <c r="O63" s="38"/>
      <c r="P63" s="38"/>
      <c r="Q63" s="120"/>
    </row>
    <row r="64" spans="2:18" x14ac:dyDescent="0.3">
      <c r="B64" s="397" t="s">
        <v>182</v>
      </c>
      <c r="C64" s="398"/>
      <c r="D64" s="398"/>
      <c r="E64" s="398"/>
      <c r="F64" s="398"/>
      <c r="G64" s="398"/>
      <c r="H64" s="398"/>
      <c r="I64" s="398"/>
      <c r="J64" s="398"/>
      <c r="K64" s="398"/>
      <c r="L64" s="398"/>
      <c r="M64" s="398"/>
      <c r="N64" s="398"/>
      <c r="O64" s="398"/>
      <c r="P64" s="398"/>
      <c r="Q64" s="399"/>
    </row>
    <row r="65" spans="2:17" x14ac:dyDescent="0.3">
      <c r="B65" s="119"/>
      <c r="C65" s="38"/>
      <c r="D65" s="38"/>
      <c r="E65" s="38"/>
      <c r="F65" s="38"/>
      <c r="G65" s="38"/>
      <c r="H65" s="38"/>
      <c r="I65" s="38"/>
      <c r="J65" s="38"/>
      <c r="K65" s="38"/>
      <c r="L65" s="49">
        <f>L54</f>
        <v>43800</v>
      </c>
      <c r="M65" s="49">
        <f t="shared" ref="M65:O65" si="11">M54</f>
        <v>44166</v>
      </c>
      <c r="N65" s="49">
        <f t="shared" si="11"/>
        <v>44532</v>
      </c>
      <c r="O65" s="49">
        <f t="shared" si="11"/>
        <v>44898</v>
      </c>
      <c r="P65" s="38"/>
      <c r="Q65" s="120"/>
    </row>
    <row r="66" spans="2:17" x14ac:dyDescent="0.3">
      <c r="B66" s="119" t="s">
        <v>23</v>
      </c>
      <c r="C66" s="38"/>
      <c r="D66" s="38"/>
      <c r="E66" s="38"/>
      <c r="F66" s="38"/>
      <c r="G66" s="38"/>
      <c r="H66" s="38"/>
      <c r="I66" s="38"/>
      <c r="J66" s="38"/>
      <c r="K66" s="38"/>
      <c r="L66" s="51">
        <f>L55</f>
        <v>161148</v>
      </c>
      <c r="M66" s="51">
        <f t="shared" ref="M66:O66" si="12">M55</f>
        <v>133995</v>
      </c>
      <c r="N66" s="51">
        <f t="shared" si="12"/>
        <v>145449</v>
      </c>
      <c r="O66" s="51">
        <f t="shared" si="12"/>
        <v>397362</v>
      </c>
      <c r="P66" s="38"/>
      <c r="Q66" s="120"/>
    </row>
    <row r="67" spans="2:17" x14ac:dyDescent="0.3">
      <c r="B67" s="119" t="s">
        <v>139</v>
      </c>
      <c r="C67" s="38"/>
      <c r="D67" s="38"/>
      <c r="E67" s="38"/>
      <c r="F67" s="38"/>
      <c r="G67" s="38"/>
      <c r="H67" s="38"/>
      <c r="I67" s="38"/>
      <c r="J67" s="38"/>
      <c r="K67" s="38"/>
      <c r="L67" s="51">
        <f t="shared" ref="L67:O67" si="13">L56</f>
        <v>624333</v>
      </c>
      <c r="M67" s="51">
        <f t="shared" si="13"/>
        <v>774425</v>
      </c>
      <c r="N67" s="51">
        <f t="shared" si="13"/>
        <v>1382049</v>
      </c>
      <c r="O67" s="51">
        <f t="shared" si="13"/>
        <v>2330853</v>
      </c>
      <c r="P67" s="38"/>
      <c r="Q67" s="120"/>
    </row>
    <row r="68" spans="2:17" x14ac:dyDescent="0.3">
      <c r="B68" s="119" t="s">
        <v>39</v>
      </c>
      <c r="C68" s="38"/>
      <c r="D68" s="38"/>
      <c r="E68" s="38"/>
      <c r="F68" s="38"/>
      <c r="G68" s="38"/>
      <c r="H68" s="38"/>
      <c r="I68" s="38"/>
      <c r="J68" s="38"/>
      <c r="K68" s="38"/>
      <c r="L68" s="51">
        <f t="shared" ref="L68:O68" si="14">L57</f>
        <v>713223</v>
      </c>
      <c r="M68" s="51">
        <f t="shared" si="14"/>
        <v>1200102</v>
      </c>
      <c r="N68" s="51">
        <f t="shared" si="14"/>
        <v>2079256</v>
      </c>
      <c r="O68" s="51">
        <f t="shared" si="14"/>
        <v>3084280</v>
      </c>
      <c r="P68" s="38"/>
      <c r="Q68" s="120"/>
    </row>
    <row r="69" spans="2:17" x14ac:dyDescent="0.3">
      <c r="B69" s="119" t="s">
        <v>142</v>
      </c>
      <c r="C69" s="38"/>
      <c r="D69" s="38"/>
      <c r="E69" s="38"/>
      <c r="F69" s="38"/>
      <c r="G69" s="38"/>
      <c r="H69" s="38"/>
      <c r="I69" s="38"/>
      <c r="J69" s="38"/>
      <c r="K69" s="38"/>
      <c r="L69" s="67">
        <f>L66/L67</f>
        <v>0.25811225740109844</v>
      </c>
      <c r="M69" s="67">
        <f t="shared" ref="M69:O69" si="15">M66/M67</f>
        <v>0.17302514769022179</v>
      </c>
      <c r="N69" s="67">
        <f t="shared" si="15"/>
        <v>0.10524156524117452</v>
      </c>
      <c r="O69" s="67">
        <f t="shared" si="15"/>
        <v>0.17047921941023308</v>
      </c>
      <c r="P69" s="38"/>
      <c r="Q69" s="120"/>
    </row>
    <row r="70" spans="2:17" x14ac:dyDescent="0.3">
      <c r="B70" s="119" t="s">
        <v>143</v>
      </c>
      <c r="C70" s="38"/>
      <c r="D70" s="38"/>
      <c r="E70" s="38"/>
      <c r="F70" s="38"/>
      <c r="G70" s="38"/>
      <c r="H70" s="38"/>
      <c r="I70" s="38"/>
      <c r="J70" s="38"/>
      <c r="K70" s="38"/>
      <c r="L70" s="39">
        <f>L67/L68</f>
        <v>0.87536857336345009</v>
      </c>
      <c r="M70" s="39">
        <f t="shared" ref="M70:O70" si="16">M67/M68</f>
        <v>0.64529931622478753</v>
      </c>
      <c r="N70" s="39">
        <f t="shared" si="16"/>
        <v>0.66468438710769617</v>
      </c>
      <c r="O70" s="39">
        <f t="shared" si="16"/>
        <v>0.75572029776803662</v>
      </c>
      <c r="P70" s="38"/>
      <c r="Q70" s="120"/>
    </row>
    <row r="71" spans="2:17" x14ac:dyDescent="0.3">
      <c r="B71" s="121" t="s">
        <v>147</v>
      </c>
      <c r="C71" s="122"/>
      <c r="D71" s="122"/>
      <c r="E71" s="122"/>
      <c r="F71" s="122"/>
      <c r="G71" s="122"/>
      <c r="H71" s="122"/>
      <c r="I71" s="122"/>
      <c r="J71" s="122"/>
      <c r="K71" s="122"/>
      <c r="L71" s="123">
        <f>L69*L70</f>
        <v>0.22594335852881917</v>
      </c>
      <c r="M71" s="123">
        <f t="shared" ref="M71:O71" si="17">M69*M70</f>
        <v>0.11165300949419299</v>
      </c>
      <c r="N71" s="123">
        <f t="shared" si="17"/>
        <v>6.9952425290584708E-2</v>
      </c>
      <c r="O71" s="123">
        <f t="shared" si="17"/>
        <v>0.12883460645596378</v>
      </c>
      <c r="P71" s="122"/>
      <c r="Q71" s="124"/>
    </row>
    <row r="72" spans="2:17" x14ac:dyDescent="0.3">
      <c r="B72" s="119"/>
      <c r="C72" s="38"/>
      <c r="D72" s="38"/>
      <c r="E72" s="38"/>
      <c r="F72" s="38"/>
      <c r="G72" s="38"/>
      <c r="H72" s="38"/>
      <c r="I72" s="38"/>
      <c r="J72" s="38"/>
      <c r="K72" s="38"/>
      <c r="L72" s="38"/>
      <c r="M72" s="38"/>
      <c r="N72" s="38"/>
      <c r="O72" s="38"/>
      <c r="P72" s="38"/>
      <c r="Q72" s="120"/>
    </row>
    <row r="73" spans="2:17" x14ac:dyDescent="0.3">
      <c r="B73" s="125" t="s">
        <v>194</v>
      </c>
      <c r="C73" s="38"/>
      <c r="D73" s="38"/>
      <c r="E73" s="38"/>
      <c r="F73" s="38"/>
      <c r="G73" s="38"/>
      <c r="H73" s="38"/>
      <c r="I73" s="38"/>
      <c r="J73" s="38"/>
      <c r="K73" s="38"/>
      <c r="L73" s="38"/>
      <c r="M73" s="38"/>
      <c r="N73" s="38"/>
      <c r="O73" s="38"/>
      <c r="P73" s="38"/>
      <c r="Q73" s="120"/>
    </row>
    <row r="74" spans="2:17" x14ac:dyDescent="0.3">
      <c r="B74" s="126" t="s">
        <v>195</v>
      </c>
      <c r="C74" s="127"/>
      <c r="D74" s="127"/>
      <c r="E74" s="127"/>
      <c r="F74" s="127"/>
      <c r="G74" s="127"/>
      <c r="H74" s="127"/>
      <c r="I74" s="127"/>
      <c r="J74" s="127"/>
      <c r="K74" s="127"/>
      <c r="L74" s="127"/>
      <c r="M74" s="127"/>
      <c r="N74" s="127"/>
      <c r="O74" s="127"/>
      <c r="P74" s="127"/>
      <c r="Q74" s="128"/>
    </row>
    <row r="75" spans="2:17" x14ac:dyDescent="0.3">
      <c r="B75" s="126" t="s">
        <v>196</v>
      </c>
      <c r="C75" s="127"/>
      <c r="D75" s="127"/>
      <c r="E75" s="127"/>
      <c r="F75" s="127"/>
      <c r="G75" s="127"/>
      <c r="H75" s="127"/>
      <c r="I75" s="127"/>
      <c r="J75" s="127"/>
      <c r="K75" s="127"/>
      <c r="L75" s="127"/>
      <c r="M75" s="127"/>
      <c r="N75" s="127"/>
      <c r="O75" s="127"/>
      <c r="P75" s="127"/>
      <c r="Q75" s="128"/>
    </row>
    <row r="76" spans="2:17" x14ac:dyDescent="0.3">
      <c r="B76" s="126" t="s">
        <v>197</v>
      </c>
      <c r="C76" s="127"/>
      <c r="D76" s="127"/>
      <c r="E76" s="127"/>
      <c r="F76" s="127"/>
      <c r="G76" s="127"/>
      <c r="H76" s="127"/>
      <c r="I76" s="127"/>
      <c r="J76" s="127"/>
      <c r="K76" s="127"/>
      <c r="L76" s="127"/>
      <c r="M76" s="127"/>
      <c r="N76" s="127"/>
      <c r="O76" s="127"/>
      <c r="P76" s="127"/>
      <c r="Q76" s="128"/>
    </row>
    <row r="77" spans="2:17" x14ac:dyDescent="0.3">
      <c r="B77" s="126" t="s">
        <v>199</v>
      </c>
      <c r="C77" s="127"/>
      <c r="D77" s="127"/>
      <c r="E77" s="127"/>
      <c r="F77" s="127"/>
      <c r="G77" s="127"/>
      <c r="H77" s="127"/>
      <c r="I77" s="127"/>
      <c r="J77" s="127"/>
      <c r="K77" s="127"/>
      <c r="L77" s="127"/>
      <c r="M77" s="127"/>
      <c r="N77" s="127"/>
      <c r="O77" s="127"/>
      <c r="P77" s="127"/>
      <c r="Q77" s="128"/>
    </row>
    <row r="78" spans="2:17" x14ac:dyDescent="0.3">
      <c r="B78" s="126" t="s">
        <v>198</v>
      </c>
      <c r="C78" s="127"/>
      <c r="D78" s="127"/>
      <c r="E78" s="127"/>
      <c r="F78" s="127"/>
      <c r="G78" s="127"/>
      <c r="H78" s="127"/>
      <c r="I78" s="127"/>
      <c r="J78" s="127"/>
      <c r="K78" s="127"/>
      <c r="L78" s="127"/>
      <c r="M78" s="127"/>
      <c r="N78" s="127"/>
      <c r="O78" s="127"/>
      <c r="P78" s="127"/>
      <c r="Q78" s="128"/>
    </row>
    <row r="79" spans="2:17" ht="15" thickBot="1" x14ac:dyDescent="0.35">
      <c r="B79" s="129" t="s">
        <v>200</v>
      </c>
      <c r="C79" s="130"/>
      <c r="D79" s="130"/>
      <c r="E79" s="130"/>
      <c r="F79" s="130"/>
      <c r="G79" s="130"/>
      <c r="H79" s="130"/>
      <c r="I79" s="130"/>
      <c r="J79" s="130"/>
      <c r="K79" s="130"/>
      <c r="L79" s="130"/>
      <c r="M79" s="130"/>
      <c r="N79" s="130"/>
      <c r="O79" s="130"/>
      <c r="P79" s="130"/>
      <c r="Q79" s="131"/>
    </row>
    <row r="80" spans="2:17" ht="15" thickBot="1" x14ac:dyDescent="0.35"/>
    <row r="81" spans="2:17" x14ac:dyDescent="0.3">
      <c r="B81" s="408" t="s">
        <v>183</v>
      </c>
      <c r="C81" s="409"/>
      <c r="D81" s="409"/>
      <c r="E81" s="409"/>
      <c r="F81" s="409"/>
      <c r="G81" s="409"/>
      <c r="H81" s="409"/>
      <c r="I81" s="409"/>
      <c r="J81" s="409"/>
      <c r="K81" s="409"/>
      <c r="L81" s="409"/>
      <c r="M81" s="409"/>
      <c r="N81" s="409"/>
      <c r="O81" s="409"/>
      <c r="P81" s="409"/>
      <c r="Q81" s="410"/>
    </row>
    <row r="82" spans="2:17" x14ac:dyDescent="0.3">
      <c r="B82" s="119"/>
      <c r="C82" s="38"/>
      <c r="D82" s="38"/>
      <c r="E82" s="38"/>
      <c r="F82" s="38"/>
      <c r="G82" s="38"/>
      <c r="H82" s="38"/>
      <c r="I82" s="38"/>
      <c r="J82" s="38"/>
      <c r="K82" s="38"/>
      <c r="L82" s="38"/>
      <c r="M82" s="38"/>
      <c r="N82" s="38"/>
      <c r="O82" s="38"/>
      <c r="P82" s="38"/>
      <c r="Q82" s="120"/>
    </row>
    <row r="83" spans="2:17" x14ac:dyDescent="0.3">
      <c r="B83" s="404" t="s">
        <v>184</v>
      </c>
      <c r="C83" s="405"/>
      <c r="D83" s="405"/>
      <c r="E83" s="405"/>
      <c r="F83" s="405"/>
      <c r="G83" s="405"/>
      <c r="H83" s="405"/>
      <c r="I83" s="405"/>
      <c r="J83" s="405"/>
      <c r="K83" s="405"/>
      <c r="L83" s="405"/>
      <c r="M83" s="405"/>
      <c r="N83" s="405"/>
      <c r="O83" s="405"/>
      <c r="P83" s="405"/>
      <c r="Q83" s="406"/>
    </row>
    <row r="84" spans="2:17" x14ac:dyDescent="0.3">
      <c r="B84" s="119"/>
      <c r="C84" s="38"/>
      <c r="D84" s="38"/>
      <c r="E84" s="38"/>
      <c r="F84" s="38"/>
      <c r="G84" s="38"/>
      <c r="H84" s="38"/>
      <c r="I84" s="38"/>
      <c r="J84" s="38"/>
      <c r="K84" s="38"/>
      <c r="L84" s="49">
        <f>L65</f>
        <v>43800</v>
      </c>
      <c r="M84" s="49">
        <f>M65</f>
        <v>44166</v>
      </c>
      <c r="N84" s="49">
        <f>N65</f>
        <v>44532</v>
      </c>
      <c r="O84" s="49">
        <f>O65</f>
        <v>44898</v>
      </c>
      <c r="P84" s="38"/>
      <c r="Q84" s="120"/>
    </row>
    <row r="85" spans="2:17" x14ac:dyDescent="0.3">
      <c r="B85" s="119" t="s">
        <v>152</v>
      </c>
      <c r="C85" s="38"/>
      <c r="D85" s="38"/>
      <c r="E85" s="38"/>
      <c r="F85" s="38"/>
      <c r="G85" s="38"/>
      <c r="H85" s="38"/>
      <c r="I85" s="38"/>
      <c r="J85" s="38"/>
      <c r="K85" s="38"/>
      <c r="L85" s="51">
        <f>'Enphase Energy- Financials'!C32-'Enphase Energy- Financials'!C45</f>
        <v>300346</v>
      </c>
      <c r="M85" s="51">
        <f>'Enphase Energy- Financials'!D32-'Enphase Energy- Financials'!D45</f>
        <v>399021</v>
      </c>
      <c r="N85" s="51">
        <f>'Enphase Energy- Financials'!E32-'Enphase Energy- Financials'!E45</f>
        <v>1022665</v>
      </c>
      <c r="O85" s="51">
        <f>'Enphase Energy- Financials'!F32-'Enphase Energy- Financials'!F45</f>
        <v>1626052</v>
      </c>
      <c r="P85" s="38"/>
      <c r="Q85" s="120"/>
    </row>
    <row r="86" spans="2:17" x14ac:dyDescent="0.3">
      <c r="B86" s="119" t="s">
        <v>39</v>
      </c>
      <c r="C86" s="38"/>
      <c r="D86" s="38"/>
      <c r="E86" s="38"/>
      <c r="F86" s="38"/>
      <c r="G86" s="38"/>
      <c r="H86" s="38"/>
      <c r="I86" s="38"/>
      <c r="J86" s="38"/>
      <c r="K86" s="38"/>
      <c r="L86" s="51">
        <f>L68</f>
        <v>713223</v>
      </c>
      <c r="M86" s="51">
        <f>M68</f>
        <v>1200102</v>
      </c>
      <c r="N86" s="51">
        <f>N68</f>
        <v>2079256</v>
      </c>
      <c r="O86" s="51">
        <f>O68</f>
        <v>3084280</v>
      </c>
      <c r="P86" s="38"/>
      <c r="Q86" s="120"/>
    </row>
    <row r="87" spans="2:17" x14ac:dyDescent="0.3">
      <c r="B87" s="132" t="s">
        <v>189</v>
      </c>
      <c r="C87" s="133"/>
      <c r="D87" s="133"/>
      <c r="E87" s="133"/>
      <c r="F87" s="133"/>
      <c r="G87" s="133"/>
      <c r="H87" s="133"/>
      <c r="I87" s="133"/>
      <c r="J87" s="133"/>
      <c r="K87" s="133"/>
      <c r="L87" s="134">
        <f>L85/L86</f>
        <v>0.42111092883992807</v>
      </c>
      <c r="M87" s="134">
        <f t="shared" ref="M87:O87" si="18">M85/M86</f>
        <v>0.33248923841473477</v>
      </c>
      <c r="N87" s="134">
        <f t="shared" si="18"/>
        <v>0.49184179341071999</v>
      </c>
      <c r="O87" s="134">
        <f t="shared" si="18"/>
        <v>0.52720634961806323</v>
      </c>
      <c r="P87" s="133"/>
      <c r="Q87" s="135"/>
    </row>
    <row r="88" spans="2:17" x14ac:dyDescent="0.3">
      <c r="B88" s="119"/>
      <c r="C88" s="38"/>
      <c r="D88" s="38"/>
      <c r="E88" s="38"/>
      <c r="F88" s="38"/>
      <c r="G88" s="38"/>
      <c r="H88" s="38"/>
      <c r="I88" s="38"/>
      <c r="J88" s="38"/>
      <c r="K88" s="38"/>
      <c r="L88" s="38"/>
      <c r="M88" s="38"/>
      <c r="N88" s="38"/>
      <c r="O88" s="38"/>
      <c r="P88" s="38"/>
      <c r="Q88" s="120"/>
    </row>
    <row r="89" spans="2:17" x14ac:dyDescent="0.3">
      <c r="B89" s="404" t="s">
        <v>185</v>
      </c>
      <c r="C89" s="405"/>
      <c r="D89" s="405"/>
      <c r="E89" s="405"/>
      <c r="F89" s="405"/>
      <c r="G89" s="405"/>
      <c r="H89" s="405"/>
      <c r="I89" s="405"/>
      <c r="J89" s="405"/>
      <c r="K89" s="405"/>
      <c r="L89" s="405"/>
      <c r="M89" s="405"/>
      <c r="N89" s="405"/>
      <c r="O89" s="405"/>
      <c r="P89" s="405"/>
      <c r="Q89" s="406"/>
    </row>
    <row r="90" spans="2:17" x14ac:dyDescent="0.3">
      <c r="B90" s="119"/>
      <c r="C90" s="38"/>
      <c r="D90" s="38"/>
      <c r="E90" s="38"/>
      <c r="F90" s="38"/>
      <c r="G90" s="38"/>
      <c r="H90" s="38"/>
      <c r="I90" s="38"/>
      <c r="J90" s="38"/>
      <c r="K90" s="38"/>
      <c r="L90" s="49">
        <f>L84</f>
        <v>43800</v>
      </c>
      <c r="M90" s="49">
        <f t="shared" ref="M90:O90" si="19">M84</f>
        <v>44166</v>
      </c>
      <c r="N90" s="49">
        <f t="shared" si="19"/>
        <v>44532</v>
      </c>
      <c r="O90" s="49">
        <f t="shared" si="19"/>
        <v>44898</v>
      </c>
      <c r="P90" s="38"/>
      <c r="Q90" s="120"/>
    </row>
    <row r="91" spans="2:17" x14ac:dyDescent="0.3">
      <c r="B91" s="119" t="s">
        <v>186</v>
      </c>
      <c r="C91" s="38"/>
      <c r="D91" s="38"/>
      <c r="E91" s="38"/>
      <c r="F91" s="38"/>
      <c r="G91" s="38"/>
      <c r="H91" s="38"/>
      <c r="I91" s="38"/>
      <c r="J91" s="38"/>
      <c r="K91" s="38"/>
      <c r="L91" s="51">
        <f>'Enphase Energy- Financials'!C14</f>
        <v>99805</v>
      </c>
      <c r="M91" s="51">
        <f>'Enphase Energy- Financials'!D14</f>
        <v>140411</v>
      </c>
      <c r="N91" s="51">
        <f>'Enphase Energy- Financials'!E14</f>
        <v>166080</v>
      </c>
      <c r="O91" s="51">
        <f>'Enphase Energy- Financials'!F14</f>
        <v>461486</v>
      </c>
      <c r="P91" s="38"/>
      <c r="Q91" s="120"/>
    </row>
    <row r="92" spans="2:17" x14ac:dyDescent="0.3">
      <c r="B92" s="119" t="s">
        <v>39</v>
      </c>
      <c r="C92" s="38"/>
      <c r="D92" s="38"/>
      <c r="E92" s="38"/>
      <c r="F92" s="38"/>
      <c r="G92" s="38"/>
      <c r="H92" s="38"/>
      <c r="I92" s="38"/>
      <c r="J92" s="38"/>
      <c r="K92" s="38"/>
      <c r="L92" s="51">
        <f>L86</f>
        <v>713223</v>
      </c>
      <c r="M92" s="51">
        <f t="shared" ref="M92:O92" si="20">M86</f>
        <v>1200102</v>
      </c>
      <c r="N92" s="51">
        <f t="shared" si="20"/>
        <v>2079256</v>
      </c>
      <c r="O92" s="51">
        <f t="shared" si="20"/>
        <v>3084280</v>
      </c>
      <c r="P92" s="38"/>
      <c r="Q92" s="120"/>
    </row>
    <row r="93" spans="2:17" x14ac:dyDescent="0.3">
      <c r="B93" s="136" t="s">
        <v>190</v>
      </c>
      <c r="C93" s="137"/>
      <c r="D93" s="137"/>
      <c r="E93" s="137"/>
      <c r="F93" s="137"/>
      <c r="G93" s="137"/>
      <c r="H93" s="137"/>
      <c r="I93" s="137"/>
      <c r="J93" s="137"/>
      <c r="K93" s="137"/>
      <c r="L93" s="138">
        <f>L91/L92</f>
        <v>0.13993519558398987</v>
      </c>
      <c r="M93" s="138">
        <f t="shared" ref="M93:O93" si="21">M91/M92</f>
        <v>0.11699922173281938</v>
      </c>
      <c r="N93" s="138">
        <f t="shared" si="21"/>
        <v>7.9874724420658155E-2</v>
      </c>
      <c r="O93" s="138">
        <f t="shared" si="21"/>
        <v>0.14962519615599101</v>
      </c>
      <c r="P93" s="137"/>
      <c r="Q93" s="139"/>
    </row>
    <row r="94" spans="2:17" x14ac:dyDescent="0.3">
      <c r="B94" s="119"/>
      <c r="C94" s="38"/>
      <c r="D94" s="38"/>
      <c r="E94" s="38"/>
      <c r="F94" s="38"/>
      <c r="G94" s="38"/>
      <c r="H94" s="38"/>
      <c r="I94" s="38"/>
      <c r="J94" s="38"/>
      <c r="K94" s="38"/>
      <c r="L94" s="38"/>
      <c r="M94" s="38"/>
      <c r="N94" s="38"/>
      <c r="O94" s="38"/>
      <c r="P94" s="38"/>
      <c r="Q94" s="120"/>
    </row>
    <row r="95" spans="2:17" x14ac:dyDescent="0.3">
      <c r="B95" s="404" t="s">
        <v>154</v>
      </c>
      <c r="C95" s="405"/>
      <c r="D95" s="405"/>
      <c r="E95" s="405"/>
      <c r="F95" s="405"/>
      <c r="G95" s="405"/>
      <c r="H95" s="405"/>
      <c r="I95" s="405"/>
      <c r="J95" s="405"/>
      <c r="K95" s="405"/>
      <c r="L95" s="405"/>
      <c r="M95" s="405"/>
      <c r="N95" s="405"/>
      <c r="O95" s="405"/>
      <c r="P95" s="405"/>
      <c r="Q95" s="406"/>
    </row>
    <row r="96" spans="2:17" x14ac:dyDescent="0.3">
      <c r="B96" s="119"/>
      <c r="C96" s="38"/>
      <c r="D96" s="38"/>
      <c r="E96" s="38"/>
      <c r="F96" s="38"/>
      <c r="G96" s="38"/>
      <c r="H96" s="38"/>
      <c r="I96" s="38"/>
      <c r="J96" s="38"/>
      <c r="K96" s="38"/>
      <c r="L96" s="49">
        <f>L90</f>
        <v>43800</v>
      </c>
      <c r="M96" s="49">
        <f t="shared" ref="M96:O96" si="22">M90</f>
        <v>44166</v>
      </c>
      <c r="N96" s="49">
        <f t="shared" si="22"/>
        <v>44532</v>
      </c>
      <c r="O96" s="49">
        <f t="shared" si="22"/>
        <v>44898</v>
      </c>
      <c r="P96" s="38"/>
      <c r="Q96" s="120"/>
    </row>
    <row r="97" spans="2:17" x14ac:dyDescent="0.3">
      <c r="B97" s="119" t="s">
        <v>53</v>
      </c>
      <c r="C97" s="38"/>
      <c r="D97" s="38"/>
      <c r="E97" s="38"/>
      <c r="F97" s="38"/>
      <c r="G97" s="38"/>
      <c r="H97" s="38"/>
      <c r="I97" s="38"/>
      <c r="J97" s="38"/>
      <c r="K97" s="38"/>
      <c r="L97" s="51">
        <f>'Enphase Energy- Financials'!C55</f>
        <v>0</v>
      </c>
      <c r="M97" s="51">
        <f>'Enphase Energy- Financials'!D55</f>
        <v>0</v>
      </c>
      <c r="N97" s="51">
        <f>'Enphase Energy- Financials'!E55</f>
        <v>0</v>
      </c>
      <c r="O97" s="51">
        <f>'Enphase Energy- Financials'!F55</f>
        <v>0</v>
      </c>
      <c r="P97" s="38"/>
      <c r="Q97" s="120"/>
    </row>
    <row r="98" spans="2:17" x14ac:dyDescent="0.3">
      <c r="B98" s="119" t="s">
        <v>39</v>
      </c>
      <c r="C98" s="38"/>
      <c r="D98" s="38"/>
      <c r="E98" s="38"/>
      <c r="F98" s="38"/>
      <c r="G98" s="38"/>
      <c r="H98" s="38"/>
      <c r="I98" s="38"/>
      <c r="J98" s="38"/>
      <c r="K98" s="38"/>
      <c r="L98" s="51">
        <f>L92</f>
        <v>713223</v>
      </c>
      <c r="M98" s="51">
        <f>M92</f>
        <v>1200102</v>
      </c>
      <c r="N98" s="51">
        <f>N92</f>
        <v>2079256</v>
      </c>
      <c r="O98" s="51">
        <f>O92</f>
        <v>3084280</v>
      </c>
      <c r="P98" s="38"/>
      <c r="Q98" s="120"/>
    </row>
    <row r="99" spans="2:17" x14ac:dyDescent="0.3">
      <c r="B99" s="136" t="s">
        <v>191</v>
      </c>
      <c r="C99" s="137"/>
      <c r="D99" s="137"/>
      <c r="E99" s="137"/>
      <c r="F99" s="137"/>
      <c r="G99" s="137"/>
      <c r="H99" s="137"/>
      <c r="I99" s="137"/>
      <c r="J99" s="137"/>
      <c r="K99" s="137"/>
      <c r="L99" s="138">
        <f>L97/L98</f>
        <v>0</v>
      </c>
      <c r="M99" s="138">
        <f t="shared" ref="M99:O99" si="23">M97/M98</f>
        <v>0</v>
      </c>
      <c r="N99" s="138">
        <f t="shared" si="23"/>
        <v>0</v>
      </c>
      <c r="O99" s="138">
        <f t="shared" si="23"/>
        <v>0</v>
      </c>
      <c r="P99" s="137"/>
      <c r="Q99" s="139"/>
    </row>
    <row r="100" spans="2:17" x14ac:dyDescent="0.3">
      <c r="B100" s="119"/>
      <c r="C100" s="38"/>
      <c r="D100" s="38"/>
      <c r="E100" s="38"/>
      <c r="F100" s="38"/>
      <c r="G100" s="38"/>
      <c r="H100" s="38"/>
      <c r="I100" s="38"/>
      <c r="J100" s="38"/>
      <c r="K100" s="38"/>
      <c r="L100" s="38"/>
      <c r="M100" s="38"/>
      <c r="N100" s="38"/>
      <c r="O100" s="38"/>
      <c r="P100" s="38"/>
      <c r="Q100" s="120"/>
    </row>
    <row r="101" spans="2:17" x14ac:dyDescent="0.3">
      <c r="B101" s="404" t="s">
        <v>187</v>
      </c>
      <c r="C101" s="405"/>
      <c r="D101" s="405"/>
      <c r="E101" s="405"/>
      <c r="F101" s="405"/>
      <c r="G101" s="405"/>
      <c r="H101" s="405"/>
      <c r="I101" s="405"/>
      <c r="J101" s="405"/>
      <c r="K101" s="405"/>
      <c r="L101" s="405"/>
      <c r="M101" s="405"/>
      <c r="N101" s="405"/>
      <c r="O101" s="405"/>
      <c r="P101" s="405"/>
      <c r="Q101" s="406"/>
    </row>
    <row r="102" spans="2:17" x14ac:dyDescent="0.3">
      <c r="B102" s="119"/>
      <c r="C102" s="38"/>
      <c r="D102" s="38"/>
      <c r="E102" s="38"/>
      <c r="F102" s="38"/>
      <c r="G102" s="38"/>
      <c r="H102" s="38"/>
      <c r="I102" s="38"/>
      <c r="J102" s="38"/>
      <c r="K102" s="38"/>
      <c r="L102" s="49">
        <f>L96</f>
        <v>43800</v>
      </c>
      <c r="M102" s="49">
        <f>M96</f>
        <v>44166</v>
      </c>
      <c r="N102" s="49">
        <f>N96</f>
        <v>44532</v>
      </c>
      <c r="O102" s="49">
        <f>O96</f>
        <v>44898</v>
      </c>
      <c r="P102" s="38"/>
      <c r="Q102" s="120"/>
    </row>
    <row r="103" spans="2:17" x14ac:dyDescent="0.3">
      <c r="B103" s="119" t="s">
        <v>139</v>
      </c>
      <c r="C103" s="38"/>
      <c r="D103" s="38"/>
      <c r="E103" s="38"/>
      <c r="F103" s="38"/>
      <c r="G103" s="38"/>
      <c r="H103" s="38"/>
      <c r="I103" s="38"/>
      <c r="J103" s="38"/>
      <c r="K103" s="38"/>
      <c r="L103" s="51">
        <f>L67</f>
        <v>624333</v>
      </c>
      <c r="M103" s="51">
        <f>M67</f>
        <v>774425</v>
      </c>
      <c r="N103" s="51">
        <f>N67</f>
        <v>1382049</v>
      </c>
      <c r="O103" s="51">
        <f>O67</f>
        <v>2330853</v>
      </c>
      <c r="P103" s="38"/>
      <c r="Q103" s="120"/>
    </row>
    <row r="104" spans="2:17" x14ac:dyDescent="0.3">
      <c r="B104" s="119" t="s">
        <v>39</v>
      </c>
      <c r="C104" s="38"/>
      <c r="D104" s="38"/>
      <c r="E104" s="38"/>
      <c r="F104" s="38"/>
      <c r="G104" s="38"/>
      <c r="H104" s="38"/>
      <c r="I104" s="38"/>
      <c r="J104" s="38"/>
      <c r="K104" s="38"/>
      <c r="L104" s="51">
        <f>L98</f>
        <v>713223</v>
      </c>
      <c r="M104" s="51">
        <f t="shared" ref="M104:O104" si="24">M98</f>
        <v>1200102</v>
      </c>
      <c r="N104" s="51">
        <f t="shared" si="24"/>
        <v>2079256</v>
      </c>
      <c r="O104" s="51">
        <f t="shared" si="24"/>
        <v>3084280</v>
      </c>
      <c r="P104" s="38"/>
      <c r="Q104" s="120"/>
    </row>
    <row r="105" spans="2:17" x14ac:dyDescent="0.3">
      <c r="B105" s="136" t="s">
        <v>192</v>
      </c>
      <c r="C105" s="137"/>
      <c r="D105" s="137"/>
      <c r="E105" s="137"/>
      <c r="F105" s="137"/>
      <c r="G105" s="137"/>
      <c r="H105" s="137"/>
      <c r="I105" s="137"/>
      <c r="J105" s="137"/>
      <c r="K105" s="137"/>
      <c r="L105" s="138">
        <f>L103/L104</f>
        <v>0.87536857336345009</v>
      </c>
      <c r="M105" s="138">
        <f t="shared" ref="M105:O105" si="25">M103/M104</f>
        <v>0.64529931622478753</v>
      </c>
      <c r="N105" s="138">
        <f t="shared" si="25"/>
        <v>0.66468438710769617</v>
      </c>
      <c r="O105" s="138">
        <f t="shared" si="25"/>
        <v>0.75572029776803662</v>
      </c>
      <c r="P105" s="137"/>
      <c r="Q105" s="139"/>
    </row>
    <row r="106" spans="2:17" x14ac:dyDescent="0.3">
      <c r="B106" s="119"/>
      <c r="C106" s="38"/>
      <c r="D106" s="38"/>
      <c r="E106" s="38"/>
      <c r="F106" s="38"/>
      <c r="G106" s="38"/>
      <c r="H106" s="38"/>
      <c r="I106" s="38"/>
      <c r="J106" s="38"/>
      <c r="K106" s="38"/>
      <c r="L106" s="38"/>
      <c r="M106" s="38"/>
      <c r="N106" s="38"/>
      <c r="O106" s="38"/>
      <c r="P106" s="38"/>
      <c r="Q106" s="120"/>
    </row>
    <row r="107" spans="2:17" x14ac:dyDescent="0.3">
      <c r="B107" s="404" t="s">
        <v>157</v>
      </c>
      <c r="C107" s="405"/>
      <c r="D107" s="405"/>
      <c r="E107" s="405"/>
      <c r="F107" s="405"/>
      <c r="G107" s="405"/>
      <c r="H107" s="405"/>
      <c r="I107" s="405"/>
      <c r="J107" s="405"/>
      <c r="K107" s="405"/>
      <c r="L107" s="405"/>
      <c r="M107" s="405"/>
      <c r="N107" s="405"/>
      <c r="O107" s="405"/>
      <c r="P107" s="405"/>
      <c r="Q107" s="406"/>
    </row>
    <row r="108" spans="2:17" x14ac:dyDescent="0.3">
      <c r="B108" s="119"/>
      <c r="C108" s="38"/>
      <c r="D108" s="38"/>
      <c r="E108" s="38"/>
      <c r="F108" s="38"/>
      <c r="G108" s="38"/>
      <c r="H108" s="38"/>
      <c r="I108" s="38"/>
      <c r="J108" s="38"/>
      <c r="K108" s="38"/>
      <c r="L108" s="49">
        <f>L102</f>
        <v>43800</v>
      </c>
      <c r="M108" s="49">
        <f t="shared" ref="M108:O108" si="26">M102</f>
        <v>44166</v>
      </c>
      <c r="N108" s="49">
        <f t="shared" si="26"/>
        <v>44532</v>
      </c>
      <c r="O108" s="49">
        <f t="shared" si="26"/>
        <v>44898</v>
      </c>
      <c r="P108" s="38"/>
      <c r="Q108" s="120"/>
    </row>
    <row r="109" spans="2:17" x14ac:dyDescent="0.3">
      <c r="B109" s="119" t="s">
        <v>160</v>
      </c>
      <c r="C109" s="38"/>
      <c r="D109" s="38"/>
      <c r="E109" s="38"/>
      <c r="F109" s="38"/>
      <c r="G109" s="38"/>
      <c r="H109" s="38"/>
      <c r="I109" s="38"/>
      <c r="J109" s="38"/>
      <c r="K109" s="38"/>
      <c r="L109" s="51">
        <f>'Enphase Energy- Financials'!C23</f>
        <v>3210000</v>
      </c>
      <c r="M109" s="51">
        <f>'Enphase Energy- Financials'!D23</f>
        <v>22160000</v>
      </c>
      <c r="N109" s="51">
        <f>'Enphase Energy- Financials'!E23</f>
        <v>24680000</v>
      </c>
      <c r="O109" s="51">
        <f>'Enphase Energy- Financials'!F23</f>
        <v>36010000</v>
      </c>
      <c r="P109" s="38"/>
      <c r="Q109" s="120"/>
    </row>
    <row r="110" spans="2:17" x14ac:dyDescent="0.3">
      <c r="B110" s="119" t="s">
        <v>159</v>
      </c>
      <c r="C110" s="38"/>
      <c r="D110" s="38"/>
      <c r="E110" s="38"/>
      <c r="F110" s="38"/>
      <c r="G110" s="38"/>
      <c r="H110" s="38"/>
      <c r="I110" s="38"/>
      <c r="J110" s="38"/>
      <c r="K110" s="38"/>
      <c r="L110" s="51">
        <f>'Enphase Energy- Financials'!C46</f>
        <v>102659</v>
      </c>
      <c r="M110" s="51">
        <f>'Enphase Energy- Financials'!D46</f>
        <v>4898</v>
      </c>
      <c r="N110" s="51">
        <f>'Enphase Energy- Financials'!E46</f>
        <v>951594</v>
      </c>
      <c r="O110" s="51">
        <f>'Enphase Energy- Financials'!F46</f>
        <v>1199465</v>
      </c>
      <c r="P110" s="38"/>
      <c r="Q110" s="120"/>
    </row>
    <row r="111" spans="2:17" ht="15" thickBot="1" x14ac:dyDescent="0.35">
      <c r="B111" s="140" t="s">
        <v>165</v>
      </c>
      <c r="C111" s="141"/>
      <c r="D111" s="141"/>
      <c r="E111" s="141"/>
      <c r="F111" s="141"/>
      <c r="G111" s="141"/>
      <c r="H111" s="141"/>
      <c r="I111" s="141"/>
      <c r="J111" s="141"/>
      <c r="K111" s="141"/>
      <c r="L111" s="141">
        <f>L109/L110</f>
        <v>31.268568756757809</v>
      </c>
      <c r="M111" s="141">
        <f t="shared" ref="M111:O111" si="27">M109/M110</f>
        <v>4524.295630869743</v>
      </c>
      <c r="N111" s="141">
        <f t="shared" si="27"/>
        <v>25.935430446177676</v>
      </c>
      <c r="O111" s="141">
        <f t="shared" si="27"/>
        <v>30.021718015948778</v>
      </c>
      <c r="P111" s="141"/>
      <c r="Q111" s="142"/>
    </row>
    <row r="113" spans="2:17" ht="15" thickBot="1" x14ac:dyDescent="0.35">
      <c r="B113" s="407" t="s">
        <v>188</v>
      </c>
      <c r="C113" s="407"/>
      <c r="D113" s="407"/>
      <c r="E113" s="407"/>
      <c r="F113" s="407"/>
      <c r="G113" s="407"/>
      <c r="H113" s="407"/>
      <c r="I113" s="407"/>
      <c r="J113" s="407"/>
      <c r="K113" s="407"/>
      <c r="L113" s="407"/>
      <c r="M113" s="407"/>
      <c r="N113" s="407"/>
      <c r="O113" s="407"/>
      <c r="P113" s="407"/>
      <c r="Q113" s="407"/>
    </row>
    <row r="114" spans="2:17" x14ac:dyDescent="0.3">
      <c r="B114" s="84"/>
      <c r="C114" s="85"/>
      <c r="D114" s="85" t="s">
        <v>169</v>
      </c>
      <c r="E114" s="85" t="s">
        <v>170</v>
      </c>
      <c r="F114" s="85" t="s">
        <v>171</v>
      </c>
      <c r="G114" s="85" t="s">
        <v>172</v>
      </c>
      <c r="H114" s="85" t="s">
        <v>173</v>
      </c>
      <c r="I114" s="85"/>
      <c r="J114" s="85"/>
      <c r="K114" s="85"/>
      <c r="L114" s="85"/>
      <c r="M114" s="85"/>
      <c r="N114" s="95" t="s">
        <v>166</v>
      </c>
      <c r="O114" s="85"/>
      <c r="P114" s="95" t="s">
        <v>174</v>
      </c>
      <c r="Q114" s="86"/>
    </row>
    <row r="115" spans="2:17" x14ac:dyDescent="0.3">
      <c r="B115" s="87" t="s">
        <v>167</v>
      </c>
      <c r="C115" s="38" t="s">
        <v>168</v>
      </c>
      <c r="D115" s="88">
        <v>1.2</v>
      </c>
      <c r="E115" s="88">
        <v>3.3</v>
      </c>
      <c r="F115" s="88">
        <v>1.4</v>
      </c>
      <c r="G115" s="88">
        <v>1</v>
      </c>
      <c r="H115" s="88">
        <v>0.6</v>
      </c>
      <c r="I115" s="38"/>
      <c r="J115" s="38"/>
      <c r="K115" s="38"/>
      <c r="L115" s="38"/>
      <c r="M115" s="38"/>
      <c r="N115" s="38"/>
      <c r="O115" s="38"/>
      <c r="P115" s="38"/>
      <c r="Q115" s="89"/>
    </row>
    <row r="116" spans="2:17" x14ac:dyDescent="0.3">
      <c r="B116" s="90">
        <f t="array" ref="B116:B119">TRANSPOSE(L108:O108)</f>
        <v>43800</v>
      </c>
      <c r="C116" s="38"/>
      <c r="D116" s="38">
        <f t="array" ref="D116:D119">TRANSPOSE(L87:O87)</f>
        <v>0.42111092883992807</v>
      </c>
      <c r="E116" s="38">
        <f t="array" ref="E116:E119">TRANSPOSE(L93:O93)</f>
        <v>0.13993519558398987</v>
      </c>
      <c r="F116" s="38">
        <f t="array" ref="F116:F119">TRANSPOSE(L99:O99)</f>
        <v>0</v>
      </c>
      <c r="G116" s="38">
        <f t="array" ref="G116:G119">TRANSPOSE(L105:O105)</f>
        <v>0.87536857336345009</v>
      </c>
      <c r="H116" s="38">
        <f t="array" ref="H116:H119">TRANSPOSE(L111:O111)</f>
        <v>31.268568756757809</v>
      </c>
      <c r="I116" s="38"/>
      <c r="J116" s="38"/>
      <c r="K116" s="38"/>
      <c r="L116" s="38"/>
      <c r="M116" s="38"/>
      <c r="N116" s="66">
        <f>SUMPRODUCT(D116:H116,$D$115:$H$115)</f>
        <v>20.603629087453214</v>
      </c>
      <c r="O116" s="38"/>
      <c r="P116" s="38" t="str">
        <f>IF(N116&gt;3.1,"Safe Zone",IF(N116&lt;3.1,"distressed Zone"))</f>
        <v>Safe Zone</v>
      </c>
      <c r="Q116" s="89"/>
    </row>
    <row r="117" spans="2:17" x14ac:dyDescent="0.3">
      <c r="B117" s="90">
        <v>44166</v>
      </c>
      <c r="C117" s="38"/>
      <c r="D117" s="38">
        <v>0.33248923841473477</v>
      </c>
      <c r="E117" s="38">
        <v>0.11699922173281938</v>
      </c>
      <c r="F117" s="38">
        <v>0</v>
      </c>
      <c r="G117" s="38">
        <v>0.64529931622478753</v>
      </c>
      <c r="H117" s="38">
        <v>4524.295630869743</v>
      </c>
      <c r="I117" s="38"/>
      <c r="J117" s="38"/>
      <c r="K117" s="38"/>
      <c r="L117" s="38"/>
      <c r="M117" s="38"/>
      <c r="N117" s="66">
        <f t="shared" ref="N117:N119" si="28">SUMPRODUCT(D117:H117,$D$115:$H$115)</f>
        <v>2716.0077623558864</v>
      </c>
      <c r="O117" s="38"/>
      <c r="P117" s="38" t="str">
        <f t="shared" ref="P117:P119" si="29">IF(N117&gt;3.1,"Safe Zone",IF(N117&lt;3.1,"distressed Zone"))</f>
        <v>Safe Zone</v>
      </c>
      <c r="Q117" s="89"/>
    </row>
    <row r="118" spans="2:17" x14ac:dyDescent="0.3">
      <c r="B118" s="90">
        <v>44532</v>
      </c>
      <c r="C118" s="38"/>
      <c r="D118" s="38">
        <v>0.49184179341071999</v>
      </c>
      <c r="E118" s="38">
        <v>7.9874724420658155E-2</v>
      </c>
      <c r="F118" s="38">
        <v>0</v>
      </c>
      <c r="G118" s="38">
        <v>0.66468438710769617</v>
      </c>
      <c r="H118" s="38">
        <v>25.935430446177676</v>
      </c>
      <c r="I118" s="38"/>
      <c r="J118" s="38"/>
      <c r="K118" s="38"/>
      <c r="L118" s="38"/>
      <c r="M118" s="38"/>
      <c r="N118" s="66">
        <f t="shared" si="28"/>
        <v>17.079739397495338</v>
      </c>
      <c r="O118" s="38"/>
      <c r="P118" s="38" t="str">
        <f t="shared" si="29"/>
        <v>Safe Zone</v>
      </c>
      <c r="Q118" s="89"/>
    </row>
    <row r="119" spans="2:17" ht="15" thickBot="1" x14ac:dyDescent="0.35">
      <c r="B119" s="91">
        <v>44898</v>
      </c>
      <c r="C119" s="92"/>
      <c r="D119" s="92">
        <v>0.52720634961806323</v>
      </c>
      <c r="E119" s="92">
        <v>0.14962519615599101</v>
      </c>
      <c r="F119" s="92">
        <v>0</v>
      </c>
      <c r="G119" s="92">
        <v>0.75572029776803662</v>
      </c>
      <c r="H119" s="92">
        <v>30.021718015948778</v>
      </c>
      <c r="I119" s="92"/>
      <c r="J119" s="92"/>
      <c r="K119" s="92"/>
      <c r="L119" s="92"/>
      <c r="M119" s="92"/>
      <c r="N119" s="93">
        <f t="shared" si="28"/>
        <v>19.895161874193747</v>
      </c>
      <c r="O119" s="92"/>
      <c r="P119" s="92" t="str">
        <f t="shared" si="29"/>
        <v>Safe Zone</v>
      </c>
      <c r="Q119" s="94"/>
    </row>
  </sheetData>
  <sheetProtection sheet="1" objects="1" scenarios="1"/>
  <customSheetViews>
    <customSheetView guid="{157A7F57-E932-4D71-AAC5-1BA0DA6A9C96}" scale="98" showGridLines="0" topLeftCell="A13">
      <selection activeCell="Z42" sqref="Z42"/>
      <pageMargins left="0.7" right="0.7" top="0.75" bottom="0.75" header="0.3" footer="0.3"/>
      <pageSetup paperSize="9" orientation="portrait" r:id="rId1"/>
    </customSheetView>
  </customSheetViews>
  <mergeCells count="16">
    <mergeCell ref="B101:Q101"/>
    <mergeCell ref="B107:Q107"/>
    <mergeCell ref="B113:Q113"/>
    <mergeCell ref="B64:Q64"/>
    <mergeCell ref="B81:Q81"/>
    <mergeCell ref="B83:Q83"/>
    <mergeCell ref="B89:Q89"/>
    <mergeCell ref="B95:Q95"/>
    <mergeCell ref="B53:Q53"/>
    <mergeCell ref="B46:Q46"/>
    <mergeCell ref="B37:Q37"/>
    <mergeCell ref="B8:Q12"/>
    <mergeCell ref="B13:Q13"/>
    <mergeCell ref="B15:Q15"/>
    <mergeCell ref="B21:Q21"/>
    <mergeCell ref="B30:Q30"/>
  </mergeCells>
  <conditionalFormatting sqref="N116:N119">
    <cfRule type="cellIs" dxfId="16" priority="1" operator="greaterThan">
      <formula>3.1</formula>
    </cfRule>
  </conditionalFormatting>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displayEmptyCellsAs="span" markers="1">
          <x14:colorSeries theme="5"/>
          <x14:colorNegative rgb="FFD00000"/>
          <x14:colorAxis rgb="FF000000"/>
          <x14:colorMarkers rgb="FFFF0000"/>
          <x14:colorFirst rgb="FFD00000"/>
          <x14:colorLast rgb="FFD00000"/>
          <x14:colorHigh rgb="FFD00000"/>
          <x14:colorLow rgb="FFD00000"/>
          <x14:sparklines>
            <x14:sparkline>
              <xm:f>'Analysis -Enphase Energy'!L17:O17</xm:f>
              <xm:sqref>P17</xm:sqref>
            </x14:sparkline>
            <x14:sparkline>
              <xm:f>'Analysis -Enphase Energy'!L18:O18</xm:f>
              <xm:sqref>P18</xm:sqref>
            </x14:sparkline>
            <x14:sparkline>
              <xm:f>'Analysis -Enphase Energy'!L19:O19</xm:f>
              <xm:sqref>P19</xm:sqref>
            </x14:sparkline>
          </x14:sparklines>
        </x14:sparklineGroup>
        <x14:sparklineGroup displayEmptyCellsAs="span" markers="1">
          <x14:colorSeries rgb="FFFF6600"/>
          <x14:colorNegative rgb="FFD00000"/>
          <x14:colorAxis rgb="FF000000"/>
          <x14:colorMarkers rgb="FFFF0000"/>
          <x14:colorFirst rgb="FFD00000"/>
          <x14:colorLast rgb="FFD00000"/>
          <x14:colorHigh rgb="FFD00000"/>
          <x14:colorLow rgb="FFD00000"/>
          <x14:sparklines>
            <x14:sparkline>
              <xm:f>'Analysis -Enphase Energy'!L23:O23</xm:f>
              <xm:sqref>P23</xm:sqref>
            </x14:sparkline>
            <x14:sparkline>
              <xm:f>'Analysis -Enphase Energy'!L24:O24</xm:f>
              <xm:sqref>P24</xm:sqref>
            </x14:sparkline>
            <x14:sparkline>
              <xm:f>'Analysis -Enphase Energy'!L25:O25</xm:f>
              <xm:sqref>P25</xm:sqref>
            </x14:sparkline>
            <x14:sparkline>
              <xm:f>'Analysis -Enphase Energy'!L26:O26</xm:f>
              <xm:sqref>P26</xm:sqref>
            </x14:sparkline>
            <x14:sparkline>
              <xm:f>'Analysis -Enphase Energy'!L27:O27</xm:f>
              <xm:sqref>P27</xm:sqref>
            </x14:sparkline>
            <x14:sparkline>
              <xm:f>'Analysis -Enphase Energy'!L28:O28</xm:f>
              <xm:sqref>P28</xm:sqref>
            </x14:sparkline>
          </x14:sparklines>
        </x14:sparklineGroup>
        <x14:sparklineGroup displayEmptyCellsAs="span" markers="1">
          <x14:colorSeries rgb="FFFF6600"/>
          <x14:colorNegative rgb="FFD00000"/>
          <x14:colorAxis rgb="FF000000"/>
          <x14:colorMarkers rgb="FFFF0000"/>
          <x14:colorFirst rgb="FFD00000"/>
          <x14:colorLast rgb="FFD00000"/>
          <x14:colorHigh rgb="FFD00000"/>
          <x14:colorLow rgb="FFD00000"/>
          <x14:sparklines>
            <x14:sparkline>
              <xm:f>'Analysis -Enphase Energy'!L32:O32</xm:f>
              <xm:sqref>P32</xm:sqref>
            </x14:sparkline>
            <x14:sparkline>
              <xm:f>'Analysis -Enphase Energy'!L33:O33</xm:f>
              <xm:sqref>P33</xm:sqref>
            </x14:sparkline>
            <x14:sparkline>
              <xm:f>'Analysis -Enphase Energy'!L34:O34</xm:f>
              <xm:sqref>P34</xm:sqref>
            </x14:sparkline>
            <x14:sparkline>
              <xm:f>'Analysis -Enphase Energy'!L35:O35</xm:f>
              <xm:sqref>P35</xm:sqref>
            </x14:sparkline>
          </x14:sparklines>
        </x14:sparklineGroup>
        <x14:sparklineGroup displayEmptyCellsAs="span" markers="1">
          <x14:colorSeries rgb="FFFF6600"/>
          <x14:colorNegative rgb="FFD00000"/>
          <x14:colorAxis rgb="FF000000"/>
          <x14:colorMarkers rgb="FFFF0000"/>
          <x14:colorFirst rgb="FFD00000"/>
          <x14:colorLast rgb="FFD00000"/>
          <x14:colorHigh rgb="FFD00000"/>
          <x14:colorLow rgb="FFD00000"/>
          <x14:sparklines>
            <x14:sparkline>
              <xm:f>'Analysis -Enphase Energy'!L48:O48</xm:f>
              <xm:sqref>P48</xm:sqref>
            </x14:sparkline>
            <x14:sparkline>
              <xm:f>'Analysis -Enphase Energy'!L49:O49</xm:f>
              <xm:sqref>P49</xm:sqref>
            </x14:sparkline>
            <x14:sparkline>
              <xm:f>'Analysis -Enphase Energy'!L50:O50</xm:f>
              <xm:sqref>P50</xm:sqref>
            </x14:sparkline>
            <x14:sparkline>
              <xm:f>'Analysis -Enphase Energy'!L51:O51</xm:f>
              <xm:sqref>P51</xm:sqref>
            </x14:sparkline>
          </x14:sparklines>
        </x14:sparklineGroup>
        <x14:sparklineGroup displayEmptyCellsAs="span" markers="1">
          <x14:colorSeries rgb="FFFF6600"/>
          <x14:colorNegative rgb="FFD00000"/>
          <x14:colorAxis rgb="FF000000"/>
          <x14:colorMarkers rgb="FFFF0000"/>
          <x14:colorFirst rgb="FFD00000"/>
          <x14:colorLast rgb="FFD00000"/>
          <x14:colorHigh rgb="FFD00000"/>
          <x14:colorLow rgb="FFD00000"/>
          <x14:sparklines>
            <x14:sparkline>
              <xm:f>'Analysis -Enphase Energy'!L39:O39</xm:f>
              <xm:sqref>P39</xm:sqref>
            </x14:sparkline>
            <x14:sparkline>
              <xm:f>'Analysis -Enphase Energy'!L40:O40</xm:f>
              <xm:sqref>P40</xm:sqref>
            </x14:sparkline>
            <x14:sparkline>
              <xm:f>'Analysis -Enphase Energy'!L41:O41</xm:f>
              <xm:sqref>P41</xm:sqref>
            </x14:sparkline>
            <x14:sparkline>
              <xm:f>'Analysis -Enphase Energy'!L42:O42</xm:f>
              <xm:sqref>P42</xm:sqref>
            </x14:sparkline>
            <x14:sparkline>
              <xm:f>'Analysis -Enphase Energy'!L43:O43</xm:f>
              <xm:sqref>P43</xm:sqref>
            </x14:sparkline>
            <x14:sparkline>
              <xm:f>'Analysis -Enphase Energy'!L44:O44</xm:f>
              <xm:sqref>P44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4"/>
  <sheetViews>
    <sheetView showGridLines="0" topLeftCell="A37" workbookViewId="0">
      <selection activeCell="K27" sqref="K26:K27"/>
    </sheetView>
  </sheetViews>
  <sheetFormatPr defaultRowHeight="14.4" x14ac:dyDescent="0.3"/>
  <cols>
    <col min="1" max="1" width="1.88671875" customWidth="1"/>
    <col min="2" max="2" width="48.21875" customWidth="1"/>
    <col min="3" max="3" width="10.5546875" bestFit="1" customWidth="1"/>
    <col min="4" max="4" width="11.44140625" bestFit="1" customWidth="1"/>
    <col min="5" max="6" width="12.44140625" bestFit="1" customWidth="1"/>
  </cols>
  <sheetData>
    <row r="2" spans="2:6" ht="21" x14ac:dyDescent="0.4">
      <c r="B2" s="5" t="s">
        <v>113</v>
      </c>
    </row>
    <row r="3" spans="2:6" x14ac:dyDescent="0.3">
      <c r="B3" s="14" t="s">
        <v>0</v>
      </c>
      <c r="C3" s="14" t="s">
        <v>98</v>
      </c>
      <c r="D3" s="14" t="s">
        <v>97</v>
      </c>
      <c r="E3" s="14" t="s">
        <v>96</v>
      </c>
      <c r="F3" s="14" t="s">
        <v>68</v>
      </c>
    </row>
    <row r="4" spans="2:6" x14ac:dyDescent="0.3">
      <c r="B4" s="14" t="s">
        <v>5</v>
      </c>
      <c r="C4" s="16">
        <v>6731000</v>
      </c>
      <c r="D4" s="16">
        <v>9763000</v>
      </c>
      <c r="E4" s="16">
        <v>16434000</v>
      </c>
      <c r="F4" s="16">
        <v>23601000</v>
      </c>
    </row>
    <row r="5" spans="2:6" x14ac:dyDescent="0.3">
      <c r="B5" s="14" t="s">
        <v>6</v>
      </c>
      <c r="C5" s="16">
        <v>3863000</v>
      </c>
      <c r="D5" s="16">
        <v>5416000</v>
      </c>
      <c r="E5" s="16">
        <v>8505000</v>
      </c>
      <c r="F5" s="16">
        <v>12998000</v>
      </c>
    </row>
    <row r="6" spans="2:6" x14ac:dyDescent="0.3">
      <c r="B6" s="14" t="s">
        <v>7</v>
      </c>
      <c r="C6" s="16">
        <v>2868000</v>
      </c>
      <c r="D6" s="16">
        <v>4347000</v>
      </c>
      <c r="E6" s="16">
        <v>7929000</v>
      </c>
      <c r="F6" s="16">
        <v>10603000</v>
      </c>
    </row>
    <row r="7" spans="2:6" x14ac:dyDescent="0.3">
      <c r="B7" s="14" t="s">
        <v>8</v>
      </c>
      <c r="C7" s="16"/>
      <c r="D7" s="16"/>
      <c r="E7" s="16"/>
      <c r="F7" s="16"/>
    </row>
    <row r="8" spans="2:6" x14ac:dyDescent="0.3">
      <c r="B8" s="14" t="s">
        <v>9</v>
      </c>
      <c r="C8" s="16">
        <v>1547000</v>
      </c>
      <c r="D8" s="16">
        <v>1983000</v>
      </c>
      <c r="E8" s="16">
        <v>2845000</v>
      </c>
      <c r="F8" s="16">
        <v>5005000</v>
      </c>
    </row>
    <row r="9" spans="2:6" x14ac:dyDescent="0.3">
      <c r="B9" s="14" t="s">
        <v>10</v>
      </c>
      <c r="C9" s="16">
        <v>690000</v>
      </c>
      <c r="D9" s="16">
        <v>995000</v>
      </c>
      <c r="E9" s="16">
        <v>1436000</v>
      </c>
      <c r="F9" s="16">
        <v>2234000</v>
      </c>
    </row>
    <row r="10" spans="2:6" x14ac:dyDescent="0.3">
      <c r="B10" s="14" t="s">
        <v>11</v>
      </c>
      <c r="C10" s="16">
        <v>0</v>
      </c>
      <c r="D10" s="16">
        <v>0</v>
      </c>
      <c r="E10" s="16">
        <v>0</v>
      </c>
      <c r="F10" s="16">
        <v>0</v>
      </c>
    </row>
    <row r="11" spans="2:6" x14ac:dyDescent="0.3">
      <c r="B11" s="14" t="s">
        <v>13</v>
      </c>
      <c r="C11" s="16">
        <v>0</v>
      </c>
      <c r="D11" s="16">
        <v>0</v>
      </c>
      <c r="E11" s="16">
        <v>0</v>
      </c>
      <c r="F11" s="16">
        <v>2100000</v>
      </c>
    </row>
    <row r="12" spans="2:6" x14ac:dyDescent="0.3">
      <c r="B12" s="14" t="s">
        <v>14</v>
      </c>
      <c r="C12" s="16">
        <v>631000</v>
      </c>
      <c r="D12" s="16">
        <v>1369000</v>
      </c>
      <c r="E12" s="16">
        <v>3648000</v>
      </c>
      <c r="F12" s="16">
        <v>1264000</v>
      </c>
    </row>
    <row r="13" spans="2:6" x14ac:dyDescent="0.3">
      <c r="B13" s="14" t="s">
        <v>15</v>
      </c>
      <c r="C13" s="16">
        <v>-165000</v>
      </c>
      <c r="D13" s="16">
        <v>-47000</v>
      </c>
      <c r="E13" s="16">
        <v>55000</v>
      </c>
      <c r="F13" s="16">
        <v>8000</v>
      </c>
    </row>
    <row r="14" spans="2:6" x14ac:dyDescent="0.3">
      <c r="B14" s="14" t="s">
        <v>16</v>
      </c>
      <c r="C14" s="16">
        <v>466000</v>
      </c>
      <c r="D14" s="16">
        <v>1322000</v>
      </c>
      <c r="E14" s="16">
        <v>3703000</v>
      </c>
      <c r="F14" s="16">
        <v>1272000</v>
      </c>
    </row>
    <row r="15" spans="2:6" x14ac:dyDescent="0.3">
      <c r="B15" s="14" t="s">
        <v>17</v>
      </c>
      <c r="C15" s="16">
        <v>94000</v>
      </c>
      <c r="D15" s="16">
        <v>47000</v>
      </c>
      <c r="E15" s="16">
        <v>34000</v>
      </c>
      <c r="F15" s="16">
        <v>88000</v>
      </c>
    </row>
    <row r="16" spans="2:6" x14ac:dyDescent="0.3">
      <c r="B16" s="14" t="s">
        <v>18</v>
      </c>
      <c r="C16" s="16">
        <v>372000</v>
      </c>
      <c r="D16" s="16">
        <v>1275000</v>
      </c>
      <c r="E16" s="16">
        <v>3669000</v>
      </c>
      <c r="F16" s="16">
        <v>1184000</v>
      </c>
    </row>
    <row r="17" spans="2:6" x14ac:dyDescent="0.3">
      <c r="B17" s="14" t="s">
        <v>19</v>
      </c>
      <c r="C17" s="16">
        <v>31000</v>
      </c>
      <c r="D17" s="16">
        <v>-1210000</v>
      </c>
      <c r="E17" s="16">
        <v>513000</v>
      </c>
      <c r="F17" s="16">
        <v>-122000</v>
      </c>
    </row>
    <row r="18" spans="2:6" x14ac:dyDescent="0.3">
      <c r="B18" s="14" t="s">
        <v>20</v>
      </c>
      <c r="C18" s="16">
        <v>0</v>
      </c>
      <c r="D18" s="16">
        <v>5000</v>
      </c>
      <c r="E18" s="16">
        <v>6000</v>
      </c>
      <c r="F18" s="16">
        <v>14000</v>
      </c>
    </row>
    <row r="19" spans="2:6" x14ac:dyDescent="0.3">
      <c r="B19" s="14" t="s">
        <v>21</v>
      </c>
      <c r="C19" s="16">
        <v>0</v>
      </c>
      <c r="D19" s="16">
        <v>0</v>
      </c>
      <c r="E19" s="16">
        <v>0</v>
      </c>
      <c r="F19" s="16"/>
    </row>
    <row r="20" spans="2:6" x14ac:dyDescent="0.3">
      <c r="B20" s="14" t="s">
        <v>22</v>
      </c>
      <c r="C20" s="16">
        <v>341000</v>
      </c>
      <c r="D20" s="16">
        <v>2490000</v>
      </c>
      <c r="E20" s="16">
        <v>3162000</v>
      </c>
      <c r="F20" s="16">
        <v>1320000</v>
      </c>
    </row>
    <row r="21" spans="2:6" x14ac:dyDescent="0.3">
      <c r="B21" s="14" t="s">
        <v>23</v>
      </c>
      <c r="C21" s="16">
        <v>341000</v>
      </c>
      <c r="D21" s="16">
        <v>2490000</v>
      </c>
      <c r="E21" s="16">
        <v>3162000</v>
      </c>
      <c r="F21" s="16">
        <v>1320000</v>
      </c>
    </row>
    <row r="22" spans="2:6" x14ac:dyDescent="0.3">
      <c r="B22" s="14" t="s">
        <v>24</v>
      </c>
      <c r="C22" s="16">
        <v>341000</v>
      </c>
      <c r="D22" s="16">
        <v>2490000</v>
      </c>
      <c r="E22" s="16">
        <v>3162000</v>
      </c>
      <c r="F22" s="16">
        <v>1320000</v>
      </c>
    </row>
    <row r="23" spans="2:6" x14ac:dyDescent="0.3">
      <c r="B23" t="s">
        <v>160</v>
      </c>
      <c r="C23" s="16">
        <v>53650000</v>
      </c>
      <c r="D23" s="16">
        <v>110420000</v>
      </c>
      <c r="E23" s="16">
        <v>173770000</v>
      </c>
      <c r="F23" s="16">
        <v>104430000</v>
      </c>
    </row>
    <row r="24" spans="2:6" ht="18" x14ac:dyDescent="0.35">
      <c r="B24" s="2" t="s">
        <v>114</v>
      </c>
      <c r="C24" s="15"/>
      <c r="D24" s="15"/>
      <c r="E24" s="15"/>
      <c r="F24" s="15"/>
    </row>
    <row r="25" spans="2:6" x14ac:dyDescent="0.3">
      <c r="B25" t="s">
        <v>0</v>
      </c>
      <c r="C25" s="15" t="s">
        <v>98</v>
      </c>
      <c r="D25" s="15" t="s">
        <v>97</v>
      </c>
      <c r="E25" s="15" t="s">
        <v>96</v>
      </c>
      <c r="F25" s="15" t="s">
        <v>68</v>
      </c>
    </row>
    <row r="26" spans="2:6" x14ac:dyDescent="0.3">
      <c r="B26" t="s">
        <v>25</v>
      </c>
      <c r="C26" s="15"/>
      <c r="D26" s="15"/>
      <c r="E26" s="15"/>
      <c r="F26" s="15"/>
    </row>
    <row r="27" spans="2:6" x14ac:dyDescent="0.3">
      <c r="B27" t="s">
        <v>26</v>
      </c>
      <c r="C27" s="16">
        <v>1466000</v>
      </c>
      <c r="D27" s="16">
        <v>1595000</v>
      </c>
      <c r="E27" s="16">
        <v>2535000</v>
      </c>
      <c r="F27" s="16">
        <v>4835000</v>
      </c>
    </row>
    <row r="28" spans="2:6" x14ac:dyDescent="0.3">
      <c r="B28" t="s">
        <v>27</v>
      </c>
      <c r="C28" s="16">
        <v>37000</v>
      </c>
      <c r="D28" s="16">
        <v>695000</v>
      </c>
      <c r="E28" s="16">
        <v>1073000</v>
      </c>
      <c r="F28" s="16">
        <v>1020000</v>
      </c>
    </row>
    <row r="29" spans="2:6" x14ac:dyDescent="0.3">
      <c r="B29" t="s">
        <v>28</v>
      </c>
      <c r="C29" s="16">
        <v>1879000</v>
      </c>
      <c r="D29" s="16">
        <v>2076000</v>
      </c>
      <c r="E29" s="16">
        <v>2708000</v>
      </c>
      <c r="F29" s="16">
        <v>4128000</v>
      </c>
    </row>
    <row r="30" spans="2:6" x14ac:dyDescent="0.3">
      <c r="B30" t="s">
        <v>29</v>
      </c>
      <c r="C30" s="16">
        <v>982000</v>
      </c>
      <c r="D30" s="16">
        <v>1399000</v>
      </c>
      <c r="E30" s="16">
        <v>1955000</v>
      </c>
      <c r="F30" s="16">
        <v>3771000</v>
      </c>
    </row>
    <row r="31" spans="2:6" x14ac:dyDescent="0.3">
      <c r="B31" t="s">
        <v>30</v>
      </c>
      <c r="C31" s="16">
        <v>233000</v>
      </c>
      <c r="D31" s="16">
        <v>378000</v>
      </c>
      <c r="E31" s="16">
        <v>312000</v>
      </c>
      <c r="F31" s="16">
        <v>1265000</v>
      </c>
    </row>
    <row r="32" spans="2:6" x14ac:dyDescent="0.3">
      <c r="B32" t="s">
        <v>31</v>
      </c>
      <c r="C32" s="16">
        <v>4597000</v>
      </c>
      <c r="D32" s="16">
        <v>6143000</v>
      </c>
      <c r="E32" s="16">
        <v>8583000</v>
      </c>
      <c r="F32" s="16">
        <v>15019000</v>
      </c>
    </row>
    <row r="33" spans="2:6" x14ac:dyDescent="0.3">
      <c r="B33" t="s">
        <v>32</v>
      </c>
      <c r="C33" s="16"/>
      <c r="D33" s="16"/>
      <c r="E33" s="16"/>
      <c r="F33" s="16"/>
    </row>
    <row r="34" spans="2:6" x14ac:dyDescent="0.3">
      <c r="B34" t="s">
        <v>33</v>
      </c>
      <c r="C34" s="16">
        <v>58000</v>
      </c>
      <c r="D34" s="16">
        <v>63000</v>
      </c>
      <c r="E34" s="16">
        <v>69000</v>
      </c>
      <c r="F34" s="16">
        <v>83000</v>
      </c>
    </row>
    <row r="35" spans="2:6" x14ac:dyDescent="0.3">
      <c r="B35" t="s">
        <v>34</v>
      </c>
      <c r="C35" s="16">
        <v>705000</v>
      </c>
      <c r="D35" s="16">
        <v>849000</v>
      </c>
      <c r="E35" s="16">
        <v>1069000</v>
      </c>
      <c r="F35" s="16">
        <v>1973000</v>
      </c>
    </row>
    <row r="36" spans="2:6" x14ac:dyDescent="0.3">
      <c r="B36" t="s">
        <v>35</v>
      </c>
      <c r="C36" s="16">
        <v>289000</v>
      </c>
      <c r="D36" s="16">
        <v>289000</v>
      </c>
      <c r="E36" s="16">
        <v>289000</v>
      </c>
      <c r="F36" s="16">
        <v>24177000</v>
      </c>
    </row>
    <row r="37" spans="2:6" x14ac:dyDescent="0.3">
      <c r="B37" t="s">
        <v>36</v>
      </c>
      <c r="C37" s="16">
        <v>0</v>
      </c>
      <c r="D37" s="16">
        <v>0</v>
      </c>
      <c r="E37" s="16">
        <v>0</v>
      </c>
      <c r="F37" s="16">
        <v>24118000</v>
      </c>
    </row>
    <row r="38" spans="2:6" x14ac:dyDescent="0.3">
      <c r="B38" t="s">
        <v>37</v>
      </c>
      <c r="C38" s="16">
        <v>357000</v>
      </c>
      <c r="D38" s="16">
        <v>373000</v>
      </c>
      <c r="E38" s="16">
        <v>1478000</v>
      </c>
      <c r="F38" s="16">
        <v>2152000</v>
      </c>
    </row>
    <row r="39" spans="2:6" x14ac:dyDescent="0.3">
      <c r="B39" t="s">
        <v>38</v>
      </c>
      <c r="C39" s="16">
        <v>22000</v>
      </c>
      <c r="D39" s="16">
        <v>1245000</v>
      </c>
      <c r="E39" s="16">
        <v>931000</v>
      </c>
      <c r="F39" s="16">
        <v>58000</v>
      </c>
    </row>
    <row r="40" spans="2:6" x14ac:dyDescent="0.3">
      <c r="B40" t="s">
        <v>39</v>
      </c>
      <c r="C40" s="16">
        <v>6028000</v>
      </c>
      <c r="D40" s="16">
        <v>8962000</v>
      </c>
      <c r="E40" s="16">
        <v>12419000</v>
      </c>
      <c r="F40" s="16">
        <v>67580000</v>
      </c>
    </row>
    <row r="41" spans="2:6" x14ac:dyDescent="0.3">
      <c r="B41" t="s">
        <v>40</v>
      </c>
      <c r="C41" s="16"/>
      <c r="D41" s="16"/>
      <c r="E41" s="16"/>
      <c r="F41" s="16"/>
    </row>
    <row r="42" spans="2:6" x14ac:dyDescent="0.3">
      <c r="B42" t="s">
        <v>41</v>
      </c>
      <c r="C42" s="16">
        <v>2285000</v>
      </c>
      <c r="D42" s="16">
        <v>2342000</v>
      </c>
      <c r="E42" s="16">
        <v>3830000</v>
      </c>
      <c r="F42" s="16">
        <v>6033000</v>
      </c>
    </row>
    <row r="43" spans="2:6" x14ac:dyDescent="0.3">
      <c r="B43" t="s">
        <v>42</v>
      </c>
      <c r="C43" s="16">
        <v>0</v>
      </c>
      <c r="D43" s="17" t="s">
        <v>205</v>
      </c>
      <c r="E43" s="16">
        <v>312000</v>
      </c>
      <c r="F43" s="16">
        <v>0</v>
      </c>
    </row>
    <row r="44" spans="2:6" x14ac:dyDescent="0.3">
      <c r="B44" t="s">
        <v>43</v>
      </c>
      <c r="C44" s="16">
        <v>74000</v>
      </c>
      <c r="D44" s="16">
        <v>75000</v>
      </c>
      <c r="E44" s="16">
        <v>98000</v>
      </c>
      <c r="F44" s="16">
        <v>336000</v>
      </c>
    </row>
    <row r="45" spans="2:6" x14ac:dyDescent="0.3">
      <c r="B45" t="s">
        <v>44</v>
      </c>
      <c r="C45" s="16">
        <v>2359000</v>
      </c>
      <c r="D45" s="16">
        <v>2417000</v>
      </c>
      <c r="E45" s="16">
        <v>4240000</v>
      </c>
      <c r="F45" s="16">
        <v>6369000</v>
      </c>
    </row>
    <row r="46" spans="2:6" x14ac:dyDescent="0.3">
      <c r="B46" t="s">
        <v>45</v>
      </c>
      <c r="C46" s="16">
        <v>486000</v>
      </c>
      <c r="D46" s="16">
        <v>330000</v>
      </c>
      <c r="E46" s="16">
        <v>1000</v>
      </c>
      <c r="F46" s="16">
        <v>2467000</v>
      </c>
    </row>
    <row r="47" spans="2:6" x14ac:dyDescent="0.3">
      <c r="B47" t="s">
        <v>46</v>
      </c>
      <c r="C47" s="16">
        <v>356000</v>
      </c>
      <c r="D47" s="16">
        <v>378000</v>
      </c>
      <c r="E47" s="16">
        <v>669000</v>
      </c>
      <c r="F47" s="16">
        <v>2060000</v>
      </c>
    </row>
    <row r="48" spans="2:6" x14ac:dyDescent="0.3">
      <c r="B48" t="s">
        <v>47</v>
      </c>
      <c r="C48" s="16">
        <v>0</v>
      </c>
      <c r="D48" s="16">
        <v>0</v>
      </c>
      <c r="E48" s="16">
        <v>12000</v>
      </c>
      <c r="F48" s="16">
        <v>1934000</v>
      </c>
    </row>
    <row r="49" spans="2:6" x14ac:dyDescent="0.3">
      <c r="B49" t="s">
        <v>48</v>
      </c>
      <c r="C49" s="16">
        <v>0</v>
      </c>
      <c r="D49" s="16">
        <v>0</v>
      </c>
      <c r="E49" s="16">
        <v>0</v>
      </c>
      <c r="F49" s="16">
        <v>0</v>
      </c>
    </row>
    <row r="50" spans="2:6" x14ac:dyDescent="0.3">
      <c r="B50" t="s">
        <v>20</v>
      </c>
      <c r="C50" s="16">
        <v>0</v>
      </c>
      <c r="D50" s="16">
        <v>0</v>
      </c>
      <c r="E50" s="16">
        <v>0</v>
      </c>
      <c r="F50" s="16">
        <v>0</v>
      </c>
    </row>
    <row r="51" spans="2:6" x14ac:dyDescent="0.3">
      <c r="B51" t="s">
        <v>49</v>
      </c>
      <c r="C51" s="16">
        <v>3201000</v>
      </c>
      <c r="D51" s="16">
        <v>3125000</v>
      </c>
      <c r="E51" s="16">
        <v>4922000</v>
      </c>
      <c r="F51" s="16">
        <v>12830000</v>
      </c>
    </row>
    <row r="52" spans="2:6" x14ac:dyDescent="0.3">
      <c r="B52" t="s">
        <v>50</v>
      </c>
      <c r="C52" s="16"/>
      <c r="D52" s="16"/>
      <c r="E52" s="16"/>
      <c r="F52" s="16"/>
    </row>
    <row r="53" spans="2:6" x14ac:dyDescent="0.3">
      <c r="B53" t="s">
        <v>51</v>
      </c>
      <c r="C53" s="16">
        <v>12000</v>
      </c>
      <c r="D53" s="16">
        <v>12000</v>
      </c>
      <c r="E53" s="16">
        <v>12000</v>
      </c>
      <c r="F53" s="16">
        <v>16000</v>
      </c>
    </row>
    <row r="54" spans="2:6" x14ac:dyDescent="0.3">
      <c r="B54" t="s">
        <v>52</v>
      </c>
      <c r="C54" s="16">
        <v>-7095000</v>
      </c>
      <c r="D54" s="16">
        <v>-4605000</v>
      </c>
      <c r="E54" s="16">
        <v>-1451000</v>
      </c>
      <c r="F54" s="16">
        <v>-131000</v>
      </c>
    </row>
    <row r="55" spans="2:6" x14ac:dyDescent="0.3">
      <c r="B55" t="s">
        <v>53</v>
      </c>
      <c r="C55" s="16">
        <v>-53000</v>
      </c>
      <c r="D55" s="16">
        <v>-131000</v>
      </c>
      <c r="E55" s="16">
        <v>-2130000</v>
      </c>
      <c r="F55" s="16">
        <v>-3099000</v>
      </c>
    </row>
    <row r="56" spans="2:6" x14ac:dyDescent="0.3">
      <c r="B56" t="s">
        <v>54</v>
      </c>
      <c r="C56" s="16">
        <v>9963000</v>
      </c>
      <c r="D56" s="16">
        <v>10544000</v>
      </c>
      <c r="E56" s="16">
        <v>11069000</v>
      </c>
      <c r="F56" s="16">
        <v>58005000</v>
      </c>
    </row>
    <row r="57" spans="2:6" x14ac:dyDescent="0.3">
      <c r="B57" t="s">
        <v>55</v>
      </c>
      <c r="C57" s="16">
        <v>0</v>
      </c>
      <c r="D57" s="16">
        <v>17000</v>
      </c>
      <c r="E57" s="16">
        <v>-3000</v>
      </c>
      <c r="F57" s="16">
        <v>-41000</v>
      </c>
    </row>
    <row r="58" spans="2:6" x14ac:dyDescent="0.3">
      <c r="B58" t="s">
        <v>56</v>
      </c>
      <c r="C58" s="16">
        <v>2827000</v>
      </c>
      <c r="D58" s="16">
        <v>5837000</v>
      </c>
      <c r="E58" s="16">
        <v>7497000</v>
      </c>
      <c r="F58" s="16">
        <v>54750000</v>
      </c>
    </row>
    <row r="59" spans="2:6" x14ac:dyDescent="0.3">
      <c r="B59" t="s">
        <v>57</v>
      </c>
      <c r="C59" s="16">
        <v>6028000</v>
      </c>
      <c r="D59" s="16">
        <v>8962000</v>
      </c>
      <c r="E59" s="16">
        <v>12419000</v>
      </c>
      <c r="F59" s="16">
        <v>67580000</v>
      </c>
    </row>
    <row r="60" spans="2:6" x14ac:dyDescent="0.3">
      <c r="C60" s="15"/>
      <c r="D60" s="15"/>
      <c r="E60" s="15"/>
      <c r="F60" s="15"/>
    </row>
    <row r="61" spans="2:6" ht="18" x14ac:dyDescent="0.35">
      <c r="B61" s="2" t="s">
        <v>115</v>
      </c>
      <c r="C61" s="15"/>
      <c r="D61" s="15"/>
      <c r="E61" s="15"/>
      <c r="F61" s="15"/>
    </row>
    <row r="62" spans="2:6" x14ac:dyDescent="0.3">
      <c r="B62" t="s">
        <v>0</v>
      </c>
      <c r="C62" s="15" t="s">
        <v>98</v>
      </c>
      <c r="D62" s="15" t="s">
        <v>97</v>
      </c>
      <c r="E62" s="15" t="s">
        <v>96</v>
      </c>
      <c r="F62" s="15" t="s">
        <v>68</v>
      </c>
    </row>
    <row r="63" spans="2:6" x14ac:dyDescent="0.3">
      <c r="B63" t="s">
        <v>23</v>
      </c>
      <c r="C63" s="16">
        <v>341000</v>
      </c>
      <c r="D63" s="16">
        <v>2490000</v>
      </c>
      <c r="E63" s="16">
        <v>3162000</v>
      </c>
      <c r="F63" s="16">
        <v>1320000</v>
      </c>
    </row>
    <row r="64" spans="2:6" x14ac:dyDescent="0.3">
      <c r="B64" t="s">
        <v>72</v>
      </c>
      <c r="C64" s="16"/>
      <c r="D64" s="16"/>
      <c r="E64" s="16"/>
      <c r="F64" s="16"/>
    </row>
    <row r="65" spans="2:6" x14ac:dyDescent="0.3">
      <c r="B65" t="s">
        <v>73</v>
      </c>
      <c r="C65" s="16">
        <v>288000</v>
      </c>
      <c r="D65" s="16">
        <v>368000</v>
      </c>
      <c r="E65" s="16">
        <v>468000</v>
      </c>
      <c r="F65" s="16">
        <v>4451000</v>
      </c>
    </row>
    <row r="66" spans="2:6" x14ac:dyDescent="0.3">
      <c r="B66" t="s">
        <v>74</v>
      </c>
      <c r="C66" s="16">
        <v>406000</v>
      </c>
      <c r="D66" s="16">
        <v>-856000</v>
      </c>
      <c r="E66" s="16">
        <v>665000</v>
      </c>
      <c r="F66" s="16">
        <v>-360000</v>
      </c>
    </row>
    <row r="67" spans="2:6" x14ac:dyDescent="0.3">
      <c r="B67" t="s">
        <v>75</v>
      </c>
      <c r="C67" s="16"/>
      <c r="D67" s="16"/>
      <c r="E67" s="16"/>
      <c r="F67" s="16"/>
    </row>
    <row r="68" spans="2:6" x14ac:dyDescent="0.3">
      <c r="B68" t="s">
        <v>76</v>
      </c>
      <c r="C68" s="16">
        <v>-609000</v>
      </c>
      <c r="D68" s="16">
        <v>-209000</v>
      </c>
      <c r="E68" s="16">
        <v>-632000</v>
      </c>
      <c r="F68" s="16">
        <v>-1104000</v>
      </c>
    </row>
    <row r="69" spans="2:6" x14ac:dyDescent="0.3">
      <c r="B69" t="s">
        <v>77</v>
      </c>
      <c r="C69" s="16">
        <v>-137000</v>
      </c>
      <c r="D69" s="16">
        <v>-417000</v>
      </c>
      <c r="E69" s="16">
        <v>-556000</v>
      </c>
      <c r="F69" s="16">
        <v>-1401000</v>
      </c>
    </row>
    <row r="70" spans="2:6" x14ac:dyDescent="0.3">
      <c r="B70" t="s">
        <v>78</v>
      </c>
      <c r="C70" s="16">
        <v>-176000</v>
      </c>
      <c r="D70" s="16">
        <v>-231000</v>
      </c>
      <c r="E70" s="16">
        <v>-920000</v>
      </c>
      <c r="F70" s="16">
        <v>-1197000</v>
      </c>
    </row>
    <row r="71" spans="2:6" x14ac:dyDescent="0.3">
      <c r="B71" t="s">
        <v>79</v>
      </c>
      <c r="C71" s="16">
        <v>380000</v>
      </c>
      <c r="D71" s="16">
        <v>-74000</v>
      </c>
      <c r="E71" s="16">
        <v>1334000</v>
      </c>
      <c r="F71" s="16">
        <v>1856000</v>
      </c>
    </row>
    <row r="72" spans="2:6" x14ac:dyDescent="0.3">
      <c r="B72" t="s">
        <v>80</v>
      </c>
      <c r="C72" s="16">
        <v>493000</v>
      </c>
      <c r="D72" s="16">
        <v>1071000</v>
      </c>
      <c r="E72" s="16">
        <v>3521000</v>
      </c>
      <c r="F72" s="16">
        <v>3565000</v>
      </c>
    </row>
    <row r="73" spans="2:6" x14ac:dyDescent="0.3">
      <c r="B73" t="s">
        <v>81</v>
      </c>
      <c r="C73" s="16"/>
      <c r="D73" s="16"/>
      <c r="E73" s="16"/>
      <c r="F73" s="16"/>
    </row>
    <row r="74" spans="2:6" x14ac:dyDescent="0.3">
      <c r="B74" t="s">
        <v>82</v>
      </c>
      <c r="C74" s="16">
        <v>-217000</v>
      </c>
      <c r="D74" s="16">
        <v>-294000</v>
      </c>
      <c r="E74" s="16">
        <v>-301000</v>
      </c>
      <c r="F74" s="16">
        <v>-450000</v>
      </c>
    </row>
    <row r="75" spans="2:6" x14ac:dyDescent="0.3">
      <c r="B75" t="s">
        <v>83</v>
      </c>
      <c r="C75" s="16">
        <v>66000</v>
      </c>
      <c r="D75" s="16">
        <v>-658000</v>
      </c>
      <c r="E75" s="16">
        <v>-378000</v>
      </c>
      <c r="F75" s="16">
        <v>1643000</v>
      </c>
    </row>
    <row r="76" spans="2:6" x14ac:dyDescent="0.3">
      <c r="B76" t="s">
        <v>84</v>
      </c>
      <c r="C76" s="16">
        <v>2000</v>
      </c>
      <c r="D76" s="16">
        <v>0</v>
      </c>
      <c r="E76" s="16">
        <v>-7000</v>
      </c>
      <c r="F76" s="16">
        <v>806000</v>
      </c>
    </row>
    <row r="77" spans="2:6" x14ac:dyDescent="0.3">
      <c r="B77" t="s">
        <v>85</v>
      </c>
      <c r="C77" s="16">
        <v>-149000</v>
      </c>
      <c r="D77" s="16">
        <v>-952000</v>
      </c>
      <c r="E77" s="16">
        <v>-686000</v>
      </c>
      <c r="F77" s="16">
        <v>1999000</v>
      </c>
    </row>
    <row r="78" spans="2:6" x14ac:dyDescent="0.3">
      <c r="B78" t="s">
        <v>86</v>
      </c>
      <c r="C78" s="16"/>
      <c r="D78" s="16"/>
      <c r="E78" s="16"/>
      <c r="F78" s="16"/>
    </row>
    <row r="79" spans="2:6" x14ac:dyDescent="0.3">
      <c r="B79" t="s">
        <v>87</v>
      </c>
      <c r="C79" s="16">
        <v>517000</v>
      </c>
      <c r="D79" s="16">
        <v>7000</v>
      </c>
      <c r="E79" s="16">
        <v>-1895000</v>
      </c>
      <c r="F79" s="16">
        <v>-3941000</v>
      </c>
    </row>
    <row r="80" spans="2:6" x14ac:dyDescent="0.3">
      <c r="B80" t="s">
        <v>88</v>
      </c>
      <c r="C80" s="16">
        <v>-473000</v>
      </c>
      <c r="D80" s="16">
        <v>0</v>
      </c>
      <c r="E80" s="16">
        <v>0</v>
      </c>
      <c r="F80" s="16">
        <v>679000</v>
      </c>
    </row>
    <row r="81" spans="2:6" x14ac:dyDescent="0.3">
      <c r="B81" t="s">
        <v>89</v>
      </c>
      <c r="C81" s="16">
        <v>-1000</v>
      </c>
      <c r="D81" s="16">
        <v>-1000</v>
      </c>
      <c r="E81" s="16">
        <v>0</v>
      </c>
      <c r="F81" s="16">
        <v>-2000</v>
      </c>
    </row>
    <row r="82" spans="2:6" x14ac:dyDescent="0.3">
      <c r="B82" t="s">
        <v>90</v>
      </c>
      <c r="C82" s="16">
        <v>43000</v>
      </c>
      <c r="D82" s="16">
        <v>6000</v>
      </c>
      <c r="E82" s="16">
        <v>-1895000</v>
      </c>
      <c r="F82" s="16">
        <v>-3264000</v>
      </c>
    </row>
    <row r="83" spans="2:6" x14ac:dyDescent="0.3">
      <c r="B83" t="s">
        <v>91</v>
      </c>
      <c r="C83" s="16">
        <v>0</v>
      </c>
      <c r="D83" s="16">
        <v>0</v>
      </c>
      <c r="E83" s="16">
        <v>0</v>
      </c>
      <c r="F83" s="16">
        <v>0</v>
      </c>
    </row>
    <row r="84" spans="2:6" x14ac:dyDescent="0.3">
      <c r="B84" t="s">
        <v>92</v>
      </c>
      <c r="C84" s="16">
        <v>387000</v>
      </c>
      <c r="D84" s="16">
        <v>125000</v>
      </c>
      <c r="E84" s="16">
        <v>940000</v>
      </c>
      <c r="F84" s="16">
        <v>2300000</v>
      </c>
    </row>
  </sheetData>
  <sheetProtection sheet="1" objects="1" scenarios="1"/>
  <customSheetViews>
    <customSheetView guid="{157A7F57-E932-4D71-AAC5-1BA0DA6A9C96}" showGridLines="0" topLeftCell="A37">
      <selection activeCell="K27" sqref="K26:K27"/>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19"/>
  <sheetViews>
    <sheetView showGridLines="0" topLeftCell="A22" workbookViewId="0">
      <selection activeCell="D114" sqref="D114:H114"/>
    </sheetView>
  </sheetViews>
  <sheetFormatPr defaultRowHeight="14.4" x14ac:dyDescent="0.3"/>
  <cols>
    <col min="1" max="1" width="1.88671875" customWidth="1"/>
    <col min="4" max="7" width="9" bestFit="1" customWidth="1"/>
    <col min="8" max="8" width="11.33203125" bestFit="1" customWidth="1"/>
    <col min="10" max="10" width="10.88671875" customWidth="1"/>
    <col min="11" max="11" width="12" customWidth="1"/>
    <col min="12" max="12" width="12.21875" customWidth="1"/>
    <col min="13" max="13" width="12.33203125" customWidth="1"/>
  </cols>
  <sheetData>
    <row r="2" spans="2:17" ht="21" x14ac:dyDescent="0.4">
      <c r="B2" s="97" t="s">
        <v>201</v>
      </c>
      <c r="C2" s="96"/>
      <c r="D2" s="96"/>
      <c r="E2" s="96"/>
      <c r="F2" s="96"/>
      <c r="G2" s="96"/>
      <c r="H2" s="96"/>
      <c r="I2" s="96"/>
      <c r="J2" s="96"/>
      <c r="K2" s="96"/>
    </row>
    <row r="3" spans="2:17" x14ac:dyDescent="0.3">
      <c r="B3" s="96" t="s">
        <v>202</v>
      </c>
      <c r="C3" s="96"/>
      <c r="D3" s="96"/>
      <c r="E3" s="96"/>
      <c r="F3" s="96"/>
      <c r="G3" s="96"/>
      <c r="H3" s="96"/>
      <c r="I3" s="96"/>
      <c r="J3" s="96"/>
      <c r="K3" s="96"/>
    </row>
    <row r="4" spans="2:17" x14ac:dyDescent="0.3">
      <c r="B4" s="96" t="s">
        <v>203</v>
      </c>
      <c r="C4" s="96"/>
      <c r="D4" s="96"/>
      <c r="E4" s="96"/>
      <c r="F4" s="96"/>
      <c r="G4" s="96"/>
      <c r="H4" s="96"/>
      <c r="I4" s="96"/>
      <c r="J4" s="96"/>
      <c r="K4" s="96"/>
    </row>
    <row r="5" spans="2:17" x14ac:dyDescent="0.3">
      <c r="B5" s="96"/>
      <c r="C5" s="96"/>
      <c r="D5" s="96"/>
      <c r="E5" s="96"/>
      <c r="F5" s="96"/>
      <c r="G5" s="96"/>
      <c r="H5" s="96"/>
      <c r="I5" s="96"/>
      <c r="J5" s="96"/>
      <c r="K5" s="96"/>
    </row>
    <row r="7" spans="2:17" x14ac:dyDescent="0.3">
      <c r="B7" s="419" t="s">
        <v>204</v>
      </c>
      <c r="C7" s="419"/>
      <c r="D7" s="419"/>
      <c r="E7" s="419"/>
      <c r="F7" s="419"/>
      <c r="G7" s="419"/>
      <c r="H7" s="419"/>
      <c r="I7" s="419"/>
      <c r="J7" s="419"/>
      <c r="K7" s="419"/>
      <c r="L7" s="419"/>
      <c r="M7" s="419"/>
      <c r="N7" s="419"/>
      <c r="O7" s="419"/>
      <c r="P7" s="419"/>
      <c r="Q7" s="419"/>
    </row>
    <row r="8" spans="2:17" x14ac:dyDescent="0.3">
      <c r="B8" s="419"/>
      <c r="C8" s="419"/>
      <c r="D8" s="419"/>
      <c r="E8" s="419"/>
      <c r="F8" s="419"/>
      <c r="G8" s="419"/>
      <c r="H8" s="419"/>
      <c r="I8" s="419"/>
      <c r="J8" s="419"/>
      <c r="K8" s="419"/>
      <c r="L8" s="419"/>
      <c r="M8" s="419"/>
      <c r="N8" s="419"/>
      <c r="O8" s="419"/>
      <c r="P8" s="419"/>
      <c r="Q8" s="419"/>
    </row>
    <row r="9" spans="2:17" x14ac:dyDescent="0.3">
      <c r="B9" s="419"/>
      <c r="C9" s="419"/>
      <c r="D9" s="419"/>
      <c r="E9" s="419"/>
      <c r="F9" s="419"/>
      <c r="G9" s="419"/>
      <c r="H9" s="419"/>
      <c r="I9" s="419"/>
      <c r="J9" s="419"/>
      <c r="K9" s="419"/>
      <c r="L9" s="419"/>
      <c r="M9" s="419"/>
      <c r="N9" s="419"/>
      <c r="O9" s="419"/>
      <c r="P9" s="419"/>
      <c r="Q9" s="419"/>
    </row>
    <row r="10" spans="2:17" x14ac:dyDescent="0.3">
      <c r="B10" s="419"/>
      <c r="C10" s="419"/>
      <c r="D10" s="419"/>
      <c r="E10" s="419"/>
      <c r="F10" s="419"/>
      <c r="G10" s="419"/>
      <c r="H10" s="419"/>
      <c r="I10" s="419"/>
      <c r="J10" s="419"/>
      <c r="K10" s="419"/>
      <c r="L10" s="419"/>
      <c r="M10" s="419"/>
      <c r="N10" s="419"/>
      <c r="O10" s="419"/>
      <c r="P10" s="419"/>
      <c r="Q10" s="419"/>
    </row>
    <row r="11" spans="2:17" x14ac:dyDescent="0.3">
      <c r="B11" s="419"/>
      <c r="C11" s="419"/>
      <c r="D11" s="419"/>
      <c r="E11" s="419"/>
      <c r="F11" s="419"/>
      <c r="G11" s="419"/>
      <c r="H11" s="419"/>
      <c r="I11" s="419"/>
      <c r="J11" s="419"/>
      <c r="K11" s="419"/>
      <c r="L11" s="419"/>
      <c r="M11" s="419"/>
      <c r="N11" s="419"/>
      <c r="O11" s="419"/>
      <c r="P11" s="419"/>
      <c r="Q11" s="419"/>
    </row>
    <row r="13" spans="2:17" x14ac:dyDescent="0.3">
      <c r="B13" s="420" t="s">
        <v>58</v>
      </c>
      <c r="C13" s="421"/>
      <c r="D13" s="421"/>
      <c r="E13" s="421"/>
      <c r="F13" s="421"/>
      <c r="G13" s="421"/>
      <c r="H13" s="421"/>
      <c r="I13" s="421"/>
      <c r="J13" s="421"/>
      <c r="K13" s="421"/>
      <c r="L13" s="421"/>
      <c r="M13" s="421"/>
      <c r="N13" s="421"/>
      <c r="O13" s="421"/>
      <c r="P13" s="421"/>
      <c r="Q13" s="422"/>
    </row>
    <row r="14" spans="2:17" x14ac:dyDescent="0.3">
      <c r="B14" s="107"/>
      <c r="C14" s="38"/>
      <c r="D14" s="38"/>
      <c r="E14" s="38"/>
      <c r="F14" s="38"/>
      <c r="G14" s="38"/>
      <c r="H14" s="38"/>
      <c r="I14" s="38"/>
      <c r="J14" s="38"/>
      <c r="K14" s="38"/>
      <c r="L14" s="38"/>
      <c r="M14" s="38"/>
      <c r="N14" s="38"/>
      <c r="O14" s="38"/>
      <c r="P14" s="38"/>
      <c r="Q14" s="108"/>
    </row>
    <row r="15" spans="2:17" x14ac:dyDescent="0.3">
      <c r="B15" s="411" t="s">
        <v>64</v>
      </c>
      <c r="C15" s="412"/>
      <c r="D15" s="412"/>
      <c r="E15" s="412"/>
      <c r="F15" s="412"/>
      <c r="G15" s="412"/>
      <c r="H15" s="412"/>
      <c r="I15" s="412"/>
      <c r="J15" s="412"/>
      <c r="K15" s="412"/>
      <c r="L15" s="412"/>
      <c r="M15" s="412"/>
      <c r="N15" s="412"/>
      <c r="O15" s="412"/>
      <c r="P15" s="412"/>
      <c r="Q15" s="413"/>
    </row>
    <row r="16" spans="2:17" x14ac:dyDescent="0.3">
      <c r="B16" s="107"/>
      <c r="C16" s="38"/>
      <c r="D16" s="38"/>
      <c r="E16" s="38"/>
      <c r="F16" s="38"/>
      <c r="G16" s="38"/>
      <c r="H16" s="38"/>
      <c r="I16" s="38"/>
      <c r="J16" s="49">
        <v>43466</v>
      </c>
      <c r="K16" s="49">
        <f>J16+366</f>
        <v>43832</v>
      </c>
      <c r="L16" s="49">
        <f t="shared" ref="L16:M16" si="0">K16+366</f>
        <v>44198</v>
      </c>
      <c r="M16" s="49">
        <f t="shared" si="0"/>
        <v>44564</v>
      </c>
      <c r="N16" s="38"/>
      <c r="O16" s="38"/>
      <c r="P16" s="38"/>
      <c r="Q16" s="108"/>
    </row>
    <row r="17" spans="2:17" x14ac:dyDescent="0.3">
      <c r="B17" s="107" t="s">
        <v>179</v>
      </c>
      <c r="C17" s="38"/>
      <c r="D17" s="38"/>
      <c r="E17" s="38"/>
      <c r="F17" s="38"/>
      <c r="G17" s="38"/>
      <c r="H17" s="38"/>
      <c r="I17" s="38"/>
      <c r="J17" s="39">
        <f>'AMD Financials'!C32/'AMD Financials'!C45</f>
        <v>1.9487070792708774</v>
      </c>
      <c r="K17" s="39">
        <f>'AMD Financials'!D32/'AMD Financials'!D45</f>
        <v>2.5415804716590813</v>
      </c>
      <c r="L17" s="39">
        <f>'AMD Financials'!E32/'AMD Financials'!E45</f>
        <v>2.0242924528301889</v>
      </c>
      <c r="M17" s="39">
        <f>'AMD Financials'!F32/'AMD Financials'!F45</f>
        <v>2.358140995446695</v>
      </c>
      <c r="N17" s="38"/>
      <c r="O17" s="38"/>
      <c r="P17" s="38"/>
      <c r="Q17" s="108"/>
    </row>
    <row r="18" spans="2:17" x14ac:dyDescent="0.3">
      <c r="B18" s="107" t="s">
        <v>180</v>
      </c>
      <c r="C18" s="38"/>
      <c r="D18" s="38"/>
      <c r="E18" s="38"/>
      <c r="F18" s="38"/>
      <c r="G18" s="38"/>
      <c r="H18" s="38"/>
      <c r="I18" s="38"/>
      <c r="J18" s="39">
        <f>('AMD Financials'!C32-'AMD Financials'!C30)/'AMD Financials'!C45</f>
        <v>1.5324289953370072</v>
      </c>
      <c r="K18" s="39">
        <f>('AMD Financials'!D32-'AMD Financials'!D30)/'AMD Financials'!D45</f>
        <v>1.9627637567232106</v>
      </c>
      <c r="L18" s="39">
        <f>('AMD Financials'!E32-'AMD Financials'!E30)/'AMD Financials'!E45</f>
        <v>1.5632075471698113</v>
      </c>
      <c r="M18" s="39">
        <f>('AMD Financials'!F32-'AMD Financials'!F30)/'AMD Financials'!F45</f>
        <v>1.7660543256398178</v>
      </c>
      <c r="N18" s="38"/>
      <c r="O18" s="38"/>
      <c r="P18" s="38"/>
      <c r="Q18" s="108"/>
    </row>
    <row r="19" spans="2:17" x14ac:dyDescent="0.3">
      <c r="B19" s="107" t="s">
        <v>67</v>
      </c>
      <c r="C19" s="38"/>
      <c r="D19" s="38"/>
      <c r="E19" s="38"/>
      <c r="F19" s="38"/>
      <c r="G19" s="38"/>
      <c r="H19" s="38"/>
      <c r="I19" s="38"/>
      <c r="J19" s="39">
        <f>('AMD Financials'!C27+'AMD Financials'!C28)/'AMD Financials'!C45</f>
        <v>0.6371343789741416</v>
      </c>
      <c r="K19" s="39">
        <f>('AMD Financials'!D27+'AMD Financials'!D28)/'AMD Financials'!D45</f>
        <v>0.94745552337608607</v>
      </c>
      <c r="L19" s="39">
        <f>('AMD Financials'!E27+'AMD Financials'!E28)/'AMD Financials'!E45</f>
        <v>0.85094339622641513</v>
      </c>
      <c r="M19" s="39">
        <f>('AMD Financials'!F27+'AMD Financials'!F28)/'AMD Financials'!F45</f>
        <v>0.91929659287172238</v>
      </c>
      <c r="N19" s="38"/>
      <c r="O19" s="38"/>
      <c r="P19" s="38"/>
      <c r="Q19" s="108"/>
    </row>
    <row r="20" spans="2:17" x14ac:dyDescent="0.3">
      <c r="B20" s="107"/>
      <c r="C20" s="38"/>
      <c r="D20" s="38"/>
      <c r="E20" s="38"/>
      <c r="F20" s="38"/>
      <c r="G20" s="38"/>
      <c r="H20" s="38"/>
      <c r="I20" s="38"/>
      <c r="J20" s="38"/>
      <c r="K20" s="38"/>
      <c r="L20" s="38"/>
      <c r="M20" s="38"/>
      <c r="N20" s="38"/>
      <c r="O20" s="38"/>
      <c r="P20" s="38"/>
      <c r="Q20" s="108"/>
    </row>
    <row r="21" spans="2:17" x14ac:dyDescent="0.3">
      <c r="B21" s="411" t="s">
        <v>116</v>
      </c>
      <c r="C21" s="412"/>
      <c r="D21" s="412"/>
      <c r="E21" s="412"/>
      <c r="F21" s="412"/>
      <c r="G21" s="412"/>
      <c r="H21" s="412"/>
      <c r="I21" s="412"/>
      <c r="J21" s="412"/>
      <c r="K21" s="412"/>
      <c r="L21" s="412"/>
      <c r="M21" s="412"/>
      <c r="N21" s="412"/>
      <c r="O21" s="412"/>
      <c r="P21" s="412"/>
      <c r="Q21" s="413"/>
    </row>
    <row r="22" spans="2:17" x14ac:dyDescent="0.3">
      <c r="B22" s="107"/>
      <c r="C22" s="38"/>
      <c r="D22" s="38"/>
      <c r="E22" s="38"/>
      <c r="F22" s="38"/>
      <c r="G22" s="38"/>
      <c r="H22" s="38"/>
      <c r="I22" s="38"/>
      <c r="J22" s="49">
        <f>J16</f>
        <v>43466</v>
      </c>
      <c r="K22" s="49">
        <f t="shared" ref="K22:M22" si="1">K16</f>
        <v>43832</v>
      </c>
      <c r="L22" s="49">
        <f t="shared" si="1"/>
        <v>44198</v>
      </c>
      <c r="M22" s="49">
        <f t="shared" si="1"/>
        <v>44564</v>
      </c>
      <c r="N22" s="38"/>
      <c r="O22" s="38"/>
      <c r="P22" s="38"/>
      <c r="Q22" s="108"/>
    </row>
    <row r="23" spans="2:17" x14ac:dyDescent="0.3">
      <c r="B23" s="107" t="s">
        <v>117</v>
      </c>
      <c r="C23" s="38"/>
      <c r="D23" s="38"/>
      <c r="E23" s="38"/>
      <c r="F23" s="38"/>
      <c r="G23" s="38"/>
      <c r="H23" s="38"/>
      <c r="I23" s="38"/>
      <c r="J23" s="39">
        <f>('AMD Financials'!C46+'AMD Financials'!C43)/'AMD Financials'!C40</f>
        <v>8.0623755806237554E-2</v>
      </c>
      <c r="K23" s="39">
        <f>('AMD Financials'!D46+'AMD Financials'!D43)/'AMD Financials'!D40</f>
        <v>3.6822137915643829E-2</v>
      </c>
      <c r="L23" s="39">
        <f>('AMD Financials'!E46+'AMD Financials'!E43)/'AMD Financials'!E40</f>
        <v>2.520331749738304E-2</v>
      </c>
      <c r="M23" s="39">
        <f>('AMD Financials'!F46+'AMD Financials'!F43)/'AMD Financials'!F40</f>
        <v>3.6504883101509324E-2</v>
      </c>
      <c r="N23" s="38"/>
      <c r="O23" s="38"/>
      <c r="P23" s="38"/>
      <c r="Q23" s="108"/>
    </row>
    <row r="24" spans="2:17" x14ac:dyDescent="0.3">
      <c r="B24" s="107" t="s">
        <v>118</v>
      </c>
      <c r="C24" s="38"/>
      <c r="D24" s="38"/>
      <c r="E24" s="38"/>
      <c r="F24" s="38"/>
      <c r="G24" s="38"/>
      <c r="H24" s="38"/>
      <c r="I24" s="38"/>
      <c r="J24" s="39">
        <f>('AMD Financials'!C46+'AMD Financials'!C43)/'AMD Financials'!C58</f>
        <v>0.17191368942341706</v>
      </c>
      <c r="K24" s="39">
        <f>('AMD Financials'!D46+'AMD Financials'!D43)/'AMD Financials'!D58</f>
        <v>5.65358917252013E-2</v>
      </c>
      <c r="L24" s="39">
        <f>('AMD Financials'!E46+'AMD Financials'!E43)/'AMD Financials'!E58</f>
        <v>4.1750033346672002E-2</v>
      </c>
      <c r="M24" s="39">
        <f>('AMD Financials'!F46+'AMD Financials'!F43)/'AMD Financials'!F58</f>
        <v>4.5059360730593606E-2</v>
      </c>
      <c r="N24" s="38"/>
      <c r="O24" s="38"/>
      <c r="P24" s="38"/>
      <c r="Q24" s="108"/>
    </row>
    <row r="25" spans="2:17" x14ac:dyDescent="0.3">
      <c r="B25" s="107" t="s">
        <v>120</v>
      </c>
      <c r="C25" s="38"/>
      <c r="D25" s="38"/>
      <c r="E25" s="38"/>
      <c r="F25" s="38"/>
      <c r="G25" s="38"/>
      <c r="H25" s="38"/>
      <c r="I25" s="38"/>
      <c r="J25" s="39">
        <f>J24/(1+J24)</f>
        <v>0.14669483851494117</v>
      </c>
      <c r="K25" s="39">
        <f t="shared" ref="K25:M25" si="2">K24/(1+K24)</f>
        <v>5.3510621047510948E-2</v>
      </c>
      <c r="L25" s="39">
        <f t="shared" si="2"/>
        <v>4.0076824583866834E-2</v>
      </c>
      <c r="M25" s="39">
        <f t="shared" si="2"/>
        <v>4.3116556268241957E-2</v>
      </c>
      <c r="N25" s="38"/>
      <c r="O25" s="38"/>
      <c r="P25" s="38"/>
      <c r="Q25" s="108"/>
    </row>
    <row r="26" spans="2:17" x14ac:dyDescent="0.3">
      <c r="B26" s="107" t="s">
        <v>121</v>
      </c>
      <c r="C26" s="38"/>
      <c r="D26" s="38"/>
      <c r="E26" s="38"/>
      <c r="F26" s="38"/>
      <c r="G26" s="38"/>
      <c r="H26" s="38"/>
      <c r="I26" s="38"/>
      <c r="J26" s="39">
        <f>('AMD Financials'!C14+'AMD Financials'!C65)/'AMD Financials'!C15</f>
        <v>8.0212765957446805</v>
      </c>
      <c r="K26" s="39">
        <f>('AMD Financials'!D14+'AMD Financials'!D65)/'AMD Financials'!D15</f>
        <v>35.957446808510639</v>
      </c>
      <c r="L26" s="39">
        <f>('AMD Financials'!E14+'AMD Financials'!E65)/'AMD Financials'!E15</f>
        <v>122.67647058823529</v>
      </c>
      <c r="M26" s="39">
        <f>('AMD Financials'!F14+'AMD Financials'!F65)/'AMD Financials'!F15</f>
        <v>65.034090909090907</v>
      </c>
      <c r="N26" s="38"/>
      <c r="O26" s="38"/>
      <c r="P26" s="38"/>
      <c r="Q26" s="108"/>
    </row>
    <row r="27" spans="2:17" x14ac:dyDescent="0.3">
      <c r="B27" s="107" t="s">
        <v>119</v>
      </c>
      <c r="C27" s="38"/>
      <c r="D27" s="38"/>
      <c r="E27" s="38"/>
      <c r="F27" s="38"/>
      <c r="G27" s="38"/>
      <c r="H27" s="38"/>
      <c r="I27" s="38"/>
      <c r="J27" s="39">
        <f>'AMD Financials'!C40/'AMD Financials'!C58</f>
        <v>2.132295719844358</v>
      </c>
      <c r="K27" s="39">
        <f>'AMD Financials'!D40/'AMD Financials'!D58</f>
        <v>1.5353777625492548</v>
      </c>
      <c r="L27" s="39">
        <f>'AMD Financials'!E40/'AMD Financials'!E58</f>
        <v>1.6565292783780179</v>
      </c>
      <c r="M27" s="39">
        <f>'AMD Financials'!F40/'AMD Financials'!F58</f>
        <v>1.2343378995433789</v>
      </c>
      <c r="N27" s="38"/>
      <c r="O27" s="38"/>
      <c r="P27" s="38"/>
      <c r="Q27" s="108"/>
    </row>
    <row r="28" spans="2:17" x14ac:dyDescent="0.3">
      <c r="B28" s="107" t="s">
        <v>193</v>
      </c>
      <c r="C28" s="38"/>
      <c r="D28" s="38"/>
      <c r="E28" s="38"/>
      <c r="F28" s="38"/>
      <c r="G28" s="38"/>
      <c r="H28" s="38"/>
      <c r="I28" s="38"/>
      <c r="J28" s="39">
        <f>'AMD Financials'!C72/('AMD Financials'!C46+'AMD Financials'!C43)</f>
        <v>1.0144032921810699</v>
      </c>
      <c r="K28" s="39">
        <f>'AMD Financials'!D72/('AMD Financials'!D46+'AMD Financials'!D43)</f>
        <v>3.2454545454545456</v>
      </c>
      <c r="L28" s="39">
        <f>'AMD Financials'!E72/('AMD Financials'!E46+'AMD Financials'!E43)</f>
        <v>11.249201277955272</v>
      </c>
      <c r="M28" s="39">
        <f>'AMD Financials'!F72/('AMD Financials'!F46+'AMD Financials'!F43)</f>
        <v>1.4450749898662343</v>
      </c>
      <c r="N28" s="38"/>
      <c r="O28" s="38"/>
      <c r="P28" s="38"/>
      <c r="Q28" s="108"/>
    </row>
    <row r="29" spans="2:17" x14ac:dyDescent="0.3">
      <c r="B29" s="107"/>
      <c r="C29" s="38"/>
      <c r="D29" s="38"/>
      <c r="E29" s="38"/>
      <c r="F29" s="38"/>
      <c r="G29" s="38"/>
      <c r="H29" s="38"/>
      <c r="I29" s="38"/>
      <c r="J29" s="38"/>
      <c r="K29" s="38"/>
      <c r="L29" s="38"/>
      <c r="M29" s="38"/>
      <c r="N29" s="38"/>
      <c r="O29" s="38"/>
      <c r="P29" s="38"/>
      <c r="Q29" s="108"/>
    </row>
    <row r="30" spans="2:17" x14ac:dyDescent="0.3">
      <c r="B30" s="411" t="s">
        <v>206</v>
      </c>
      <c r="C30" s="412"/>
      <c r="D30" s="412"/>
      <c r="E30" s="412"/>
      <c r="F30" s="412"/>
      <c r="G30" s="412"/>
      <c r="H30" s="412"/>
      <c r="I30" s="412"/>
      <c r="J30" s="412"/>
      <c r="K30" s="412"/>
      <c r="L30" s="412"/>
      <c r="M30" s="412"/>
      <c r="N30" s="412"/>
      <c r="O30" s="412"/>
      <c r="P30" s="412"/>
      <c r="Q30" s="413"/>
    </row>
    <row r="31" spans="2:17" x14ac:dyDescent="0.3">
      <c r="B31" s="107"/>
      <c r="C31" s="38"/>
      <c r="D31" s="38"/>
      <c r="E31" s="38"/>
      <c r="F31" s="38"/>
      <c r="G31" s="38"/>
      <c r="H31" s="38"/>
      <c r="I31" s="38"/>
      <c r="J31" s="49">
        <f>J22</f>
        <v>43466</v>
      </c>
      <c r="K31" s="49">
        <f t="shared" ref="K31:M31" si="3">K22</f>
        <v>43832</v>
      </c>
      <c r="L31" s="49">
        <f t="shared" si="3"/>
        <v>44198</v>
      </c>
      <c r="M31" s="49">
        <f t="shared" si="3"/>
        <v>44564</v>
      </c>
      <c r="N31" s="38"/>
      <c r="O31" s="38"/>
      <c r="P31" s="38"/>
      <c r="Q31" s="108"/>
    </row>
    <row r="32" spans="2:17" x14ac:dyDescent="0.3">
      <c r="B32" s="107" t="s">
        <v>123</v>
      </c>
      <c r="C32" s="38"/>
      <c r="D32" s="38"/>
      <c r="E32" s="38"/>
      <c r="F32" s="38"/>
      <c r="G32" s="38"/>
      <c r="H32" s="38"/>
      <c r="I32" s="38"/>
      <c r="J32" s="39">
        <f>'AMD Financials'!C4/'AMD Financials'!C40</f>
        <v>1.1166224286662243</v>
      </c>
      <c r="K32" s="39">
        <f>'AMD Financials'!D4/'AMD Financials'!D40</f>
        <v>1.0893773711225172</v>
      </c>
      <c r="L32" s="39">
        <f>'AMD Financials'!E4/'AMD Financials'!E40</f>
        <v>1.3232949512843224</v>
      </c>
      <c r="M32" s="39">
        <f>'AMD Financials'!F4/'AMD Financials'!F40</f>
        <v>0.34923054158034922</v>
      </c>
      <c r="N32" s="38"/>
      <c r="O32" s="38"/>
      <c r="P32" s="38"/>
      <c r="Q32" s="108"/>
    </row>
    <row r="33" spans="2:17" x14ac:dyDescent="0.3">
      <c r="B33" s="107" t="s">
        <v>124</v>
      </c>
      <c r="C33" s="38"/>
      <c r="D33" s="38"/>
      <c r="E33" s="38"/>
      <c r="F33" s="38"/>
      <c r="G33" s="38"/>
      <c r="H33" s="38"/>
      <c r="I33" s="38"/>
      <c r="J33" s="39">
        <f>'AMD Financials'!C4/('AMD Financials'!C32-'AMD Financials'!C45)</f>
        <v>3.0075960679177838</v>
      </c>
      <c r="K33" s="39">
        <f>'AMD Financials'!D4/('AMD Financials'!D32-'AMD Financials'!D45)</f>
        <v>2.6202361782071928</v>
      </c>
      <c r="L33" s="39">
        <f>'AMD Financials'!E4/('AMD Financials'!E32-'AMD Financials'!E45)</f>
        <v>3.7840202624913655</v>
      </c>
      <c r="M33" s="39">
        <f>'AMD Financials'!F4/('AMD Financials'!F32-'AMD Financials'!F45)</f>
        <v>2.7284393063583816</v>
      </c>
      <c r="N33" s="38"/>
      <c r="O33" s="38"/>
      <c r="P33" s="38"/>
      <c r="Q33" s="108"/>
    </row>
    <row r="34" spans="2:17" x14ac:dyDescent="0.3">
      <c r="B34" s="107" t="s">
        <v>125</v>
      </c>
      <c r="C34" s="38"/>
      <c r="D34" s="38"/>
      <c r="E34" s="38"/>
      <c r="F34" s="38"/>
      <c r="G34" s="38"/>
      <c r="H34" s="38"/>
      <c r="I34" s="38"/>
      <c r="J34" s="39">
        <f>'AMD Financials'!C5/'AMD Financials'!C30</f>
        <v>3.9338085539714869</v>
      </c>
      <c r="K34" s="39">
        <f>'AMD Financials'!D5/'AMD Financials'!D30</f>
        <v>3.8713366690493207</v>
      </c>
      <c r="L34" s="39">
        <f>'AMD Financials'!E5/'AMD Financials'!E30</f>
        <v>4.3503836317135551</v>
      </c>
      <c r="M34" s="39">
        <f>'AMD Financials'!F5/'AMD Financials'!F30</f>
        <v>3.4468310792893133</v>
      </c>
      <c r="N34" s="38"/>
      <c r="O34" s="38"/>
      <c r="P34" s="38"/>
      <c r="Q34" s="108"/>
    </row>
    <row r="35" spans="2:17" x14ac:dyDescent="0.3">
      <c r="B35" s="107" t="s">
        <v>126</v>
      </c>
      <c r="C35" s="38"/>
      <c r="D35" s="38"/>
      <c r="E35" s="38"/>
      <c r="F35" s="38"/>
      <c r="G35" s="38"/>
      <c r="H35" s="38"/>
      <c r="I35" s="38"/>
      <c r="J35" s="39">
        <f>'AMD Financials'!C4/'AMD Financials'!C29</f>
        <v>3.5822245875465675</v>
      </c>
      <c r="K35" s="39">
        <f>'AMD Financials'!D4/'AMD Financials'!D29</f>
        <v>4.7027938342967248</v>
      </c>
      <c r="L35" s="39">
        <f>'AMD Financials'!E4/'AMD Financials'!E29</f>
        <v>6.068685376661743</v>
      </c>
      <c r="M35" s="39">
        <f>'AMD Financials'!F4/'AMD Financials'!F29</f>
        <v>5.7172965116279073</v>
      </c>
      <c r="N35" s="38"/>
      <c r="O35" s="38"/>
      <c r="P35" s="38"/>
      <c r="Q35" s="108"/>
    </row>
    <row r="36" spans="2:17" x14ac:dyDescent="0.3">
      <c r="B36" s="107"/>
      <c r="C36" s="38"/>
      <c r="D36" s="38"/>
      <c r="E36" s="38"/>
      <c r="F36" s="38"/>
      <c r="G36" s="38"/>
      <c r="H36" s="38"/>
      <c r="I36" s="38"/>
      <c r="J36" s="38"/>
      <c r="K36" s="38"/>
      <c r="L36" s="38"/>
      <c r="M36" s="38"/>
      <c r="N36" s="38"/>
      <c r="O36" s="38"/>
      <c r="P36" s="38"/>
      <c r="Q36" s="108"/>
    </row>
    <row r="37" spans="2:17" x14ac:dyDescent="0.3">
      <c r="B37" s="411" t="s">
        <v>131</v>
      </c>
      <c r="C37" s="412"/>
      <c r="D37" s="412"/>
      <c r="E37" s="412"/>
      <c r="F37" s="412"/>
      <c r="G37" s="412"/>
      <c r="H37" s="412"/>
      <c r="I37" s="412"/>
      <c r="J37" s="412"/>
      <c r="K37" s="412"/>
      <c r="L37" s="412"/>
      <c r="M37" s="412"/>
      <c r="N37" s="412"/>
      <c r="O37" s="412"/>
      <c r="P37" s="412"/>
      <c r="Q37" s="413"/>
    </row>
    <row r="38" spans="2:17" x14ac:dyDescent="0.3">
      <c r="B38" s="107"/>
      <c r="C38" s="38"/>
      <c r="D38" s="38"/>
      <c r="E38" s="38"/>
      <c r="F38" s="38"/>
      <c r="G38" s="38"/>
      <c r="H38" s="38"/>
      <c r="I38" s="38"/>
      <c r="J38" s="49">
        <f>J31</f>
        <v>43466</v>
      </c>
      <c r="K38" s="49">
        <f t="shared" ref="K38:M38" si="4">K31</f>
        <v>43832</v>
      </c>
      <c r="L38" s="49">
        <f t="shared" si="4"/>
        <v>44198</v>
      </c>
      <c r="M38" s="49">
        <f t="shared" si="4"/>
        <v>44564</v>
      </c>
      <c r="N38" s="38"/>
      <c r="O38" s="38"/>
      <c r="P38" s="38"/>
      <c r="Q38" s="108"/>
    </row>
    <row r="39" spans="2:17" x14ac:dyDescent="0.3">
      <c r="B39" s="107" t="s">
        <v>132</v>
      </c>
      <c r="C39" s="38"/>
      <c r="D39" s="38"/>
      <c r="E39" s="38"/>
      <c r="F39" s="38"/>
      <c r="G39" s="38"/>
      <c r="H39" s="38"/>
      <c r="I39" s="38"/>
      <c r="J39" s="67">
        <f>'AMD Financials'!C22/'AMD Financials'!C58</f>
        <v>0.12062256809338522</v>
      </c>
      <c r="K39" s="67">
        <f>'AMD Financials'!D22/'AMD Financials'!D58</f>
        <v>0.4265890011992462</v>
      </c>
      <c r="L39" s="67">
        <f>'AMD Financials'!E22/'AMD Financials'!E58</f>
        <v>0.42176870748299322</v>
      </c>
      <c r="M39" s="67">
        <f>'AMD Financials'!F22/'AMD Financials'!F58</f>
        <v>2.4109589041095891E-2</v>
      </c>
      <c r="N39" s="38"/>
      <c r="O39" s="38"/>
      <c r="P39" s="38"/>
      <c r="Q39" s="108"/>
    </row>
    <row r="40" spans="2:17" x14ac:dyDescent="0.3">
      <c r="B40" s="107" t="s">
        <v>133</v>
      </c>
      <c r="C40" s="38"/>
      <c r="D40" s="38"/>
      <c r="E40" s="38"/>
      <c r="F40" s="38"/>
      <c r="G40" s="38"/>
      <c r="H40" s="38"/>
      <c r="I40" s="38"/>
      <c r="J40" s="67">
        <f>'AMD Financials'!C22/'AMD Financials'!C40</f>
        <v>5.6569343065693431E-2</v>
      </c>
      <c r="K40" s="67">
        <f>'AMD Financials'!D22/'AMD Financials'!D40</f>
        <v>0.27783976790894888</v>
      </c>
      <c r="L40" s="67">
        <f>'AMD Financials'!E22/'AMD Financials'!E40</f>
        <v>0.254609871970368</v>
      </c>
      <c r="M40" s="67">
        <f>'AMD Financials'!F22/'AMD Financials'!F40</f>
        <v>1.9532406037289139E-2</v>
      </c>
      <c r="N40" s="38"/>
      <c r="O40" s="38"/>
      <c r="P40" s="38"/>
      <c r="Q40" s="108"/>
    </row>
    <row r="41" spans="2:17" x14ac:dyDescent="0.3">
      <c r="B41" s="107" t="s">
        <v>134</v>
      </c>
      <c r="C41" s="38"/>
      <c r="D41" s="38"/>
      <c r="E41" s="38"/>
      <c r="F41" s="38"/>
      <c r="G41" s="38"/>
      <c r="H41" s="38"/>
      <c r="I41" s="38"/>
      <c r="J41" s="67">
        <f>'AMD Financials'!C22/('AMD Financials'!C58+'AMD Financials'!C46+'AMD Financials'!C43)</f>
        <v>0.10292785994566858</v>
      </c>
      <c r="K41" s="67">
        <f>'AMD Financials'!D22/('AMD Financials'!D58+'AMD Financials'!D46+'AMD Financials'!D43)</f>
        <v>0.40376195881303711</v>
      </c>
      <c r="L41" s="67">
        <f>'AMD Financials'!E22/('AMD Financials'!E58+'AMD Financials'!E46+'AMD Financials'!E43)</f>
        <v>0.40486555697823301</v>
      </c>
      <c r="M41" s="67">
        <f>'AMD Financials'!F22/('AMD Financials'!F58+'AMD Financials'!F46+'AMD Financials'!F43)</f>
        <v>2.3070066588601289E-2</v>
      </c>
      <c r="N41" s="38"/>
      <c r="O41" s="38"/>
      <c r="P41" s="38"/>
      <c r="Q41" s="108"/>
    </row>
    <row r="42" spans="2:17" x14ac:dyDescent="0.3">
      <c r="B42" s="107" t="s">
        <v>135</v>
      </c>
      <c r="C42" s="38"/>
      <c r="D42" s="38"/>
      <c r="E42" s="38"/>
      <c r="F42" s="38"/>
      <c r="G42" s="38"/>
      <c r="H42" s="38"/>
      <c r="I42" s="38"/>
      <c r="J42" s="67">
        <f>'AMD Financials'!C22/('AMD Financials'!C35+'AMD Financials'!C32-'AMD Financials'!C45)</f>
        <v>0.11586816173972138</v>
      </c>
      <c r="K42" s="67">
        <f>'AMD Financials'!D22/('AMD Financials'!D35+'AMD Financials'!D32-'AMD Financials'!D45)</f>
        <v>0.54426229508196722</v>
      </c>
      <c r="L42" s="67">
        <f>'AMD Financials'!E22/('AMD Financials'!E35+'AMD Financials'!E32-'AMD Financials'!E45)</f>
        <v>0.58425720620842569</v>
      </c>
      <c r="M42" s="67">
        <f>'AMD Financials'!F22/('AMD Financials'!F35+'AMD Financials'!F32-'AMD Financials'!F45)</f>
        <v>0.12425868398757413</v>
      </c>
      <c r="N42" s="38"/>
      <c r="O42" s="38"/>
      <c r="P42" s="38"/>
      <c r="Q42" s="108"/>
    </row>
    <row r="43" spans="2:17" x14ac:dyDescent="0.3">
      <c r="B43" s="107" t="s">
        <v>136</v>
      </c>
      <c r="C43" s="38"/>
      <c r="D43" s="38"/>
      <c r="E43" s="38"/>
      <c r="F43" s="38"/>
      <c r="G43" s="38"/>
      <c r="H43" s="38"/>
      <c r="I43" s="38"/>
      <c r="J43" s="67">
        <f>('AMD Financials'!C14+'AMD Financials'!C65)/'AMD Financials'!C4</f>
        <v>0.11201901649086317</v>
      </c>
      <c r="K43" s="67">
        <f>('AMD Financials'!D14+'AMD Financials'!D65)/'AMD Financials'!D4</f>
        <v>0.17310252996005326</v>
      </c>
      <c r="L43" s="67">
        <f>('AMD Financials'!E14+'AMD Financials'!E65)/'AMD Financials'!E4</f>
        <v>0.25380309115248872</v>
      </c>
      <c r="M43" s="67">
        <f>('AMD Financials'!F14+'AMD Financials'!F65)/'AMD Financials'!F4</f>
        <v>0.24248972501165206</v>
      </c>
      <c r="N43" s="38"/>
      <c r="O43" s="38"/>
      <c r="P43" s="38"/>
      <c r="Q43" s="108"/>
    </row>
    <row r="44" spans="2:17" x14ac:dyDescent="0.3">
      <c r="B44" s="107" t="s">
        <v>137</v>
      </c>
      <c r="C44" s="38"/>
      <c r="D44" s="38"/>
      <c r="E44" s="38"/>
      <c r="F44" s="38"/>
      <c r="G44" s="38"/>
      <c r="H44" s="38"/>
      <c r="I44" s="38"/>
      <c r="J44" s="67">
        <f>'AMD Financials'!C22/'AMD Financials'!C4</f>
        <v>5.0661120190164909E-2</v>
      </c>
      <c r="K44" s="67">
        <f>'AMD Financials'!D22/'AMD Financials'!D4</f>
        <v>0.25504455597664655</v>
      </c>
      <c r="L44" s="67">
        <f>'AMD Financials'!E22/'AMD Financials'!E4</f>
        <v>0.19240598758671049</v>
      </c>
      <c r="M44" s="67">
        <f>'AMD Financials'!F22/'AMD Financials'!F4</f>
        <v>5.5929833481632135E-2</v>
      </c>
      <c r="N44" s="38"/>
      <c r="O44" s="38"/>
      <c r="P44" s="38"/>
      <c r="Q44" s="108"/>
    </row>
    <row r="45" spans="2:17" x14ac:dyDescent="0.3">
      <c r="B45" s="107"/>
      <c r="C45" s="38"/>
      <c r="D45" s="38"/>
      <c r="E45" s="38"/>
      <c r="F45" s="38"/>
      <c r="G45" s="38"/>
      <c r="H45" s="38"/>
      <c r="I45" s="38"/>
      <c r="J45" s="38"/>
      <c r="K45" s="38"/>
      <c r="L45" s="38"/>
      <c r="M45" s="38"/>
      <c r="N45" s="38"/>
      <c r="O45" s="38"/>
      <c r="P45" s="38"/>
      <c r="Q45" s="108"/>
    </row>
    <row r="46" spans="2:17" x14ac:dyDescent="0.3">
      <c r="B46" s="411" t="s">
        <v>127</v>
      </c>
      <c r="C46" s="412"/>
      <c r="D46" s="412"/>
      <c r="E46" s="412"/>
      <c r="F46" s="412"/>
      <c r="G46" s="412"/>
      <c r="H46" s="412"/>
      <c r="I46" s="412"/>
      <c r="J46" s="412"/>
      <c r="K46" s="412"/>
      <c r="L46" s="412"/>
      <c r="M46" s="412"/>
      <c r="N46" s="412"/>
      <c r="O46" s="412"/>
      <c r="P46" s="412"/>
      <c r="Q46" s="413"/>
    </row>
    <row r="47" spans="2:17" x14ac:dyDescent="0.3">
      <c r="B47" s="107"/>
      <c r="C47" s="38"/>
      <c r="D47" s="38"/>
      <c r="E47" s="38"/>
      <c r="F47" s="38"/>
      <c r="G47" s="38"/>
      <c r="H47" s="38"/>
      <c r="I47" s="38"/>
      <c r="J47" s="49">
        <f>J38</f>
        <v>43466</v>
      </c>
      <c r="K47" s="49">
        <f t="shared" ref="K47:M47" si="5">K38</f>
        <v>43832</v>
      </c>
      <c r="L47" s="49">
        <f t="shared" si="5"/>
        <v>44198</v>
      </c>
      <c r="M47" s="49">
        <f t="shared" si="5"/>
        <v>44564</v>
      </c>
      <c r="N47" s="38"/>
      <c r="O47" s="38"/>
      <c r="P47" s="38"/>
      <c r="Q47" s="108"/>
    </row>
    <row r="48" spans="2:17" x14ac:dyDescent="0.3">
      <c r="B48" s="107" t="s">
        <v>128</v>
      </c>
      <c r="C48" s="38"/>
      <c r="D48" s="38"/>
      <c r="E48" s="38"/>
      <c r="F48" s="38"/>
      <c r="G48" s="38"/>
      <c r="H48" s="38"/>
      <c r="I48" s="38"/>
      <c r="J48" s="39">
        <f>'AMD Financials'!C23/'AMD Financials'!C4</f>
        <v>7.9705838656960335</v>
      </c>
      <c r="K48" s="39">
        <f>'AMD Financials'!D23/'AMD Financials'!D4</f>
        <v>11.310048140940285</v>
      </c>
      <c r="L48" s="39">
        <f>'AMD Financials'!E23/'AMD Financials'!E4</f>
        <v>10.573810393087502</v>
      </c>
      <c r="M48" s="39">
        <f>'AMD Financials'!F23/'AMD Financials'!F4</f>
        <v>4.424812507944579</v>
      </c>
      <c r="N48" s="38"/>
      <c r="O48" s="38"/>
      <c r="P48" s="38"/>
      <c r="Q48" s="108"/>
    </row>
    <row r="49" spans="2:17" x14ac:dyDescent="0.3">
      <c r="B49" s="107" t="s">
        <v>129</v>
      </c>
      <c r="C49" s="38"/>
      <c r="D49" s="38"/>
      <c r="E49" s="38"/>
      <c r="F49" s="38"/>
      <c r="G49" s="38"/>
      <c r="H49" s="38"/>
      <c r="I49" s="38"/>
      <c r="J49" s="39">
        <f>'AMD Financials'!C23/'AMD Financials'!C22</f>
        <v>157.33137829912025</v>
      </c>
      <c r="K49" s="39">
        <f>'AMD Financials'!D23/'AMD Financials'!D22</f>
        <v>44.345381526104418</v>
      </c>
      <c r="L49" s="39">
        <f>'AMD Financials'!E23/'AMD Financials'!E22</f>
        <v>54.955724225173938</v>
      </c>
      <c r="M49" s="39">
        <f>'AMD Financials'!F23/'AMD Financials'!F22</f>
        <v>79.11363636363636</v>
      </c>
      <c r="N49" s="38"/>
      <c r="O49" s="38"/>
      <c r="P49" s="38"/>
      <c r="Q49" s="108"/>
    </row>
    <row r="50" spans="2:17" x14ac:dyDescent="0.3">
      <c r="B50" s="107" t="s">
        <v>140</v>
      </c>
      <c r="C50" s="38"/>
      <c r="D50" s="38"/>
      <c r="E50" s="38"/>
      <c r="F50" s="38"/>
      <c r="G50" s="38"/>
      <c r="H50" s="38"/>
      <c r="I50" s="38"/>
      <c r="J50" s="39">
        <f>'AMD Financials'!C23/'AMD Financials'!C72</f>
        <v>108.82352941176471</v>
      </c>
      <c r="K50" s="39">
        <f>'AMD Financials'!D23/'AMD Financials'!D72</f>
        <v>103.0999066293184</v>
      </c>
      <c r="L50" s="39">
        <f>'AMD Financials'!E23/'AMD Financials'!E72</f>
        <v>49.352456688440782</v>
      </c>
      <c r="M50" s="39">
        <f>'AMD Financials'!F23/'AMD Financials'!F72</f>
        <v>29.293127629733519</v>
      </c>
      <c r="N50" s="38"/>
      <c r="O50" s="38"/>
      <c r="P50" s="38"/>
      <c r="Q50" s="108"/>
    </row>
    <row r="51" spans="2:17" x14ac:dyDescent="0.3">
      <c r="B51" s="107" t="s">
        <v>130</v>
      </c>
      <c r="C51" s="38"/>
      <c r="D51" s="38"/>
      <c r="E51" s="38"/>
      <c r="F51" s="38"/>
      <c r="G51" s="38"/>
      <c r="H51" s="38"/>
      <c r="I51" s="38"/>
      <c r="J51" s="39">
        <f>'AMD Financials'!C23/'AMD Financials'!C58</f>
        <v>18.977714892111781</v>
      </c>
      <c r="K51" s="39">
        <f>'AMD Financials'!D23/'AMD Financials'!D58</f>
        <v>18.917252013020388</v>
      </c>
      <c r="L51" s="39">
        <f>'AMD Financials'!E23/'AMD Financials'!E58</f>
        <v>23.178604775243432</v>
      </c>
      <c r="M51" s="39">
        <f>'AMD Financials'!F23/'AMD Financials'!F58</f>
        <v>1.9073972602739726</v>
      </c>
      <c r="N51" s="38"/>
      <c r="O51" s="38"/>
      <c r="P51" s="38"/>
      <c r="Q51" s="108"/>
    </row>
    <row r="52" spans="2:17" x14ac:dyDescent="0.3">
      <c r="B52" s="107"/>
      <c r="C52" s="38"/>
      <c r="D52" s="38"/>
      <c r="E52" s="38"/>
      <c r="F52" s="38"/>
      <c r="G52" s="38"/>
      <c r="H52" s="38"/>
      <c r="I52" s="38"/>
      <c r="J52" s="38"/>
      <c r="K52" s="38"/>
      <c r="L52" s="38"/>
      <c r="M52" s="38"/>
      <c r="N52" s="38"/>
      <c r="O52" s="38"/>
      <c r="P52" s="38"/>
      <c r="Q52" s="108"/>
    </row>
    <row r="53" spans="2:17" x14ac:dyDescent="0.3">
      <c r="B53" s="411" t="s">
        <v>207</v>
      </c>
      <c r="C53" s="412"/>
      <c r="D53" s="412"/>
      <c r="E53" s="412"/>
      <c r="F53" s="412"/>
      <c r="G53" s="412"/>
      <c r="H53" s="412"/>
      <c r="I53" s="412"/>
      <c r="J53" s="412"/>
      <c r="K53" s="412"/>
      <c r="L53" s="412"/>
      <c r="M53" s="412"/>
      <c r="N53" s="412"/>
      <c r="O53" s="412"/>
      <c r="P53" s="412"/>
      <c r="Q53" s="413"/>
    </row>
    <row r="54" spans="2:17" x14ac:dyDescent="0.3">
      <c r="B54" s="107"/>
      <c r="C54" s="38"/>
      <c r="D54" s="38"/>
      <c r="E54" s="38"/>
      <c r="F54" s="38"/>
      <c r="G54" s="38"/>
      <c r="H54" s="38"/>
      <c r="I54" s="38"/>
      <c r="J54" s="49">
        <f>J47</f>
        <v>43466</v>
      </c>
      <c r="K54" s="49">
        <f t="shared" ref="K54:M54" si="6">K47</f>
        <v>43832</v>
      </c>
      <c r="L54" s="49">
        <f t="shared" si="6"/>
        <v>44198</v>
      </c>
      <c r="M54" s="49">
        <f t="shared" si="6"/>
        <v>44564</v>
      </c>
      <c r="N54" s="38"/>
      <c r="O54" s="38"/>
      <c r="P54" s="38"/>
      <c r="Q54" s="108"/>
    </row>
    <row r="55" spans="2:17" x14ac:dyDescent="0.3">
      <c r="B55" s="107" t="s">
        <v>23</v>
      </c>
      <c r="C55" s="38"/>
      <c r="D55" s="38"/>
      <c r="E55" s="38"/>
      <c r="F55" s="38"/>
      <c r="G55" s="38"/>
      <c r="H55" s="38"/>
      <c r="I55" s="38"/>
      <c r="J55" s="51">
        <f>'AMD Financials'!C22</f>
        <v>341000</v>
      </c>
      <c r="K55" s="51">
        <f>'AMD Financials'!D22</f>
        <v>2490000</v>
      </c>
      <c r="L55" s="51">
        <f>'AMD Financials'!E22</f>
        <v>3162000</v>
      </c>
      <c r="M55" s="51">
        <f>'AMD Financials'!F22</f>
        <v>1320000</v>
      </c>
      <c r="N55" s="38"/>
      <c r="O55" s="38"/>
      <c r="P55" s="38"/>
      <c r="Q55" s="108"/>
    </row>
    <row r="56" spans="2:17" x14ac:dyDescent="0.3">
      <c r="B56" s="107" t="s">
        <v>139</v>
      </c>
      <c r="C56" s="38"/>
      <c r="D56" s="38"/>
      <c r="E56" s="38"/>
      <c r="F56" s="38"/>
      <c r="G56" s="38"/>
      <c r="H56" s="38"/>
      <c r="I56" s="38"/>
      <c r="J56" s="51">
        <f>'AMD Financials'!C4</f>
        <v>6731000</v>
      </c>
      <c r="K56" s="51">
        <f>'AMD Financials'!D4</f>
        <v>9763000</v>
      </c>
      <c r="L56" s="51">
        <f>'AMD Financials'!E4</f>
        <v>16434000</v>
      </c>
      <c r="M56" s="51">
        <f>'AMD Financials'!F4</f>
        <v>23601000</v>
      </c>
      <c r="N56" s="38"/>
      <c r="O56" s="38"/>
      <c r="P56" s="38"/>
      <c r="Q56" s="108"/>
    </row>
    <row r="57" spans="2:17" x14ac:dyDescent="0.3">
      <c r="B57" s="107" t="s">
        <v>39</v>
      </c>
      <c r="C57" s="38"/>
      <c r="D57" s="38"/>
      <c r="E57" s="38"/>
      <c r="F57" s="38"/>
      <c r="G57" s="38"/>
      <c r="H57" s="38"/>
      <c r="I57" s="38"/>
      <c r="J57" s="51">
        <f>'AMD Financials'!C40</f>
        <v>6028000</v>
      </c>
      <c r="K57" s="51">
        <f>'AMD Financials'!D40</f>
        <v>8962000</v>
      </c>
      <c r="L57" s="51">
        <f>'AMD Financials'!E40</f>
        <v>12419000</v>
      </c>
      <c r="M57" s="51">
        <f>'AMD Financials'!F40</f>
        <v>67580000</v>
      </c>
      <c r="N57" s="38"/>
      <c r="O57" s="38"/>
      <c r="P57" s="38"/>
      <c r="Q57" s="108"/>
    </row>
    <row r="58" spans="2:17" x14ac:dyDescent="0.3">
      <c r="B58" s="107" t="s">
        <v>141</v>
      </c>
      <c r="C58" s="38"/>
      <c r="D58" s="38"/>
      <c r="E58" s="38"/>
      <c r="F58" s="38"/>
      <c r="G58" s="38"/>
      <c r="H58" s="38"/>
      <c r="I58" s="38"/>
      <c r="J58" s="51">
        <f>'AMD Financials'!C58</f>
        <v>2827000</v>
      </c>
      <c r="K58" s="51">
        <f>'AMD Financials'!D58</f>
        <v>5837000</v>
      </c>
      <c r="L58" s="51">
        <f>'AMD Financials'!E58</f>
        <v>7497000</v>
      </c>
      <c r="M58" s="51">
        <f>'AMD Financials'!F58</f>
        <v>54750000</v>
      </c>
      <c r="N58" s="38"/>
      <c r="O58" s="38"/>
      <c r="P58" s="38"/>
      <c r="Q58" s="108"/>
    </row>
    <row r="59" spans="2:17" x14ac:dyDescent="0.3">
      <c r="B59" s="107" t="s">
        <v>142</v>
      </c>
      <c r="C59" s="38"/>
      <c r="D59" s="38"/>
      <c r="E59" s="38"/>
      <c r="F59" s="38"/>
      <c r="G59" s="38"/>
      <c r="H59" s="38"/>
      <c r="I59" s="38"/>
      <c r="J59" s="67">
        <f>J55/J56</f>
        <v>5.0661120190164909E-2</v>
      </c>
      <c r="K59" s="67">
        <f t="shared" ref="K59:M59" si="7">K55/K56</f>
        <v>0.25504455597664655</v>
      </c>
      <c r="L59" s="67">
        <f t="shared" si="7"/>
        <v>0.19240598758671049</v>
      </c>
      <c r="M59" s="67">
        <f t="shared" si="7"/>
        <v>5.5929833481632135E-2</v>
      </c>
      <c r="N59" s="38"/>
      <c r="O59" s="38"/>
      <c r="P59" s="38"/>
      <c r="Q59" s="108"/>
    </row>
    <row r="60" spans="2:17" x14ac:dyDescent="0.3">
      <c r="B60" s="107" t="s">
        <v>143</v>
      </c>
      <c r="C60" s="38"/>
      <c r="D60" s="38"/>
      <c r="E60" s="38"/>
      <c r="F60" s="38"/>
      <c r="G60" s="38"/>
      <c r="H60" s="38"/>
      <c r="I60" s="38"/>
      <c r="J60" s="39">
        <f>J56/J57</f>
        <v>1.1166224286662243</v>
      </c>
      <c r="K60" s="39">
        <f t="shared" ref="K60:M60" si="8">K56/K57</f>
        <v>1.0893773711225172</v>
      </c>
      <c r="L60" s="39">
        <f t="shared" si="8"/>
        <v>1.3232949512843224</v>
      </c>
      <c r="M60" s="39">
        <f t="shared" si="8"/>
        <v>0.34923054158034922</v>
      </c>
      <c r="N60" s="38"/>
      <c r="O60" s="38"/>
      <c r="P60" s="38"/>
      <c r="Q60" s="108"/>
    </row>
    <row r="61" spans="2:17" x14ac:dyDescent="0.3">
      <c r="B61" s="107" t="s">
        <v>144</v>
      </c>
      <c r="C61" s="38"/>
      <c r="D61" s="38"/>
      <c r="E61" s="38"/>
      <c r="F61" s="38"/>
      <c r="G61" s="38"/>
      <c r="H61" s="38"/>
      <c r="I61" s="38"/>
      <c r="J61" s="39">
        <f>J57/J58</f>
        <v>2.132295719844358</v>
      </c>
      <c r="K61" s="39">
        <f t="shared" ref="K61:M61" si="9">K57/K58</f>
        <v>1.5353777625492548</v>
      </c>
      <c r="L61" s="39">
        <f t="shared" si="9"/>
        <v>1.6565292783780179</v>
      </c>
      <c r="M61" s="39">
        <f t="shared" si="9"/>
        <v>1.2343378995433789</v>
      </c>
      <c r="N61" s="38"/>
      <c r="O61" s="38"/>
      <c r="P61" s="38"/>
      <c r="Q61" s="108"/>
    </row>
    <row r="62" spans="2:17" x14ac:dyDescent="0.3">
      <c r="B62" s="109" t="s">
        <v>145</v>
      </c>
      <c r="C62" s="110"/>
      <c r="D62" s="110"/>
      <c r="E62" s="110"/>
      <c r="F62" s="110"/>
      <c r="G62" s="110"/>
      <c r="H62" s="110"/>
      <c r="I62" s="110"/>
      <c r="J62" s="111">
        <f>J59*J60*J61</f>
        <v>0.12062256809338522</v>
      </c>
      <c r="K62" s="111">
        <f t="shared" ref="K62:M62" si="10">K59*K60*K61</f>
        <v>0.4265890011992462</v>
      </c>
      <c r="L62" s="111">
        <f t="shared" si="10"/>
        <v>0.42176870748299322</v>
      </c>
      <c r="M62" s="111">
        <f t="shared" si="10"/>
        <v>2.4109589041095888E-2</v>
      </c>
      <c r="N62" s="110"/>
      <c r="O62" s="110"/>
      <c r="P62" s="110"/>
      <c r="Q62" s="112"/>
    </row>
    <row r="63" spans="2:17" x14ac:dyDescent="0.3">
      <c r="B63" s="107"/>
      <c r="C63" s="38"/>
      <c r="D63" s="38"/>
      <c r="E63" s="38"/>
      <c r="F63" s="38"/>
      <c r="G63" s="38"/>
      <c r="H63" s="38"/>
      <c r="I63" s="38"/>
      <c r="J63" s="38"/>
      <c r="K63" s="38"/>
      <c r="L63" s="38"/>
      <c r="M63" s="38"/>
      <c r="N63" s="38"/>
      <c r="O63" s="38"/>
      <c r="P63" s="38"/>
      <c r="Q63" s="108"/>
    </row>
    <row r="64" spans="2:17" x14ac:dyDescent="0.3">
      <c r="B64" s="411" t="s">
        <v>208</v>
      </c>
      <c r="C64" s="412"/>
      <c r="D64" s="412"/>
      <c r="E64" s="412"/>
      <c r="F64" s="412"/>
      <c r="G64" s="412"/>
      <c r="H64" s="412"/>
      <c r="I64" s="412"/>
      <c r="J64" s="412"/>
      <c r="K64" s="412"/>
      <c r="L64" s="412"/>
      <c r="M64" s="412"/>
      <c r="N64" s="412"/>
      <c r="O64" s="412"/>
      <c r="P64" s="412"/>
      <c r="Q64" s="413"/>
    </row>
    <row r="65" spans="2:17" x14ac:dyDescent="0.3">
      <c r="B65" s="107"/>
      <c r="C65" s="38"/>
      <c r="D65" s="38"/>
      <c r="E65" s="38"/>
      <c r="F65" s="38"/>
      <c r="G65" s="38"/>
      <c r="H65" s="38"/>
      <c r="I65" s="38"/>
      <c r="J65" s="49">
        <f>J54</f>
        <v>43466</v>
      </c>
      <c r="K65" s="49">
        <f t="shared" ref="K65:M65" si="11">K54</f>
        <v>43832</v>
      </c>
      <c r="L65" s="49">
        <f t="shared" si="11"/>
        <v>44198</v>
      </c>
      <c r="M65" s="49">
        <f t="shared" si="11"/>
        <v>44564</v>
      </c>
      <c r="N65" s="38"/>
      <c r="O65" s="38"/>
      <c r="P65" s="38"/>
      <c r="Q65" s="108"/>
    </row>
    <row r="66" spans="2:17" x14ac:dyDescent="0.3">
      <c r="B66" s="107" t="s">
        <v>23</v>
      </c>
      <c r="C66" s="38"/>
      <c r="D66" s="38"/>
      <c r="E66" s="38"/>
      <c r="F66" s="38"/>
      <c r="G66" s="38"/>
      <c r="H66" s="38"/>
      <c r="I66" s="38"/>
      <c r="J66" s="51">
        <f>J55</f>
        <v>341000</v>
      </c>
      <c r="K66" s="51">
        <f t="shared" ref="K66:M66" si="12">K55</f>
        <v>2490000</v>
      </c>
      <c r="L66" s="51">
        <f t="shared" si="12"/>
        <v>3162000</v>
      </c>
      <c r="M66" s="51">
        <f t="shared" si="12"/>
        <v>1320000</v>
      </c>
      <c r="N66" s="38"/>
      <c r="O66" s="38"/>
      <c r="P66" s="38"/>
      <c r="Q66" s="108"/>
    </row>
    <row r="67" spans="2:17" x14ac:dyDescent="0.3">
      <c r="B67" s="107" t="s">
        <v>139</v>
      </c>
      <c r="C67" s="38"/>
      <c r="D67" s="38"/>
      <c r="E67" s="38"/>
      <c r="F67" s="38"/>
      <c r="G67" s="38"/>
      <c r="H67" s="38"/>
      <c r="I67" s="38"/>
      <c r="J67" s="51">
        <f t="shared" ref="J67:M67" si="13">J56</f>
        <v>6731000</v>
      </c>
      <c r="K67" s="51">
        <f t="shared" si="13"/>
        <v>9763000</v>
      </c>
      <c r="L67" s="51">
        <f t="shared" si="13"/>
        <v>16434000</v>
      </c>
      <c r="M67" s="51">
        <f t="shared" si="13"/>
        <v>23601000</v>
      </c>
      <c r="N67" s="38"/>
      <c r="O67" s="38"/>
      <c r="P67" s="38"/>
      <c r="Q67" s="108"/>
    </row>
    <row r="68" spans="2:17" x14ac:dyDescent="0.3">
      <c r="B68" s="107" t="s">
        <v>39</v>
      </c>
      <c r="C68" s="38"/>
      <c r="D68" s="38"/>
      <c r="E68" s="38"/>
      <c r="F68" s="38"/>
      <c r="G68" s="38"/>
      <c r="H68" s="38"/>
      <c r="I68" s="38"/>
      <c r="J68" s="51">
        <f t="shared" ref="J68:M68" si="14">J57</f>
        <v>6028000</v>
      </c>
      <c r="K68" s="51">
        <f t="shared" si="14"/>
        <v>8962000</v>
      </c>
      <c r="L68" s="51">
        <f t="shared" si="14"/>
        <v>12419000</v>
      </c>
      <c r="M68" s="51">
        <f t="shared" si="14"/>
        <v>67580000</v>
      </c>
      <c r="N68" s="38"/>
      <c r="O68" s="38"/>
      <c r="P68" s="38"/>
      <c r="Q68" s="108"/>
    </row>
    <row r="69" spans="2:17" x14ac:dyDescent="0.3">
      <c r="B69" s="107" t="s">
        <v>142</v>
      </c>
      <c r="C69" s="38"/>
      <c r="D69" s="38"/>
      <c r="E69" s="38"/>
      <c r="F69" s="38"/>
      <c r="G69" s="38"/>
      <c r="H69" s="38"/>
      <c r="I69" s="38"/>
      <c r="J69" s="67">
        <f>J66/J67</f>
        <v>5.0661120190164909E-2</v>
      </c>
      <c r="K69" s="67">
        <f t="shared" ref="K69:M69" si="15">K66/K67</f>
        <v>0.25504455597664655</v>
      </c>
      <c r="L69" s="67">
        <f t="shared" si="15"/>
        <v>0.19240598758671049</v>
      </c>
      <c r="M69" s="67">
        <f t="shared" si="15"/>
        <v>5.5929833481632135E-2</v>
      </c>
      <c r="N69" s="38"/>
      <c r="O69" s="38"/>
      <c r="P69" s="38"/>
      <c r="Q69" s="108"/>
    </row>
    <row r="70" spans="2:17" x14ac:dyDescent="0.3">
      <c r="B70" s="107" t="s">
        <v>143</v>
      </c>
      <c r="C70" s="38"/>
      <c r="D70" s="38"/>
      <c r="E70" s="38"/>
      <c r="F70" s="38"/>
      <c r="G70" s="38"/>
      <c r="H70" s="38"/>
      <c r="I70" s="38"/>
      <c r="J70" s="39">
        <f>J67/J68</f>
        <v>1.1166224286662243</v>
      </c>
      <c r="K70" s="39">
        <f t="shared" ref="K70:M70" si="16">K67/K68</f>
        <v>1.0893773711225172</v>
      </c>
      <c r="L70" s="39">
        <f t="shared" si="16"/>
        <v>1.3232949512843224</v>
      </c>
      <c r="M70" s="39">
        <f t="shared" si="16"/>
        <v>0.34923054158034922</v>
      </c>
      <c r="N70" s="38"/>
      <c r="O70" s="38"/>
      <c r="P70" s="38"/>
      <c r="Q70" s="108"/>
    </row>
    <row r="71" spans="2:17" ht="15" thickBot="1" x14ac:dyDescent="0.35">
      <c r="B71" s="113" t="s">
        <v>147</v>
      </c>
      <c r="C71" s="114"/>
      <c r="D71" s="114"/>
      <c r="E71" s="114"/>
      <c r="F71" s="114"/>
      <c r="G71" s="114"/>
      <c r="H71" s="114"/>
      <c r="I71" s="114"/>
      <c r="J71" s="115">
        <f>J69*J70</f>
        <v>5.6569343065693431E-2</v>
      </c>
      <c r="K71" s="115">
        <f t="shared" ref="K71:M71" si="17">K69*K70</f>
        <v>0.27783976790894888</v>
      </c>
      <c r="L71" s="115">
        <f t="shared" si="17"/>
        <v>0.254609871970368</v>
      </c>
      <c r="M71" s="115">
        <f t="shared" si="17"/>
        <v>1.9532406037289139E-2</v>
      </c>
      <c r="N71" s="114"/>
      <c r="O71" s="114"/>
      <c r="P71" s="114"/>
      <c r="Q71" s="116"/>
    </row>
    <row r="73" spans="2:17" x14ac:dyDescent="0.3">
      <c r="B73" s="143" t="s">
        <v>194</v>
      </c>
    </row>
    <row r="74" spans="2:17" x14ac:dyDescent="0.3">
      <c r="B74" t="s">
        <v>214</v>
      </c>
    </row>
    <row r="75" spans="2:17" x14ac:dyDescent="0.3">
      <c r="B75" t="s">
        <v>215</v>
      </c>
    </row>
    <row r="76" spans="2:17" x14ac:dyDescent="0.3">
      <c r="B76" t="s">
        <v>216</v>
      </c>
    </row>
    <row r="77" spans="2:17" x14ac:dyDescent="0.3">
      <c r="B77" t="s">
        <v>217</v>
      </c>
    </row>
    <row r="78" spans="2:17" x14ac:dyDescent="0.3">
      <c r="B78" t="s">
        <v>218</v>
      </c>
    </row>
    <row r="80" spans="2:17" ht="15" thickBot="1" x14ac:dyDescent="0.35"/>
    <row r="81" spans="2:17" x14ac:dyDescent="0.3">
      <c r="B81" s="416" t="s">
        <v>209</v>
      </c>
      <c r="C81" s="417"/>
      <c r="D81" s="417"/>
      <c r="E81" s="417"/>
      <c r="F81" s="417"/>
      <c r="G81" s="417"/>
      <c r="H81" s="417"/>
      <c r="I81" s="417"/>
      <c r="J81" s="417"/>
      <c r="K81" s="417"/>
      <c r="L81" s="417"/>
      <c r="M81" s="417"/>
      <c r="N81" s="417"/>
      <c r="O81" s="417"/>
      <c r="P81" s="417"/>
      <c r="Q81" s="418"/>
    </row>
    <row r="82" spans="2:17" x14ac:dyDescent="0.3">
      <c r="B82" s="107"/>
      <c r="C82" s="38"/>
      <c r="D82" s="38"/>
      <c r="E82" s="38"/>
      <c r="F82" s="38"/>
      <c r="G82" s="38"/>
      <c r="H82" s="38"/>
      <c r="I82" s="38"/>
      <c r="J82" s="38"/>
      <c r="K82" s="38"/>
      <c r="L82" s="38"/>
      <c r="M82" s="38"/>
      <c r="N82" s="38"/>
      <c r="O82" s="38"/>
      <c r="P82" s="38"/>
      <c r="Q82" s="108"/>
    </row>
    <row r="83" spans="2:17" x14ac:dyDescent="0.3">
      <c r="B83" s="411" t="s">
        <v>184</v>
      </c>
      <c r="C83" s="412"/>
      <c r="D83" s="412"/>
      <c r="E83" s="412"/>
      <c r="F83" s="412"/>
      <c r="G83" s="412"/>
      <c r="H83" s="412"/>
      <c r="I83" s="412"/>
      <c r="J83" s="412"/>
      <c r="K83" s="412"/>
      <c r="L83" s="412"/>
      <c r="M83" s="412"/>
      <c r="N83" s="412"/>
      <c r="O83" s="412"/>
      <c r="P83" s="412"/>
      <c r="Q83" s="413"/>
    </row>
    <row r="84" spans="2:17" x14ac:dyDescent="0.3">
      <c r="B84" s="107"/>
      <c r="C84" s="38"/>
      <c r="D84" s="38"/>
      <c r="E84" s="38"/>
      <c r="F84" s="38"/>
      <c r="G84" s="38"/>
      <c r="H84" s="38"/>
      <c r="I84" s="38"/>
      <c r="J84" s="49">
        <f>J65</f>
        <v>43466</v>
      </c>
      <c r="K84" s="49">
        <f t="shared" ref="K84:M84" si="18">K65</f>
        <v>43832</v>
      </c>
      <c r="L84" s="49">
        <f t="shared" si="18"/>
        <v>44198</v>
      </c>
      <c r="M84" s="49">
        <f t="shared" si="18"/>
        <v>44564</v>
      </c>
      <c r="N84" s="38"/>
      <c r="O84" s="38"/>
      <c r="P84" s="38"/>
      <c r="Q84" s="108"/>
    </row>
    <row r="85" spans="2:17" x14ac:dyDescent="0.3">
      <c r="B85" s="107" t="s">
        <v>152</v>
      </c>
      <c r="C85" s="38"/>
      <c r="D85" s="38"/>
      <c r="E85" s="38"/>
      <c r="F85" s="38"/>
      <c r="G85" s="38"/>
      <c r="H85" s="38"/>
      <c r="I85" s="38"/>
      <c r="J85" s="51">
        <f>'AMD Financials'!C32-'AMD Financials'!C45</f>
        <v>2238000</v>
      </c>
      <c r="K85" s="51">
        <f>'AMD Financials'!D32-'AMD Financials'!D45</f>
        <v>3726000</v>
      </c>
      <c r="L85" s="51">
        <f>'AMD Financials'!E32-'AMD Financials'!E45</f>
        <v>4343000</v>
      </c>
      <c r="M85" s="51">
        <f>'AMD Financials'!F32-'AMD Financials'!F45</f>
        <v>8650000</v>
      </c>
      <c r="N85" s="38"/>
      <c r="O85" s="38"/>
      <c r="P85" s="38"/>
      <c r="Q85" s="108"/>
    </row>
    <row r="86" spans="2:17" x14ac:dyDescent="0.3">
      <c r="B86" s="107" t="s">
        <v>39</v>
      </c>
      <c r="C86" s="38"/>
      <c r="D86" s="38"/>
      <c r="E86" s="38"/>
      <c r="F86" s="38"/>
      <c r="G86" s="38"/>
      <c r="H86" s="38"/>
      <c r="I86" s="38"/>
      <c r="J86" s="51">
        <f>'AMD Financials'!C40</f>
        <v>6028000</v>
      </c>
      <c r="K86" s="51">
        <f>'AMD Financials'!D40</f>
        <v>8962000</v>
      </c>
      <c r="L86" s="51">
        <f>'AMD Financials'!E40</f>
        <v>12419000</v>
      </c>
      <c r="M86" s="51">
        <f>'AMD Financials'!F40</f>
        <v>67580000</v>
      </c>
      <c r="N86" s="38"/>
      <c r="O86" s="38"/>
      <c r="P86" s="38"/>
      <c r="Q86" s="108"/>
    </row>
    <row r="87" spans="2:17" x14ac:dyDescent="0.3">
      <c r="B87" s="109" t="s">
        <v>189</v>
      </c>
      <c r="C87" s="110"/>
      <c r="D87" s="110"/>
      <c r="E87" s="110"/>
      <c r="F87" s="110"/>
      <c r="G87" s="110"/>
      <c r="H87" s="110"/>
      <c r="I87" s="110"/>
      <c r="J87" s="117">
        <f>J85/J86</f>
        <v>0.37126741871267421</v>
      </c>
      <c r="K87" s="117">
        <f t="shared" ref="K87:M87" si="19">K85/K86</f>
        <v>0.41575541173845126</v>
      </c>
      <c r="L87" s="117">
        <f t="shared" si="19"/>
        <v>0.34970609549883241</v>
      </c>
      <c r="M87" s="117">
        <f t="shared" si="19"/>
        <v>0.12799644865344775</v>
      </c>
      <c r="N87" s="110"/>
      <c r="O87" s="110"/>
      <c r="P87" s="110"/>
      <c r="Q87" s="112"/>
    </row>
    <row r="88" spans="2:17" x14ac:dyDescent="0.3">
      <c r="B88" s="107"/>
      <c r="C88" s="38"/>
      <c r="D88" s="38"/>
      <c r="E88" s="38"/>
      <c r="F88" s="38"/>
      <c r="G88" s="38"/>
      <c r="H88" s="38"/>
      <c r="I88" s="38"/>
      <c r="J88" s="38"/>
      <c r="K88" s="38"/>
      <c r="L88" s="38"/>
      <c r="M88" s="38"/>
      <c r="N88" s="38"/>
      <c r="O88" s="38"/>
      <c r="P88" s="38"/>
      <c r="Q88" s="108"/>
    </row>
    <row r="89" spans="2:17" x14ac:dyDescent="0.3">
      <c r="B89" s="411" t="s">
        <v>185</v>
      </c>
      <c r="C89" s="412"/>
      <c r="D89" s="412"/>
      <c r="E89" s="412"/>
      <c r="F89" s="412"/>
      <c r="G89" s="412"/>
      <c r="H89" s="412"/>
      <c r="I89" s="412"/>
      <c r="J89" s="412"/>
      <c r="K89" s="412"/>
      <c r="L89" s="412"/>
      <c r="M89" s="412"/>
      <c r="N89" s="412"/>
      <c r="O89" s="412"/>
      <c r="P89" s="412"/>
      <c r="Q89" s="413"/>
    </row>
    <row r="90" spans="2:17" x14ac:dyDescent="0.3">
      <c r="B90" s="107"/>
      <c r="C90" s="38"/>
      <c r="D90" s="38"/>
      <c r="E90" s="38"/>
      <c r="F90" s="38"/>
      <c r="G90" s="38"/>
      <c r="H90" s="38"/>
      <c r="I90" s="38"/>
      <c r="J90" s="49">
        <f>J84</f>
        <v>43466</v>
      </c>
      <c r="K90" s="49">
        <f t="shared" ref="K90:M90" si="20">K84</f>
        <v>43832</v>
      </c>
      <c r="L90" s="49">
        <f t="shared" si="20"/>
        <v>44198</v>
      </c>
      <c r="M90" s="49">
        <f t="shared" si="20"/>
        <v>44564</v>
      </c>
      <c r="N90" s="38"/>
      <c r="O90" s="38"/>
      <c r="P90" s="38"/>
      <c r="Q90" s="108"/>
    </row>
    <row r="91" spans="2:17" x14ac:dyDescent="0.3">
      <c r="B91" s="107" t="s">
        <v>210</v>
      </c>
      <c r="C91" s="38"/>
      <c r="D91" s="38"/>
      <c r="E91" s="38"/>
      <c r="F91" s="38"/>
      <c r="G91" s="38"/>
      <c r="H91" s="38"/>
      <c r="I91" s="38"/>
      <c r="J91" s="51">
        <f>'AMD Financials'!C14</f>
        <v>466000</v>
      </c>
      <c r="K91" s="51">
        <f>'AMD Financials'!D14</f>
        <v>1322000</v>
      </c>
      <c r="L91" s="51">
        <f>'AMD Financials'!E14</f>
        <v>3703000</v>
      </c>
      <c r="M91" s="51">
        <f>'AMD Financials'!F14</f>
        <v>1272000</v>
      </c>
      <c r="N91" s="38"/>
      <c r="O91" s="38"/>
      <c r="P91" s="38"/>
      <c r="Q91" s="108"/>
    </row>
    <row r="92" spans="2:17" x14ac:dyDescent="0.3">
      <c r="B92" s="107" t="s">
        <v>39</v>
      </c>
      <c r="C92" s="38"/>
      <c r="D92" s="38"/>
      <c r="E92" s="38"/>
      <c r="F92" s="38"/>
      <c r="G92" s="38"/>
      <c r="H92" s="38"/>
      <c r="I92" s="38"/>
      <c r="J92" s="51">
        <f>J86</f>
        <v>6028000</v>
      </c>
      <c r="K92" s="51">
        <f t="shared" ref="K92:M92" si="21">K86</f>
        <v>8962000</v>
      </c>
      <c r="L92" s="51">
        <f t="shared" si="21"/>
        <v>12419000</v>
      </c>
      <c r="M92" s="51">
        <f t="shared" si="21"/>
        <v>67580000</v>
      </c>
      <c r="N92" s="38"/>
      <c r="O92" s="38"/>
      <c r="P92" s="38"/>
      <c r="Q92" s="108"/>
    </row>
    <row r="93" spans="2:17" x14ac:dyDescent="0.3">
      <c r="B93" s="109" t="s">
        <v>234</v>
      </c>
      <c r="C93" s="110"/>
      <c r="D93" s="110"/>
      <c r="E93" s="110"/>
      <c r="F93" s="110"/>
      <c r="G93" s="110"/>
      <c r="H93" s="110"/>
      <c r="I93" s="110"/>
      <c r="J93" s="117">
        <f>J91/J92</f>
        <v>7.7305905773059055E-2</v>
      </c>
      <c r="K93" s="117">
        <f t="shared" ref="K93:M93" si="22">K91/K92</f>
        <v>0.14751171613479133</v>
      </c>
      <c r="L93" s="117">
        <f t="shared" si="22"/>
        <v>0.29817215556808119</v>
      </c>
      <c r="M93" s="117">
        <f t="shared" si="22"/>
        <v>1.882213672684226E-2</v>
      </c>
      <c r="N93" s="110"/>
      <c r="O93" s="110"/>
      <c r="P93" s="110"/>
      <c r="Q93" s="112"/>
    </row>
    <row r="94" spans="2:17" x14ac:dyDescent="0.3">
      <c r="B94" s="107"/>
      <c r="C94" s="38"/>
      <c r="D94" s="38"/>
      <c r="E94" s="38"/>
      <c r="F94" s="38"/>
      <c r="G94" s="38"/>
      <c r="H94" s="38"/>
      <c r="I94" s="38"/>
      <c r="J94" s="38"/>
      <c r="K94" s="38"/>
      <c r="L94" s="38"/>
      <c r="M94" s="38"/>
      <c r="N94" s="38"/>
      <c r="O94" s="38"/>
      <c r="P94" s="38"/>
      <c r="Q94" s="108"/>
    </row>
    <row r="95" spans="2:17" x14ac:dyDescent="0.3">
      <c r="B95" s="411" t="s">
        <v>211</v>
      </c>
      <c r="C95" s="412"/>
      <c r="D95" s="412"/>
      <c r="E95" s="412"/>
      <c r="F95" s="412"/>
      <c r="G95" s="412"/>
      <c r="H95" s="412"/>
      <c r="I95" s="412"/>
      <c r="J95" s="412"/>
      <c r="K95" s="412"/>
      <c r="L95" s="412"/>
      <c r="M95" s="412"/>
      <c r="N95" s="412"/>
      <c r="O95" s="412"/>
      <c r="P95" s="412"/>
      <c r="Q95" s="413"/>
    </row>
    <row r="96" spans="2:17" x14ac:dyDescent="0.3">
      <c r="B96" s="107"/>
      <c r="C96" s="38"/>
      <c r="D96" s="38"/>
      <c r="E96" s="38"/>
      <c r="F96" s="38"/>
      <c r="G96" s="38"/>
      <c r="H96" s="38"/>
      <c r="I96" s="38"/>
      <c r="J96" s="49">
        <f>J90</f>
        <v>43466</v>
      </c>
      <c r="K96" s="49">
        <f t="shared" ref="K96:M96" si="23">K90</f>
        <v>43832</v>
      </c>
      <c r="L96" s="49">
        <f t="shared" si="23"/>
        <v>44198</v>
      </c>
      <c r="M96" s="49">
        <f t="shared" si="23"/>
        <v>44564</v>
      </c>
      <c r="N96" s="38"/>
      <c r="O96" s="38"/>
      <c r="P96" s="38"/>
      <c r="Q96" s="108"/>
    </row>
    <row r="97" spans="2:17" x14ac:dyDescent="0.3">
      <c r="B97" s="107" t="s">
        <v>53</v>
      </c>
      <c r="C97" s="38"/>
      <c r="D97" s="38"/>
      <c r="E97" s="38"/>
      <c r="F97" s="38"/>
      <c r="G97" s="38"/>
      <c r="H97" s="38"/>
      <c r="I97" s="38"/>
      <c r="J97" s="51">
        <f>'AMD Financials'!C55</f>
        <v>-53000</v>
      </c>
      <c r="K97" s="51">
        <f>'AMD Financials'!D55</f>
        <v>-131000</v>
      </c>
      <c r="L97" s="51">
        <f>'AMD Financials'!E55</f>
        <v>-2130000</v>
      </c>
      <c r="M97" s="51">
        <f>'AMD Financials'!F55</f>
        <v>-3099000</v>
      </c>
      <c r="N97" s="38"/>
      <c r="O97" s="38"/>
      <c r="P97" s="38"/>
      <c r="Q97" s="108"/>
    </row>
    <row r="98" spans="2:17" x14ac:dyDescent="0.3">
      <c r="B98" s="107" t="s">
        <v>212</v>
      </c>
      <c r="C98" s="38"/>
      <c r="D98" s="38"/>
      <c r="E98" s="38"/>
      <c r="F98" s="38"/>
      <c r="G98" s="38"/>
      <c r="H98" s="38"/>
      <c r="I98" s="38"/>
      <c r="J98" s="51">
        <f>J92</f>
        <v>6028000</v>
      </c>
      <c r="K98" s="51">
        <f>K92</f>
        <v>8962000</v>
      </c>
      <c r="L98" s="51">
        <f>L92</f>
        <v>12419000</v>
      </c>
      <c r="M98" s="51">
        <f>M92</f>
        <v>67580000</v>
      </c>
      <c r="N98" s="38"/>
      <c r="O98" s="38"/>
      <c r="P98" s="38"/>
      <c r="Q98" s="108"/>
    </row>
    <row r="99" spans="2:17" x14ac:dyDescent="0.3">
      <c r="B99" s="107" t="s">
        <v>235</v>
      </c>
      <c r="C99" s="38"/>
      <c r="D99" s="38"/>
      <c r="E99" s="38"/>
      <c r="F99" s="38"/>
      <c r="G99" s="38"/>
      <c r="H99" s="38"/>
      <c r="I99" s="38"/>
      <c r="J99" s="39">
        <f>J97/J98</f>
        <v>-8.7923025879230263E-3</v>
      </c>
      <c r="K99" s="39">
        <f t="shared" ref="K99:M99" si="24">K97/K98</f>
        <v>-1.4617272930149521E-2</v>
      </c>
      <c r="L99" s="39">
        <f t="shared" si="24"/>
        <v>-0.17151139383203157</v>
      </c>
      <c r="M99" s="39">
        <f t="shared" si="24"/>
        <v>-4.5856762355726548E-2</v>
      </c>
      <c r="N99" s="38"/>
      <c r="O99" s="38"/>
      <c r="P99" s="38"/>
      <c r="Q99" s="108"/>
    </row>
    <row r="100" spans="2:17" x14ac:dyDescent="0.3">
      <c r="B100" s="107"/>
      <c r="C100" s="38"/>
      <c r="D100" s="38"/>
      <c r="E100" s="38"/>
      <c r="F100" s="38"/>
      <c r="G100" s="38"/>
      <c r="H100" s="38"/>
      <c r="I100" s="38"/>
      <c r="J100" s="38"/>
      <c r="K100" s="38"/>
      <c r="L100" s="38"/>
      <c r="M100" s="38"/>
      <c r="N100" s="38"/>
      <c r="O100" s="38"/>
      <c r="P100" s="38"/>
      <c r="Q100" s="108"/>
    </row>
    <row r="101" spans="2:17" x14ac:dyDescent="0.3">
      <c r="B101" s="411" t="s">
        <v>187</v>
      </c>
      <c r="C101" s="412"/>
      <c r="D101" s="412"/>
      <c r="E101" s="412"/>
      <c r="F101" s="412"/>
      <c r="G101" s="412"/>
      <c r="H101" s="412"/>
      <c r="I101" s="412"/>
      <c r="J101" s="412"/>
      <c r="K101" s="412"/>
      <c r="L101" s="412"/>
      <c r="M101" s="412"/>
      <c r="N101" s="412"/>
      <c r="O101" s="412"/>
      <c r="P101" s="412"/>
      <c r="Q101" s="413"/>
    </row>
    <row r="102" spans="2:17" x14ac:dyDescent="0.3">
      <c r="B102" s="107"/>
      <c r="C102" s="38"/>
      <c r="D102" s="38"/>
      <c r="E102" s="38"/>
      <c r="F102" s="38"/>
      <c r="G102" s="38"/>
      <c r="H102" s="38"/>
      <c r="I102" s="38"/>
      <c r="J102" s="49">
        <f>J96</f>
        <v>43466</v>
      </c>
      <c r="K102" s="49">
        <f>K96</f>
        <v>43832</v>
      </c>
      <c r="L102" s="49">
        <f>L96</f>
        <v>44198</v>
      </c>
      <c r="M102" s="49">
        <f>M96</f>
        <v>44564</v>
      </c>
      <c r="N102" s="38"/>
      <c r="O102" s="38"/>
      <c r="P102" s="38"/>
      <c r="Q102" s="108"/>
    </row>
    <row r="103" spans="2:17" x14ac:dyDescent="0.3">
      <c r="B103" s="107" t="s">
        <v>213</v>
      </c>
      <c r="C103" s="38"/>
      <c r="D103" s="38"/>
      <c r="E103" s="38"/>
      <c r="F103" s="38"/>
      <c r="G103" s="38"/>
      <c r="H103" s="38"/>
      <c r="I103" s="38"/>
      <c r="J103" s="51">
        <f>J67</f>
        <v>6731000</v>
      </c>
      <c r="K103" s="51">
        <f>K67</f>
        <v>9763000</v>
      </c>
      <c r="L103" s="51">
        <f>L67</f>
        <v>16434000</v>
      </c>
      <c r="M103" s="51">
        <f>M67</f>
        <v>23601000</v>
      </c>
      <c r="N103" s="38"/>
      <c r="O103" s="38"/>
      <c r="P103" s="38"/>
      <c r="Q103" s="108"/>
    </row>
    <row r="104" spans="2:17" x14ac:dyDescent="0.3">
      <c r="B104" s="107" t="s">
        <v>39</v>
      </c>
      <c r="C104" s="38"/>
      <c r="D104" s="38"/>
      <c r="E104" s="38"/>
      <c r="F104" s="38"/>
      <c r="G104" s="38"/>
      <c r="H104" s="38"/>
      <c r="I104" s="38"/>
      <c r="J104" s="51">
        <f>J98</f>
        <v>6028000</v>
      </c>
      <c r="K104" s="51">
        <f t="shared" ref="K104:M104" si="25">K98</f>
        <v>8962000</v>
      </c>
      <c r="L104" s="51">
        <f t="shared" si="25"/>
        <v>12419000</v>
      </c>
      <c r="M104" s="51">
        <f t="shared" si="25"/>
        <v>67580000</v>
      </c>
      <c r="N104" s="38"/>
      <c r="O104" s="38"/>
      <c r="P104" s="38"/>
      <c r="Q104" s="108"/>
    </row>
    <row r="105" spans="2:17" x14ac:dyDescent="0.3">
      <c r="B105" s="109" t="s">
        <v>236</v>
      </c>
      <c r="C105" s="110"/>
      <c r="D105" s="110"/>
      <c r="E105" s="110"/>
      <c r="F105" s="110"/>
      <c r="G105" s="110"/>
      <c r="H105" s="110"/>
      <c r="I105" s="110"/>
      <c r="J105" s="117">
        <f>J103/J104</f>
        <v>1.1166224286662243</v>
      </c>
      <c r="K105" s="117">
        <f t="shared" ref="K105:M105" si="26">K103/K104</f>
        <v>1.0893773711225172</v>
      </c>
      <c r="L105" s="117">
        <f t="shared" si="26"/>
        <v>1.3232949512843224</v>
      </c>
      <c r="M105" s="117">
        <f t="shared" si="26"/>
        <v>0.34923054158034922</v>
      </c>
      <c r="N105" s="110"/>
      <c r="O105" s="110"/>
      <c r="P105" s="110"/>
      <c r="Q105" s="112"/>
    </row>
    <row r="106" spans="2:17" x14ac:dyDescent="0.3">
      <c r="B106" s="107"/>
      <c r="C106" s="38"/>
      <c r="D106" s="38"/>
      <c r="E106" s="38"/>
      <c r="F106" s="38"/>
      <c r="G106" s="38"/>
      <c r="H106" s="38"/>
      <c r="I106" s="38"/>
      <c r="J106" s="38"/>
      <c r="K106" s="38"/>
      <c r="L106" s="38"/>
      <c r="M106" s="38"/>
      <c r="N106" s="38"/>
      <c r="O106" s="38"/>
      <c r="P106" s="38"/>
      <c r="Q106" s="108"/>
    </row>
    <row r="107" spans="2:17" x14ac:dyDescent="0.3">
      <c r="B107" s="411" t="s">
        <v>157</v>
      </c>
      <c r="C107" s="412"/>
      <c r="D107" s="412"/>
      <c r="E107" s="412"/>
      <c r="F107" s="412"/>
      <c r="G107" s="412"/>
      <c r="H107" s="412"/>
      <c r="I107" s="412"/>
      <c r="J107" s="412"/>
      <c r="K107" s="412"/>
      <c r="L107" s="412"/>
      <c r="M107" s="412"/>
      <c r="N107" s="412"/>
      <c r="O107" s="412"/>
      <c r="P107" s="412"/>
      <c r="Q107" s="413"/>
    </row>
    <row r="108" spans="2:17" x14ac:dyDescent="0.3">
      <c r="B108" s="107"/>
      <c r="C108" s="38"/>
      <c r="D108" s="38"/>
      <c r="E108" s="38"/>
      <c r="F108" s="38"/>
      <c r="G108" s="38"/>
      <c r="H108" s="38"/>
      <c r="I108" s="38"/>
      <c r="J108" s="49">
        <f>J102</f>
        <v>43466</v>
      </c>
      <c r="K108" s="49">
        <f t="shared" ref="K108:M108" si="27">K102</f>
        <v>43832</v>
      </c>
      <c r="L108" s="49">
        <f t="shared" si="27"/>
        <v>44198</v>
      </c>
      <c r="M108" s="49">
        <f t="shared" si="27"/>
        <v>44564</v>
      </c>
      <c r="N108" s="38"/>
      <c r="O108" s="38"/>
      <c r="P108" s="38"/>
      <c r="Q108" s="108"/>
    </row>
    <row r="109" spans="2:17" x14ac:dyDescent="0.3">
      <c r="B109" s="107" t="s">
        <v>160</v>
      </c>
      <c r="C109" s="38"/>
      <c r="D109" s="38"/>
      <c r="E109" s="38"/>
      <c r="F109" s="38"/>
      <c r="G109" s="38"/>
      <c r="H109" s="38"/>
      <c r="I109" s="38"/>
      <c r="J109" s="51">
        <f>'AMD Financials'!C23</f>
        <v>53650000</v>
      </c>
      <c r="K109" s="51">
        <f>'AMD Financials'!D23</f>
        <v>110420000</v>
      </c>
      <c r="L109" s="51">
        <f>'AMD Financials'!E23</f>
        <v>173770000</v>
      </c>
      <c r="M109" s="51">
        <f>'AMD Financials'!F23</f>
        <v>104430000</v>
      </c>
      <c r="N109" s="38"/>
      <c r="O109" s="38"/>
      <c r="P109" s="38"/>
      <c r="Q109" s="108"/>
    </row>
    <row r="110" spans="2:17" x14ac:dyDescent="0.3">
      <c r="B110" s="107" t="s">
        <v>159</v>
      </c>
      <c r="C110" s="38"/>
      <c r="D110" s="38"/>
      <c r="E110" s="38"/>
      <c r="F110" s="38"/>
      <c r="G110" s="38"/>
      <c r="H110" s="38"/>
      <c r="I110" s="38"/>
      <c r="J110" s="51">
        <f>'AMD Financials'!C46</f>
        <v>486000</v>
      </c>
      <c r="K110" s="51">
        <f>'AMD Financials'!D46</f>
        <v>330000</v>
      </c>
      <c r="L110" s="51">
        <f>'AMD Financials'!E46</f>
        <v>1000</v>
      </c>
      <c r="M110" s="51">
        <f>'AMD Financials'!F46</f>
        <v>2467000</v>
      </c>
      <c r="N110" s="38"/>
      <c r="O110" s="38"/>
      <c r="P110" s="38"/>
      <c r="Q110" s="108"/>
    </row>
    <row r="111" spans="2:17" ht="15" thickBot="1" x14ac:dyDescent="0.35">
      <c r="B111" s="113" t="s">
        <v>165</v>
      </c>
      <c r="C111" s="114"/>
      <c r="D111" s="114"/>
      <c r="E111" s="114"/>
      <c r="F111" s="114"/>
      <c r="G111" s="114"/>
      <c r="H111" s="114"/>
      <c r="I111" s="114"/>
      <c r="J111" s="118">
        <f>J109/J110</f>
        <v>110.39094650205762</v>
      </c>
      <c r="K111" s="118">
        <f t="shared" ref="K111:M111" si="28">K109/K110</f>
        <v>334.60606060606062</v>
      </c>
      <c r="L111" s="118">
        <f t="shared" si="28"/>
        <v>173770</v>
      </c>
      <c r="M111" s="118">
        <f t="shared" si="28"/>
        <v>42.330766112687478</v>
      </c>
      <c r="N111" s="114"/>
      <c r="O111" s="114"/>
      <c r="P111" s="114"/>
      <c r="Q111" s="116"/>
    </row>
    <row r="113" spans="2:17" x14ac:dyDescent="0.3">
      <c r="B113" s="414" t="s">
        <v>166</v>
      </c>
      <c r="C113" s="412"/>
      <c r="D113" s="412"/>
      <c r="E113" s="412"/>
      <c r="F113" s="412"/>
      <c r="G113" s="412"/>
      <c r="H113" s="412"/>
      <c r="I113" s="412"/>
      <c r="J113" s="412"/>
      <c r="K113" s="412"/>
      <c r="L113" s="412"/>
      <c r="M113" s="412"/>
      <c r="N113" s="412"/>
      <c r="O113" s="412"/>
      <c r="P113" s="412"/>
      <c r="Q113" s="415"/>
    </row>
    <row r="114" spans="2:17" x14ac:dyDescent="0.3">
      <c r="B114" s="98"/>
      <c r="C114" s="38"/>
      <c r="D114" s="162" t="s">
        <v>169</v>
      </c>
      <c r="E114" s="162" t="s">
        <v>170</v>
      </c>
      <c r="F114" s="162" t="s">
        <v>171</v>
      </c>
      <c r="G114" s="162" t="s">
        <v>172</v>
      </c>
      <c r="H114" s="162" t="s">
        <v>173</v>
      </c>
      <c r="I114" s="38"/>
      <c r="J114" s="38"/>
      <c r="K114" s="38"/>
      <c r="L114" s="38"/>
      <c r="M114" s="37" t="s">
        <v>166</v>
      </c>
      <c r="N114" s="38"/>
      <c r="O114" s="38" t="s">
        <v>174</v>
      </c>
      <c r="P114" s="38"/>
      <c r="Q114" s="99"/>
    </row>
    <row r="115" spans="2:17" x14ac:dyDescent="0.3">
      <c r="B115" s="100" t="s">
        <v>167</v>
      </c>
      <c r="C115" s="38" t="s">
        <v>168</v>
      </c>
      <c r="D115" s="88">
        <v>1.2</v>
      </c>
      <c r="E115" s="88">
        <v>3.3</v>
      </c>
      <c r="F115" s="88">
        <v>1.4</v>
      </c>
      <c r="G115" s="88">
        <v>1</v>
      </c>
      <c r="H115" s="88">
        <v>0.6</v>
      </c>
      <c r="I115" s="38"/>
      <c r="J115" s="38"/>
      <c r="K115" s="38"/>
      <c r="L115" s="38"/>
      <c r="M115" s="38"/>
      <c r="N115" s="38"/>
      <c r="O115" s="38"/>
      <c r="P115" s="38"/>
      <c r="Q115" s="99"/>
    </row>
    <row r="116" spans="2:17" x14ac:dyDescent="0.3">
      <c r="B116" s="101">
        <f t="array" ref="B116:B119">TRANSPOSE(J108:M108)</f>
        <v>43466</v>
      </c>
      <c r="C116" s="38"/>
      <c r="D116" s="39">
        <f t="array" ref="D116:D119">TRANSPOSE(J87:M87)</f>
        <v>0.37126741871267421</v>
      </c>
      <c r="E116" s="39">
        <f t="array" ref="E116:E119">TRANSPOSE(J93:M93)</f>
        <v>7.7305905773059055E-2</v>
      </c>
      <c r="F116" s="39">
        <f t="array" ref="F116:F119">TRANSPOSE(J99:M99)</f>
        <v>-8.7923025879230263E-3</v>
      </c>
      <c r="G116" s="39">
        <f t="array" ref="G116:G119">TRANSPOSE(J105:M105)</f>
        <v>1.1166224286662243</v>
      </c>
      <c r="H116" s="39">
        <f t="array" ref="H116:H119">TRANSPOSE(J111:M111)</f>
        <v>110.39094650205762</v>
      </c>
      <c r="I116" s="38"/>
      <c r="J116" s="38"/>
      <c r="K116" s="38"/>
      <c r="L116" s="38"/>
      <c r="M116" s="65">
        <f>SUMPRODUCT(D116:H116,$D$115:$H$115)</f>
        <v>68.039511497784005</v>
      </c>
      <c r="N116" s="38"/>
      <c r="O116" s="38" t="str">
        <f>IF(M116&gt;3.1,"Safe Zone",IF(M116&lt;3.1,"distressed Zone"))</f>
        <v>Safe Zone</v>
      </c>
      <c r="P116" s="38"/>
      <c r="Q116" s="99"/>
    </row>
    <row r="117" spans="2:17" x14ac:dyDescent="0.3">
      <c r="B117" s="101">
        <v>43832</v>
      </c>
      <c r="C117" s="38"/>
      <c r="D117" s="39">
        <v>0.41575541173845126</v>
      </c>
      <c r="E117" s="39">
        <v>0.14751171613479133</v>
      </c>
      <c r="F117" s="39">
        <v>-1.4617272930149521E-2</v>
      </c>
      <c r="G117" s="39">
        <v>1.0893773711225172</v>
      </c>
      <c r="H117" s="39">
        <v>334.60606060606062</v>
      </c>
      <c r="I117" s="38"/>
      <c r="J117" s="38"/>
      <c r="K117" s="38"/>
      <c r="L117" s="38"/>
      <c r="M117" s="65">
        <f>SUMPRODUCT(D117:H117,$D$115:$H$115)</f>
        <v>202.81824470998765</v>
      </c>
      <c r="N117" s="38"/>
      <c r="O117" s="38" t="str">
        <f t="shared" ref="O117:O119" si="29">IF(M117&gt;3.1,"Safe Zone",IF(M117&lt;3.1,"distressed Zone"))</f>
        <v>Safe Zone</v>
      </c>
      <c r="P117" s="38"/>
      <c r="Q117" s="99"/>
    </row>
    <row r="118" spans="2:17" x14ac:dyDescent="0.3">
      <c r="B118" s="101">
        <v>44198</v>
      </c>
      <c r="C118" s="38"/>
      <c r="D118" s="39">
        <v>0.34970609549883241</v>
      </c>
      <c r="E118" s="39">
        <v>0.29817215556808119</v>
      </c>
      <c r="F118" s="39">
        <v>-0.17151139383203157</v>
      </c>
      <c r="G118" s="39">
        <v>1.3232949512843224</v>
      </c>
      <c r="H118" s="39">
        <v>173770</v>
      </c>
      <c r="I118" s="38"/>
      <c r="J118" s="38"/>
      <c r="K118" s="38"/>
      <c r="L118" s="38"/>
      <c r="M118" s="65">
        <f>SUMPRODUCT(D118:H118,$D$115:$H$115)</f>
        <v>104264.4867944279</v>
      </c>
      <c r="N118" s="38"/>
      <c r="O118" s="38" t="str">
        <f t="shared" si="29"/>
        <v>Safe Zone</v>
      </c>
      <c r="P118" s="38"/>
      <c r="Q118" s="99"/>
    </row>
    <row r="119" spans="2:17" ht="15" thickBot="1" x14ac:dyDescent="0.35">
      <c r="B119" s="102">
        <v>44564</v>
      </c>
      <c r="C119" s="103"/>
      <c r="D119" s="104">
        <v>0.12799644865344775</v>
      </c>
      <c r="E119" s="104">
        <v>1.882213672684226E-2</v>
      </c>
      <c r="F119" s="104">
        <v>-4.5856762355726548E-2</v>
      </c>
      <c r="G119" s="104">
        <v>0.34923054158034922</v>
      </c>
      <c r="H119" s="104">
        <v>42.330766112687478</v>
      </c>
      <c r="I119" s="103"/>
      <c r="J119" s="103"/>
      <c r="K119" s="103"/>
      <c r="L119" s="103"/>
      <c r="M119" s="105">
        <f>SUMPRODUCT(D119:H119,$D$115:$H$115)</f>
        <v>25.899199531477535</v>
      </c>
      <c r="N119" s="103"/>
      <c r="O119" s="103" t="str">
        <f t="shared" si="29"/>
        <v>Safe Zone</v>
      </c>
      <c r="P119" s="103"/>
      <c r="Q119" s="106"/>
    </row>
  </sheetData>
  <sheetProtection sheet="1" objects="1" scenarios="1"/>
  <customSheetViews>
    <customSheetView guid="{157A7F57-E932-4D71-AAC5-1BA0DA6A9C96}" showGridLines="0" topLeftCell="A22">
      <selection activeCell="D114" sqref="D114:H114"/>
      <pageMargins left="0.7" right="0.7" top="0.75" bottom="0.75" header="0.3" footer="0.3"/>
      <pageSetup paperSize="9" orientation="portrait" r:id="rId1"/>
    </customSheetView>
  </customSheetViews>
  <mergeCells count="16">
    <mergeCell ref="B37:Q37"/>
    <mergeCell ref="B7:Q11"/>
    <mergeCell ref="B13:Q13"/>
    <mergeCell ref="B15:Q15"/>
    <mergeCell ref="B21:Q21"/>
    <mergeCell ref="B30:Q30"/>
    <mergeCell ref="B95:Q95"/>
    <mergeCell ref="B101:Q101"/>
    <mergeCell ref="B107:Q107"/>
    <mergeCell ref="B113:Q113"/>
    <mergeCell ref="B46:Q46"/>
    <mergeCell ref="B53:Q53"/>
    <mergeCell ref="B64:Q64"/>
    <mergeCell ref="B81:Q81"/>
    <mergeCell ref="B83:Q83"/>
    <mergeCell ref="B89:Q89"/>
  </mergeCells>
  <conditionalFormatting sqref="M116:M119">
    <cfRule type="cellIs" dxfId="15" priority="1" operator="greaterThan">
      <formula>3.1</formula>
    </cfRule>
  </conditionalFormatting>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displayEmptyCellsAs="span" markers="1">
          <x14:colorSeries theme="1" tint="0.499984740745262"/>
          <x14:colorNegative rgb="FFD00000"/>
          <x14:colorAxis rgb="FF000000"/>
          <x14:colorMarkers theme="5" tint="-0.499984740745262"/>
          <x14:colorFirst rgb="FFD00000"/>
          <x14:colorLast rgb="FFD00000"/>
          <x14:colorHigh rgb="FFD00000"/>
          <x14:colorLow rgb="FFD00000"/>
          <x14:sparklines>
            <x14:sparkline>
              <xm:f>'Analysis-AMD'!J17:M17</xm:f>
              <xm:sqref>N17</xm:sqref>
            </x14:sparkline>
            <x14:sparkline>
              <xm:f>'Analysis-AMD'!J18:M18</xm:f>
              <xm:sqref>N18</xm:sqref>
            </x14:sparkline>
            <x14:sparkline>
              <xm:f>'Analysis-AMD'!J19:M19</xm:f>
              <xm:sqref>N19</xm:sqref>
            </x14:sparkline>
          </x14:sparklines>
        </x14:sparklineGroup>
        <x14:sparklineGroup displayEmptyCellsAs="span" markers="1">
          <x14:colorSeries theme="1" tint="0.499984740745262"/>
          <x14:colorNegative rgb="FFD00000"/>
          <x14:colorAxis rgb="FF000000"/>
          <x14:colorMarkers theme="5"/>
          <x14:colorFirst rgb="FFD00000"/>
          <x14:colorLast rgb="FFD00000"/>
          <x14:colorHigh rgb="FFD00000"/>
          <x14:colorLow rgb="FFD00000"/>
          <x14:sparklines>
            <x14:sparkline>
              <xm:f>'Analysis-AMD'!J23:M23</xm:f>
              <xm:sqref>N23</xm:sqref>
            </x14:sparkline>
            <x14:sparkline>
              <xm:f>'Analysis-AMD'!J24:M24</xm:f>
              <xm:sqref>N24</xm:sqref>
            </x14:sparkline>
            <x14:sparkline>
              <xm:f>'Analysis-AMD'!J25:M25</xm:f>
              <xm:sqref>N25</xm:sqref>
            </x14:sparkline>
            <x14:sparkline>
              <xm:f>'Analysis-AMD'!J26:M26</xm:f>
              <xm:sqref>N26</xm:sqref>
            </x14:sparkline>
            <x14:sparkline>
              <xm:f>'Analysis-AMD'!J27:M27</xm:f>
              <xm:sqref>N27</xm:sqref>
            </x14:sparkline>
            <x14:sparkline>
              <xm:f>'Analysis-AMD'!J28:M28</xm:f>
              <xm:sqref>N28</xm:sqref>
            </x14:sparkline>
          </x14:sparklines>
        </x14:sparklineGroup>
        <x14:sparklineGroup displayEmptyCellsAs="span" markers="1">
          <x14:colorSeries theme="1" tint="0.499984740745262"/>
          <x14:colorNegative rgb="FFD00000"/>
          <x14:colorAxis rgb="FF000000"/>
          <x14:colorMarkers theme="5"/>
          <x14:colorFirst rgb="FFD00000"/>
          <x14:colorLast rgb="FFD00000"/>
          <x14:colorHigh rgb="FFD00000"/>
          <x14:colorLow rgb="FFD00000"/>
          <x14:sparklines>
            <x14:sparkline>
              <xm:f>'Analysis-AMD'!J32:M32</xm:f>
              <xm:sqref>N32</xm:sqref>
            </x14:sparkline>
            <x14:sparkline>
              <xm:f>'Analysis-AMD'!J33:M33</xm:f>
              <xm:sqref>N33</xm:sqref>
            </x14:sparkline>
            <x14:sparkline>
              <xm:f>'Analysis-AMD'!J34:M34</xm:f>
              <xm:sqref>N34</xm:sqref>
            </x14:sparkline>
            <x14:sparkline>
              <xm:f>'Analysis-AMD'!J35:M35</xm:f>
              <xm:sqref>N35</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F84"/>
  <sheetViews>
    <sheetView showGridLines="0" topLeftCell="A46" workbookViewId="0">
      <selection activeCell="H20" sqref="H20"/>
    </sheetView>
  </sheetViews>
  <sheetFormatPr defaultRowHeight="14.4" x14ac:dyDescent="0.3"/>
  <cols>
    <col min="1" max="1" width="1.88671875" customWidth="1"/>
    <col min="2" max="2" width="47.33203125" customWidth="1"/>
    <col min="3" max="4" width="11.44140625" bestFit="1" customWidth="1"/>
    <col min="5" max="5" width="11.5546875" bestFit="1" customWidth="1"/>
    <col min="6" max="6" width="11.44140625" bestFit="1" customWidth="1"/>
  </cols>
  <sheetData>
    <row r="1" spans="2:6" x14ac:dyDescent="0.3">
      <c r="F1" s="21"/>
    </row>
    <row r="2" spans="2:6" ht="21" x14ac:dyDescent="0.4">
      <c r="B2" s="5" t="s">
        <v>113</v>
      </c>
    </row>
    <row r="3" spans="2:6" x14ac:dyDescent="0.3">
      <c r="B3" s="12" t="s">
        <v>0</v>
      </c>
      <c r="C3" t="s">
        <v>94</v>
      </c>
      <c r="D3" t="s">
        <v>93</v>
      </c>
      <c r="E3" s="9">
        <v>44267</v>
      </c>
      <c r="F3" s="9">
        <v>44604</v>
      </c>
    </row>
    <row r="4" spans="2:6" x14ac:dyDescent="0.3">
      <c r="B4" t="s">
        <v>5</v>
      </c>
      <c r="C4" s="19">
        <v>11171000</v>
      </c>
      <c r="D4" s="19">
        <v>12868000</v>
      </c>
      <c r="E4" s="19">
        <v>15785000</v>
      </c>
      <c r="F4" s="19">
        <v>17606000</v>
      </c>
    </row>
    <row r="5" spans="2:6" x14ac:dyDescent="0.3">
      <c r="B5" t="s">
        <v>6</v>
      </c>
      <c r="C5" s="19">
        <v>1673000</v>
      </c>
      <c r="D5" s="19">
        <v>1722000</v>
      </c>
      <c r="E5" s="19">
        <v>1865000</v>
      </c>
      <c r="F5" s="19">
        <v>2165000</v>
      </c>
    </row>
    <row r="6" spans="2:6" x14ac:dyDescent="0.3">
      <c r="B6" t="s">
        <v>7</v>
      </c>
      <c r="C6" s="19">
        <v>9498000</v>
      </c>
      <c r="D6" s="19">
        <v>11146000</v>
      </c>
      <c r="E6" s="19">
        <v>13920000</v>
      </c>
      <c r="F6" s="19">
        <v>15441000</v>
      </c>
    </row>
    <row r="7" spans="2:6" x14ac:dyDescent="0.3">
      <c r="B7" t="s">
        <v>8</v>
      </c>
      <c r="C7" s="19"/>
      <c r="D7" s="19"/>
      <c r="E7" s="19"/>
      <c r="F7" s="19"/>
    </row>
    <row r="8" spans="2:6" x14ac:dyDescent="0.3">
      <c r="B8" t="s">
        <v>9</v>
      </c>
      <c r="C8" s="19">
        <v>1930000</v>
      </c>
      <c r="D8" s="19">
        <v>2188000</v>
      </c>
      <c r="E8" s="19">
        <v>2540000</v>
      </c>
      <c r="F8" s="19">
        <v>2987000</v>
      </c>
    </row>
    <row r="9" spans="2:6" x14ac:dyDescent="0.3">
      <c r="B9" t="s">
        <v>10</v>
      </c>
      <c r="C9" s="19">
        <v>4125000</v>
      </c>
      <c r="D9" s="19">
        <v>4559000</v>
      </c>
      <c r="E9" s="19">
        <v>5406000</v>
      </c>
      <c r="F9" s="19">
        <v>6187000</v>
      </c>
    </row>
    <row r="10" spans="2:6" x14ac:dyDescent="0.3">
      <c r="B10" t="s">
        <v>11</v>
      </c>
      <c r="C10" s="19">
        <v>0</v>
      </c>
      <c r="D10" s="19">
        <v>0</v>
      </c>
      <c r="E10" s="19">
        <v>0</v>
      </c>
      <c r="F10" s="19">
        <v>0</v>
      </c>
    </row>
    <row r="11" spans="2:6" x14ac:dyDescent="0.3">
      <c r="B11" t="s">
        <v>13</v>
      </c>
      <c r="C11" s="19">
        <v>175000</v>
      </c>
      <c r="D11" s="19">
        <v>162000</v>
      </c>
      <c r="E11" s="19">
        <v>172000</v>
      </c>
      <c r="F11" s="19">
        <v>169000</v>
      </c>
    </row>
    <row r="12" spans="2:6" x14ac:dyDescent="0.3">
      <c r="B12" t="s">
        <v>14</v>
      </c>
      <c r="C12" s="19">
        <v>3268000</v>
      </c>
      <c r="D12" s="19">
        <v>4237000</v>
      </c>
      <c r="E12" s="19">
        <v>5802000</v>
      </c>
      <c r="F12" s="19">
        <v>6098000</v>
      </c>
    </row>
    <row r="13" spans="2:6" x14ac:dyDescent="0.3">
      <c r="B13" t="s">
        <v>15</v>
      </c>
      <c r="C13" s="19">
        <v>94000</v>
      </c>
      <c r="D13" s="19">
        <v>55000</v>
      </c>
      <c r="E13" s="19">
        <v>16000</v>
      </c>
      <c r="F13" s="19">
        <v>22000</v>
      </c>
    </row>
    <row r="14" spans="2:6" x14ac:dyDescent="0.3">
      <c r="B14" t="s">
        <v>16</v>
      </c>
      <c r="C14" s="19">
        <v>3362000</v>
      </c>
      <c r="D14" s="19">
        <v>4292000</v>
      </c>
      <c r="E14" s="19">
        <v>5818000</v>
      </c>
      <c r="F14" s="19">
        <v>6120000</v>
      </c>
    </row>
    <row r="15" spans="2:6" x14ac:dyDescent="0.3">
      <c r="B15" t="s">
        <v>17</v>
      </c>
      <c r="C15" s="19">
        <v>157000</v>
      </c>
      <c r="D15" s="19">
        <v>116000</v>
      </c>
      <c r="E15" s="19">
        <v>113000</v>
      </c>
      <c r="F15" s="19">
        <v>112000</v>
      </c>
    </row>
    <row r="16" spans="2:6" x14ac:dyDescent="0.3">
      <c r="B16" t="s">
        <v>18</v>
      </c>
      <c r="C16" s="19">
        <v>3205000</v>
      </c>
      <c r="D16" s="19">
        <v>4176000</v>
      </c>
      <c r="E16" s="19">
        <v>5705000</v>
      </c>
      <c r="F16" s="19">
        <v>6008000</v>
      </c>
    </row>
    <row r="17" spans="2:6" x14ac:dyDescent="0.3">
      <c r="B17" t="s">
        <v>19</v>
      </c>
      <c r="C17" s="19">
        <v>254000</v>
      </c>
      <c r="D17" s="19">
        <v>-1084000</v>
      </c>
      <c r="E17" s="19">
        <v>883000</v>
      </c>
      <c r="F17" s="19">
        <v>1252000</v>
      </c>
    </row>
    <row r="18" spans="2:6" x14ac:dyDescent="0.3">
      <c r="B18" t="s">
        <v>20</v>
      </c>
      <c r="C18" s="19">
        <v>0</v>
      </c>
      <c r="D18" s="19">
        <v>0</v>
      </c>
      <c r="E18" s="19">
        <v>0</v>
      </c>
      <c r="F18" s="19">
        <v>0</v>
      </c>
    </row>
    <row r="19" spans="2:6" x14ac:dyDescent="0.3">
      <c r="B19" t="s">
        <v>21</v>
      </c>
      <c r="C19" s="19">
        <v>0</v>
      </c>
      <c r="D19" s="19">
        <v>0</v>
      </c>
      <c r="E19" s="19">
        <v>0</v>
      </c>
      <c r="F19" s="19">
        <v>0</v>
      </c>
    </row>
    <row r="20" spans="2:6" x14ac:dyDescent="0.3">
      <c r="B20" t="s">
        <v>22</v>
      </c>
      <c r="C20" s="19">
        <v>2951000</v>
      </c>
      <c r="D20" s="19">
        <v>5260000</v>
      </c>
      <c r="E20" s="19">
        <v>4822000</v>
      </c>
      <c r="F20" s="19">
        <v>4756000</v>
      </c>
    </row>
    <row r="21" spans="2:6" x14ac:dyDescent="0.3">
      <c r="B21" t="s">
        <v>23</v>
      </c>
      <c r="C21" s="19">
        <v>2951000</v>
      </c>
      <c r="D21" s="19">
        <v>5260000</v>
      </c>
      <c r="E21" s="19">
        <v>4822000</v>
      </c>
      <c r="F21" s="19">
        <v>4756000</v>
      </c>
    </row>
    <row r="22" spans="2:6" x14ac:dyDescent="0.3">
      <c r="B22" t="s">
        <v>24</v>
      </c>
      <c r="C22" s="19">
        <v>2951000</v>
      </c>
      <c r="D22" s="19">
        <v>5260000</v>
      </c>
      <c r="E22" s="19">
        <v>4822000</v>
      </c>
      <c r="F22" s="19">
        <v>4756000</v>
      </c>
    </row>
    <row r="23" spans="2:6" x14ac:dyDescent="0.3">
      <c r="B23" t="s">
        <v>160</v>
      </c>
      <c r="C23" s="19">
        <v>159080000</v>
      </c>
      <c r="D23" s="19">
        <v>239910000</v>
      </c>
      <c r="E23" s="19">
        <v>269350000</v>
      </c>
      <c r="F23" s="19">
        <v>156450000</v>
      </c>
    </row>
    <row r="24" spans="2:6" ht="18" x14ac:dyDescent="0.35">
      <c r="B24" s="2" t="s">
        <v>114</v>
      </c>
      <c r="C24" s="18"/>
      <c r="D24" s="18"/>
      <c r="E24" s="18"/>
      <c r="F24" s="18"/>
    </row>
    <row r="25" spans="2:6" x14ac:dyDescent="0.3">
      <c r="B25" t="s">
        <v>0</v>
      </c>
      <c r="C25" s="8" t="s">
        <v>94</v>
      </c>
      <c r="D25" s="8" t="s">
        <v>93</v>
      </c>
      <c r="E25" s="7">
        <f>E3</f>
        <v>44267</v>
      </c>
      <c r="F25" s="7">
        <f>F3</f>
        <v>44604</v>
      </c>
    </row>
    <row r="26" spans="2:6" x14ac:dyDescent="0.3">
      <c r="B26" t="s">
        <v>25</v>
      </c>
      <c r="C26" s="18"/>
      <c r="D26" s="18"/>
      <c r="E26" s="18"/>
      <c r="F26" s="18"/>
    </row>
    <row r="27" spans="2:6" x14ac:dyDescent="0.3">
      <c r="B27" t="s">
        <v>26</v>
      </c>
      <c r="C27" s="19">
        <v>2650000</v>
      </c>
      <c r="D27" s="19">
        <v>4478000</v>
      </c>
      <c r="E27" s="19">
        <v>3844000</v>
      </c>
      <c r="F27" s="19">
        <v>4236000</v>
      </c>
    </row>
    <row r="28" spans="2:6" x14ac:dyDescent="0.3">
      <c r="B28" t="s">
        <v>27</v>
      </c>
      <c r="C28" s="19">
        <v>1527000</v>
      </c>
      <c r="D28" s="19">
        <v>1514000</v>
      </c>
      <c r="E28" s="19">
        <v>1954000</v>
      </c>
      <c r="F28" s="19">
        <v>1860000</v>
      </c>
    </row>
    <row r="29" spans="2:6" x14ac:dyDescent="0.3">
      <c r="B29" t="s">
        <v>28</v>
      </c>
      <c r="C29" s="19">
        <v>1535000</v>
      </c>
      <c r="D29" s="19">
        <v>1398000</v>
      </c>
      <c r="E29" s="19">
        <v>1878000</v>
      </c>
      <c r="F29" s="19">
        <v>2065000</v>
      </c>
    </row>
    <row r="30" spans="2:6" x14ac:dyDescent="0.3">
      <c r="B30" t="s">
        <v>29</v>
      </c>
      <c r="C30" s="19">
        <v>0</v>
      </c>
      <c r="D30" s="19">
        <v>0</v>
      </c>
      <c r="E30" s="19">
        <v>0</v>
      </c>
      <c r="F30" s="19">
        <v>0</v>
      </c>
    </row>
    <row r="31" spans="2:6" x14ac:dyDescent="0.3">
      <c r="B31" t="s">
        <v>30</v>
      </c>
      <c r="C31" s="19">
        <v>783000</v>
      </c>
      <c r="D31" s="19">
        <v>756000</v>
      </c>
      <c r="E31" s="19">
        <v>993000</v>
      </c>
      <c r="F31" s="19">
        <v>835000</v>
      </c>
    </row>
    <row r="32" spans="2:6" x14ac:dyDescent="0.3">
      <c r="B32" t="s">
        <v>31</v>
      </c>
      <c r="C32" s="19">
        <v>6495000</v>
      </c>
      <c r="D32" s="19">
        <v>8146000</v>
      </c>
      <c r="E32" s="19">
        <v>8669000</v>
      </c>
      <c r="F32" s="19">
        <v>8996000</v>
      </c>
    </row>
    <row r="33" spans="2:6" x14ac:dyDescent="0.3">
      <c r="B33" t="s">
        <v>32</v>
      </c>
      <c r="C33" s="19"/>
      <c r="D33" s="19"/>
      <c r="E33" s="19"/>
      <c r="F33" s="19"/>
    </row>
    <row r="34" spans="2:6" x14ac:dyDescent="0.3">
      <c r="B34" t="s">
        <v>33</v>
      </c>
      <c r="C34" s="19" t="s">
        <v>12</v>
      </c>
      <c r="D34" s="19">
        <v>0</v>
      </c>
      <c r="E34" s="19">
        <v>0</v>
      </c>
      <c r="F34" s="19">
        <v>0</v>
      </c>
    </row>
    <row r="35" spans="2:6" x14ac:dyDescent="0.3">
      <c r="B35" t="s">
        <v>34</v>
      </c>
      <c r="C35" s="19">
        <v>1293000</v>
      </c>
      <c r="D35" s="19">
        <v>2004000</v>
      </c>
      <c r="E35" s="19">
        <v>2116000</v>
      </c>
      <c r="F35" s="19">
        <v>2315000</v>
      </c>
    </row>
    <row r="36" spans="2:6" x14ac:dyDescent="0.3">
      <c r="B36" t="s">
        <v>35</v>
      </c>
      <c r="C36" s="19">
        <v>10691000</v>
      </c>
      <c r="D36" s="19">
        <v>10742000</v>
      </c>
      <c r="E36" s="19">
        <v>12668000</v>
      </c>
      <c r="F36" s="19">
        <v>12787000</v>
      </c>
    </row>
    <row r="37" spans="2:6" x14ac:dyDescent="0.3">
      <c r="B37" t="s">
        <v>36</v>
      </c>
      <c r="C37" s="19">
        <v>1721000</v>
      </c>
      <c r="D37" s="19">
        <v>1359000</v>
      </c>
      <c r="E37" s="19">
        <v>1820000</v>
      </c>
      <c r="F37" s="19">
        <v>1449000</v>
      </c>
    </row>
    <row r="38" spans="2:6" x14ac:dyDescent="0.3">
      <c r="B38" t="s">
        <v>37</v>
      </c>
      <c r="C38" s="19">
        <v>562000</v>
      </c>
      <c r="D38" s="19">
        <v>663000</v>
      </c>
      <c r="E38" s="19">
        <v>883000</v>
      </c>
      <c r="F38" s="19">
        <v>841000</v>
      </c>
    </row>
    <row r="39" spans="2:6" x14ac:dyDescent="0.3">
      <c r="B39" t="s">
        <v>38</v>
      </c>
      <c r="C39" s="19">
        <v>0</v>
      </c>
      <c r="D39" s="19">
        <v>1370000</v>
      </c>
      <c r="E39" s="19">
        <v>1085000</v>
      </c>
      <c r="F39" s="19">
        <v>777000</v>
      </c>
    </row>
    <row r="40" spans="2:6" x14ac:dyDescent="0.3">
      <c r="B40" t="s">
        <v>39</v>
      </c>
      <c r="C40" s="19">
        <v>20762000</v>
      </c>
      <c r="D40" s="19">
        <v>24284000</v>
      </c>
      <c r="E40" s="19">
        <v>27241000</v>
      </c>
      <c r="F40" s="19">
        <v>27165000</v>
      </c>
    </row>
    <row r="41" spans="2:6" x14ac:dyDescent="0.3">
      <c r="B41" t="s">
        <v>40</v>
      </c>
      <c r="C41" s="19"/>
      <c r="D41" s="19"/>
      <c r="E41" s="19"/>
      <c r="F41" s="19"/>
    </row>
    <row r="42" spans="2:6" x14ac:dyDescent="0.3">
      <c r="B42" t="s">
        <v>41</v>
      </c>
      <c r="C42" s="19">
        <v>1664000</v>
      </c>
      <c r="D42" s="19">
        <v>1791000</v>
      </c>
      <c r="E42" s="19">
        <v>2102000</v>
      </c>
      <c r="F42" s="19">
        <v>2244000</v>
      </c>
    </row>
    <row r="43" spans="2:6" x14ac:dyDescent="0.3">
      <c r="B43" t="s">
        <v>42</v>
      </c>
      <c r="C43" s="19">
        <v>3149000</v>
      </c>
      <c r="D43" s="20">
        <v>0</v>
      </c>
      <c r="E43" s="19">
        <v>0</v>
      </c>
      <c r="F43" s="19">
        <v>500000</v>
      </c>
    </row>
    <row r="44" spans="2:6" x14ac:dyDescent="0.3">
      <c r="B44" t="s">
        <v>43</v>
      </c>
      <c r="C44" s="19">
        <v>3378000</v>
      </c>
      <c r="D44" s="19">
        <v>3721000</v>
      </c>
      <c r="E44" s="19">
        <v>4830000</v>
      </c>
      <c r="F44" s="19">
        <v>5384000</v>
      </c>
    </row>
    <row r="45" spans="2:6" x14ac:dyDescent="0.3">
      <c r="B45" t="s">
        <v>44</v>
      </c>
      <c r="C45" s="19">
        <v>8191000</v>
      </c>
      <c r="D45" s="19">
        <v>5512000</v>
      </c>
      <c r="E45" s="19">
        <v>6932000</v>
      </c>
      <c r="F45" s="19">
        <v>8128000</v>
      </c>
    </row>
    <row r="46" spans="2:6" x14ac:dyDescent="0.3">
      <c r="B46" t="s">
        <v>45</v>
      </c>
      <c r="C46" s="19">
        <v>989000</v>
      </c>
      <c r="D46" s="19">
        <v>4117000</v>
      </c>
      <c r="E46" s="19">
        <v>4123000</v>
      </c>
      <c r="F46" s="19">
        <v>3629000</v>
      </c>
    </row>
    <row r="47" spans="2:6" x14ac:dyDescent="0.3">
      <c r="B47" t="s">
        <v>46</v>
      </c>
      <c r="C47" s="19">
        <v>789000</v>
      </c>
      <c r="D47" s="19">
        <v>1251000</v>
      </c>
      <c r="E47" s="19">
        <v>1244000</v>
      </c>
      <c r="F47" s="19">
        <v>1240000</v>
      </c>
    </row>
    <row r="48" spans="2:6" x14ac:dyDescent="0.3">
      <c r="B48" t="s">
        <v>47</v>
      </c>
      <c r="C48" s="19">
        <v>263000</v>
      </c>
      <c r="D48" s="19">
        <v>140000</v>
      </c>
      <c r="E48" s="19">
        <v>145000</v>
      </c>
      <c r="F48" s="19">
        <v>117000</v>
      </c>
    </row>
    <row r="49" spans="2:6" x14ac:dyDescent="0.3">
      <c r="B49" t="s">
        <v>48</v>
      </c>
      <c r="C49" s="19">
        <v>0</v>
      </c>
      <c r="D49" s="19">
        <v>0</v>
      </c>
      <c r="E49" s="19">
        <v>0</v>
      </c>
      <c r="F49" s="19">
        <v>0</v>
      </c>
    </row>
    <row r="50" spans="2:6" x14ac:dyDescent="0.3">
      <c r="B50" t="s">
        <v>20</v>
      </c>
      <c r="C50" s="19">
        <v>0</v>
      </c>
      <c r="D50" s="19">
        <v>0</v>
      </c>
      <c r="E50" s="19">
        <v>0</v>
      </c>
      <c r="F50" s="19">
        <v>0</v>
      </c>
    </row>
    <row r="51" spans="2:6" x14ac:dyDescent="0.3">
      <c r="B51" t="s">
        <v>49</v>
      </c>
      <c r="C51" s="19">
        <v>10232000</v>
      </c>
      <c r="D51" s="19">
        <v>11020000</v>
      </c>
      <c r="E51" s="19">
        <v>12444000</v>
      </c>
      <c r="F51" s="19">
        <v>13114000</v>
      </c>
    </row>
    <row r="52" spans="2:6" x14ac:dyDescent="0.3">
      <c r="B52" t="s">
        <v>50</v>
      </c>
      <c r="C52" s="19"/>
      <c r="D52" s="19"/>
      <c r="E52" s="19"/>
      <c r="F52" s="19"/>
    </row>
    <row r="53" spans="2:6" x14ac:dyDescent="0.3">
      <c r="B53" t="s">
        <v>51</v>
      </c>
      <c r="C53" s="19">
        <v>0</v>
      </c>
      <c r="D53" s="19">
        <v>0</v>
      </c>
      <c r="E53" s="19">
        <v>0</v>
      </c>
      <c r="F53" s="19">
        <v>0</v>
      </c>
    </row>
    <row r="54" spans="2:6" x14ac:dyDescent="0.3">
      <c r="B54" t="s">
        <v>52</v>
      </c>
      <c r="C54" s="19">
        <v>14829000</v>
      </c>
      <c r="D54" s="19">
        <v>19611000</v>
      </c>
      <c r="E54" s="19">
        <v>23905000</v>
      </c>
      <c r="F54" s="19">
        <v>28319000</v>
      </c>
    </row>
    <row r="55" spans="2:6" x14ac:dyDescent="0.3">
      <c r="B55" t="s">
        <v>53</v>
      </c>
      <c r="C55" s="19">
        <v>-10615000</v>
      </c>
      <c r="D55" s="19">
        <v>-13546000</v>
      </c>
      <c r="E55" s="19">
        <v>-17399000</v>
      </c>
      <c r="F55" s="19">
        <v>-23843000</v>
      </c>
    </row>
    <row r="56" spans="2:6" x14ac:dyDescent="0.3">
      <c r="B56" t="s">
        <v>54</v>
      </c>
      <c r="C56" s="19">
        <v>6504000</v>
      </c>
      <c r="D56" s="19">
        <v>7357000</v>
      </c>
      <c r="E56" s="19">
        <v>8428000</v>
      </c>
      <c r="F56" s="19">
        <v>9868000</v>
      </c>
    </row>
    <row r="57" spans="2:6" x14ac:dyDescent="0.3">
      <c r="B57" t="s">
        <v>55</v>
      </c>
      <c r="C57" s="19">
        <v>-188000</v>
      </c>
      <c r="D57" s="19">
        <v>-158000</v>
      </c>
      <c r="E57" s="19">
        <v>-137000</v>
      </c>
      <c r="F57" s="19">
        <v>-293000</v>
      </c>
    </row>
    <row r="58" spans="2:6" x14ac:dyDescent="0.3">
      <c r="B58" t="s">
        <v>56</v>
      </c>
      <c r="C58" s="19">
        <v>10530000</v>
      </c>
      <c r="D58" s="19">
        <v>13264000</v>
      </c>
      <c r="E58" s="19">
        <v>14797000</v>
      </c>
      <c r="F58" s="19">
        <v>14051000</v>
      </c>
    </row>
    <row r="59" spans="2:6" x14ac:dyDescent="0.3">
      <c r="B59" t="s">
        <v>57</v>
      </c>
      <c r="C59" s="19">
        <v>20762000</v>
      </c>
      <c r="D59" s="19">
        <v>24284000</v>
      </c>
      <c r="E59" s="19" t="s">
        <v>95</v>
      </c>
      <c r="F59" s="19">
        <v>27165000</v>
      </c>
    </row>
    <row r="60" spans="2:6" x14ac:dyDescent="0.3">
      <c r="C60" s="18"/>
      <c r="D60" s="18"/>
      <c r="E60" s="18"/>
      <c r="F60" s="18"/>
    </row>
    <row r="61" spans="2:6" ht="18" x14ac:dyDescent="0.35">
      <c r="B61" s="2" t="s">
        <v>115</v>
      </c>
      <c r="C61" s="18"/>
      <c r="D61" s="18"/>
      <c r="E61" s="18"/>
      <c r="F61" s="18"/>
    </row>
    <row r="62" spans="2:6" x14ac:dyDescent="0.3">
      <c r="B62" t="s">
        <v>0</v>
      </c>
      <c r="C62" s="18" t="s">
        <v>94</v>
      </c>
      <c r="D62" s="18" t="s">
        <v>93</v>
      </c>
      <c r="E62" s="18">
        <v>44267</v>
      </c>
      <c r="F62" s="18">
        <v>44604</v>
      </c>
    </row>
    <row r="63" spans="2:6" x14ac:dyDescent="0.3">
      <c r="B63" t="s">
        <v>23</v>
      </c>
      <c r="C63" s="19">
        <v>2951000</v>
      </c>
      <c r="D63" s="19">
        <v>5260000</v>
      </c>
      <c r="E63" s="19">
        <v>4822000</v>
      </c>
      <c r="F63" s="19">
        <v>4756000</v>
      </c>
    </row>
    <row r="64" spans="2:6" x14ac:dyDescent="0.3">
      <c r="B64" t="s">
        <v>72</v>
      </c>
      <c r="C64" s="19"/>
      <c r="D64" s="19"/>
      <c r="E64" s="19"/>
      <c r="F64" s="19"/>
    </row>
    <row r="65" spans="2:6" x14ac:dyDescent="0.3">
      <c r="B65" t="s">
        <v>73</v>
      </c>
      <c r="C65" s="19">
        <v>757000</v>
      </c>
      <c r="D65" s="19">
        <v>757000</v>
      </c>
      <c r="E65" s="19">
        <v>788000</v>
      </c>
      <c r="F65" s="19">
        <v>856000</v>
      </c>
    </row>
    <row r="66" spans="2:6" x14ac:dyDescent="0.3">
      <c r="B66" t="s">
        <v>74</v>
      </c>
      <c r="C66" s="19">
        <v>757000</v>
      </c>
      <c r="D66" s="19">
        <v>-476000</v>
      </c>
      <c r="E66" s="19">
        <v>1328000</v>
      </c>
      <c r="F66" s="19">
        <v>1890000</v>
      </c>
    </row>
    <row r="67" spans="2:6" x14ac:dyDescent="0.3">
      <c r="B67" t="s">
        <v>75</v>
      </c>
      <c r="C67" s="19"/>
      <c r="D67" s="19"/>
      <c r="E67" s="19"/>
      <c r="F67" s="19"/>
    </row>
    <row r="68" spans="2:6" x14ac:dyDescent="0.3">
      <c r="B68" t="s">
        <v>76</v>
      </c>
      <c r="C68" s="19">
        <v>-188000</v>
      </c>
      <c r="D68" s="19">
        <v>106000</v>
      </c>
      <c r="E68" s="19">
        <v>-430000</v>
      </c>
      <c r="F68" s="19">
        <v>-198000</v>
      </c>
    </row>
    <row r="69" spans="2:6" x14ac:dyDescent="0.3">
      <c r="B69" t="s">
        <v>77</v>
      </c>
      <c r="C69" s="19">
        <v>0</v>
      </c>
      <c r="D69" s="19">
        <v>0</v>
      </c>
      <c r="E69" s="19">
        <v>0</v>
      </c>
      <c r="F69" s="19">
        <v>0</v>
      </c>
    </row>
    <row r="70" spans="2:6" x14ac:dyDescent="0.3">
      <c r="B70" t="s">
        <v>78</v>
      </c>
      <c r="C70" s="19">
        <v>-551000</v>
      </c>
      <c r="D70" s="19">
        <v>-288000</v>
      </c>
      <c r="E70" s="19">
        <v>-475000</v>
      </c>
      <c r="F70" s="19">
        <v>-94000</v>
      </c>
    </row>
    <row r="71" spans="2:6" x14ac:dyDescent="0.3">
      <c r="B71" t="s">
        <v>79</v>
      </c>
      <c r="C71" s="19">
        <v>696000</v>
      </c>
      <c r="D71" s="19">
        <v>368000</v>
      </c>
      <c r="E71" s="19">
        <v>1197000</v>
      </c>
      <c r="F71" s="19">
        <v>628000</v>
      </c>
    </row>
    <row r="72" spans="2:6" x14ac:dyDescent="0.3">
      <c r="B72" t="s">
        <v>80</v>
      </c>
      <c r="C72" s="19">
        <v>4422000</v>
      </c>
      <c r="D72" s="19">
        <v>5727000</v>
      </c>
      <c r="E72" s="19">
        <v>7230000</v>
      </c>
      <c r="F72" s="19">
        <v>7838000</v>
      </c>
    </row>
    <row r="73" spans="2:6" x14ac:dyDescent="0.3">
      <c r="B73" t="s">
        <v>81</v>
      </c>
      <c r="C73" s="19"/>
      <c r="D73" s="19"/>
      <c r="E73" s="19"/>
      <c r="F73" s="19"/>
    </row>
    <row r="74" spans="2:6" x14ac:dyDescent="0.3">
      <c r="B74" t="s">
        <v>82</v>
      </c>
      <c r="C74" s="19">
        <v>-395000</v>
      </c>
      <c r="D74" s="19">
        <v>-419000</v>
      </c>
      <c r="E74" s="19">
        <v>-348000</v>
      </c>
      <c r="F74" s="19">
        <v>-442000</v>
      </c>
    </row>
    <row r="75" spans="2:6" x14ac:dyDescent="0.3">
      <c r="B75" t="s">
        <v>83</v>
      </c>
      <c r="C75" s="19">
        <v>40000</v>
      </c>
      <c r="D75" s="19">
        <v>5000</v>
      </c>
      <c r="E75" s="19">
        <v>-507000</v>
      </c>
      <c r="F75" s="19">
        <v>-2000</v>
      </c>
    </row>
    <row r="76" spans="2:6" x14ac:dyDescent="0.3">
      <c r="B76" t="s">
        <v>84</v>
      </c>
      <c r="C76" s="19">
        <v>-101000</v>
      </c>
      <c r="D76" s="19">
        <v>0</v>
      </c>
      <c r="E76" s="19">
        <v>-2682000</v>
      </c>
      <c r="F76" s="19">
        <v>-126000</v>
      </c>
    </row>
    <row r="77" spans="2:6" x14ac:dyDescent="0.3">
      <c r="B77" t="s">
        <v>85</v>
      </c>
      <c r="C77" s="19">
        <v>-456000</v>
      </c>
      <c r="D77" s="19">
        <v>-414000</v>
      </c>
      <c r="E77" s="19">
        <v>-3537000</v>
      </c>
      <c r="F77" s="19">
        <v>-570000</v>
      </c>
    </row>
    <row r="78" spans="2:6" x14ac:dyDescent="0.3">
      <c r="B78" t="s">
        <v>86</v>
      </c>
      <c r="C78" s="19"/>
      <c r="D78" s="19"/>
      <c r="E78" s="19"/>
      <c r="F78" s="19"/>
    </row>
    <row r="79" spans="2:6" x14ac:dyDescent="0.3">
      <c r="B79" t="s">
        <v>87</v>
      </c>
      <c r="C79" s="19">
        <v>-2517000</v>
      </c>
      <c r="D79" s="19">
        <v>-2780000</v>
      </c>
      <c r="E79" s="19">
        <v>-3659000</v>
      </c>
      <c r="F79" s="19">
        <v>-6272000</v>
      </c>
    </row>
    <row r="80" spans="2:6" x14ac:dyDescent="0.3">
      <c r="B80" t="s">
        <v>88</v>
      </c>
      <c r="C80" s="19">
        <v>0</v>
      </c>
      <c r="D80" s="19">
        <v>-6000</v>
      </c>
      <c r="E80" s="19">
        <v>0</v>
      </c>
      <c r="F80" s="19">
        <v>0</v>
      </c>
    </row>
    <row r="81" spans="2:6" x14ac:dyDescent="0.3">
      <c r="B81" t="s">
        <v>89</v>
      </c>
      <c r="C81" s="19">
        <v>-429000</v>
      </c>
      <c r="D81" s="19">
        <v>-702000</v>
      </c>
      <c r="E81" s="19">
        <v>-642000</v>
      </c>
      <c r="F81" s="19">
        <v>-553000</v>
      </c>
    </row>
    <row r="82" spans="2:6" x14ac:dyDescent="0.3">
      <c r="B82" t="s">
        <v>90</v>
      </c>
      <c r="C82" s="19">
        <v>-2946000</v>
      </c>
      <c r="D82" s="19">
        <v>-3488000</v>
      </c>
      <c r="E82" s="19">
        <v>-4301000</v>
      </c>
      <c r="F82" s="19">
        <v>-6825000</v>
      </c>
    </row>
    <row r="83" spans="2:6" x14ac:dyDescent="0.3">
      <c r="B83" t="s">
        <v>91</v>
      </c>
      <c r="C83" s="19">
        <v>-13000</v>
      </c>
      <c r="D83" s="19">
        <v>3000</v>
      </c>
      <c r="E83" s="19">
        <v>-26000</v>
      </c>
      <c r="F83" s="19">
        <v>-51000</v>
      </c>
    </row>
    <row r="84" spans="2:6" x14ac:dyDescent="0.3">
      <c r="B84" t="s">
        <v>92</v>
      </c>
      <c r="C84" s="19">
        <v>1007000</v>
      </c>
      <c r="D84" s="19">
        <v>1828000</v>
      </c>
      <c r="E84" s="19">
        <v>-634000</v>
      </c>
      <c r="F84" s="19">
        <v>392000</v>
      </c>
    </row>
  </sheetData>
  <sheetProtection sheet="1" objects="1" scenarios="1"/>
  <customSheetViews>
    <customSheetView guid="{157A7F57-E932-4D71-AAC5-1BA0DA6A9C96}" showGridLines="0" topLeftCell="A46">
      <selection activeCell="H20" sqref="H20"/>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18"/>
  <sheetViews>
    <sheetView showGridLines="0" topLeftCell="A37" zoomScaleNormal="100" workbookViewId="0">
      <selection activeCell="C7" sqref="C7"/>
    </sheetView>
  </sheetViews>
  <sheetFormatPr defaultRowHeight="14.4" x14ac:dyDescent="0.3"/>
  <cols>
    <col min="1" max="1" width="1.88671875" customWidth="1"/>
    <col min="2" max="2" width="9.6640625" bestFit="1" customWidth="1"/>
    <col min="12" max="15" width="11.44140625" bestFit="1" customWidth="1"/>
  </cols>
  <sheetData>
    <row r="2" spans="2:19" ht="23.4" x14ac:dyDescent="0.45">
      <c r="B2" s="146" t="s">
        <v>221</v>
      </c>
      <c r="C2" s="144"/>
      <c r="D2" s="144"/>
      <c r="E2" s="144"/>
      <c r="F2" s="144"/>
      <c r="G2" s="144"/>
      <c r="H2" s="144"/>
      <c r="I2" s="144"/>
      <c r="J2" s="144"/>
      <c r="K2" s="144"/>
      <c r="L2" s="144"/>
      <c r="M2" s="144"/>
      <c r="N2" s="144"/>
      <c r="O2" s="144"/>
    </row>
    <row r="3" spans="2:19" ht="18" x14ac:dyDescent="0.35">
      <c r="B3" s="145"/>
      <c r="C3" s="144"/>
      <c r="D3" s="144"/>
      <c r="E3" s="144"/>
      <c r="F3" s="144"/>
      <c r="G3" s="144"/>
      <c r="H3" s="144"/>
      <c r="I3" s="144"/>
      <c r="J3" s="144"/>
      <c r="K3" s="144"/>
      <c r="L3" s="144"/>
      <c r="M3" s="144"/>
      <c r="N3" s="144"/>
      <c r="O3" s="144"/>
    </row>
    <row r="4" spans="2:19" ht="18" x14ac:dyDescent="0.35">
      <c r="B4" s="145" t="s">
        <v>220</v>
      </c>
      <c r="C4" s="144"/>
      <c r="D4" s="144"/>
      <c r="E4" s="144"/>
      <c r="F4" s="144"/>
      <c r="G4" s="144"/>
      <c r="H4" s="144"/>
      <c r="I4" s="144"/>
      <c r="J4" s="144"/>
      <c r="K4" s="144"/>
      <c r="L4" s="144"/>
      <c r="M4" s="144"/>
      <c r="N4" s="144"/>
      <c r="O4" s="144"/>
    </row>
    <row r="5" spans="2:19" ht="18" x14ac:dyDescent="0.35">
      <c r="B5" s="145" t="s">
        <v>219</v>
      </c>
      <c r="C5" s="144"/>
      <c r="D5" s="144"/>
      <c r="E5" s="144"/>
      <c r="F5" s="144"/>
      <c r="G5" s="144"/>
      <c r="H5" s="144"/>
      <c r="I5" s="144"/>
      <c r="J5" s="144"/>
      <c r="K5" s="144"/>
      <c r="L5" s="144"/>
      <c r="M5" s="144"/>
      <c r="N5" s="144"/>
      <c r="O5" s="144"/>
    </row>
    <row r="6" spans="2:19" x14ac:dyDescent="0.3">
      <c r="B6" s="144"/>
      <c r="C6" s="144"/>
      <c r="D6" s="144"/>
      <c r="E6" s="144"/>
      <c r="F6" s="144"/>
      <c r="G6" s="144"/>
      <c r="H6" s="144"/>
      <c r="I6" s="144"/>
      <c r="J6" s="144"/>
      <c r="K6" s="144"/>
      <c r="L6" s="144"/>
      <c r="M6" s="144"/>
      <c r="N6" s="144"/>
      <c r="O6" s="144"/>
    </row>
    <row r="7" spans="2:19" ht="11.4" customHeight="1" x14ac:dyDescent="0.3"/>
    <row r="8" spans="2:19" ht="14.4" customHeight="1" x14ac:dyDescent="0.3">
      <c r="B8" s="427" t="s">
        <v>222</v>
      </c>
      <c r="C8" s="427"/>
      <c r="D8" s="427"/>
      <c r="E8" s="427"/>
      <c r="F8" s="427"/>
      <c r="G8" s="427"/>
      <c r="H8" s="427"/>
      <c r="I8" s="427"/>
      <c r="J8" s="427"/>
      <c r="K8" s="427"/>
      <c r="L8" s="427"/>
      <c r="M8" s="427"/>
      <c r="N8" s="427"/>
      <c r="O8" s="427"/>
      <c r="P8" s="427"/>
      <c r="Q8" s="427"/>
      <c r="R8" s="427"/>
      <c r="S8" s="427"/>
    </row>
    <row r="9" spans="2:19" x14ac:dyDescent="0.3">
      <c r="B9" s="427"/>
      <c r="C9" s="427"/>
      <c r="D9" s="427"/>
      <c r="E9" s="427"/>
      <c r="F9" s="427"/>
      <c r="G9" s="427"/>
      <c r="H9" s="427"/>
      <c r="I9" s="427"/>
      <c r="J9" s="427"/>
      <c r="K9" s="427"/>
      <c r="L9" s="427"/>
      <c r="M9" s="427"/>
      <c r="N9" s="427"/>
      <c r="O9" s="427"/>
      <c r="P9" s="427"/>
      <c r="Q9" s="427"/>
      <c r="R9" s="427"/>
      <c r="S9" s="427"/>
    </row>
    <row r="10" spans="2:19" x14ac:dyDescent="0.3">
      <c r="B10" s="427"/>
      <c r="C10" s="427"/>
      <c r="D10" s="427"/>
      <c r="E10" s="427"/>
      <c r="F10" s="427"/>
      <c r="G10" s="427"/>
      <c r="H10" s="427"/>
      <c r="I10" s="427"/>
      <c r="J10" s="427"/>
      <c r="K10" s="427"/>
      <c r="L10" s="427"/>
      <c r="M10" s="427"/>
      <c r="N10" s="427"/>
      <c r="O10" s="427"/>
      <c r="P10" s="427"/>
      <c r="Q10" s="427"/>
      <c r="R10" s="427"/>
      <c r="S10" s="427"/>
    </row>
    <row r="11" spans="2:19" x14ac:dyDescent="0.3">
      <c r="B11" s="427"/>
      <c r="C11" s="427"/>
      <c r="D11" s="427"/>
      <c r="E11" s="427"/>
      <c r="F11" s="427"/>
      <c r="G11" s="427"/>
      <c r="H11" s="427"/>
      <c r="I11" s="427"/>
      <c r="J11" s="427"/>
      <c r="K11" s="427"/>
      <c r="L11" s="427"/>
      <c r="M11" s="427"/>
      <c r="N11" s="427"/>
      <c r="O11" s="427"/>
      <c r="P11" s="427"/>
      <c r="Q11" s="427"/>
      <c r="R11" s="427"/>
      <c r="S11" s="427"/>
    </row>
    <row r="12" spans="2:19" ht="14.4" customHeight="1" x14ac:dyDescent="0.3">
      <c r="B12" s="427"/>
      <c r="C12" s="427"/>
      <c r="D12" s="427"/>
      <c r="E12" s="427"/>
      <c r="F12" s="427"/>
      <c r="G12" s="427"/>
      <c r="H12" s="427"/>
      <c r="I12" s="427"/>
      <c r="J12" s="427"/>
      <c r="K12" s="427"/>
      <c r="L12" s="427"/>
      <c r="M12" s="427"/>
      <c r="N12" s="427"/>
      <c r="O12" s="427"/>
      <c r="P12" s="427"/>
      <c r="Q12" s="427"/>
      <c r="R12" s="427"/>
      <c r="S12" s="427"/>
    </row>
    <row r="14" spans="2:19" x14ac:dyDescent="0.3">
      <c r="B14" s="428" t="s">
        <v>58</v>
      </c>
      <c r="C14" s="428"/>
      <c r="D14" s="428"/>
      <c r="E14" s="428"/>
      <c r="F14" s="428"/>
      <c r="G14" s="428"/>
      <c r="H14" s="428"/>
      <c r="I14" s="428"/>
      <c r="J14" s="428"/>
      <c r="K14" s="428"/>
      <c r="L14" s="428"/>
      <c r="M14" s="428"/>
      <c r="N14" s="428"/>
      <c r="O14" s="428"/>
      <c r="P14" s="428"/>
      <c r="Q14" s="428"/>
      <c r="R14" s="428"/>
    </row>
    <row r="16" spans="2:19" x14ac:dyDescent="0.3">
      <c r="B16" s="423" t="s">
        <v>64</v>
      </c>
      <c r="C16" s="423"/>
      <c r="D16" s="423"/>
      <c r="E16" s="423"/>
      <c r="F16" s="423"/>
      <c r="G16" s="423"/>
      <c r="H16" s="423"/>
      <c r="I16" s="423"/>
      <c r="J16" s="423"/>
      <c r="K16" s="423"/>
      <c r="L16" s="423"/>
      <c r="M16" s="423"/>
      <c r="N16" s="423"/>
      <c r="O16" s="423"/>
      <c r="P16" s="423"/>
      <c r="Q16" s="423"/>
      <c r="R16" s="423"/>
    </row>
    <row r="17" spans="2:18" x14ac:dyDescent="0.3">
      <c r="L17" s="147">
        <v>43770</v>
      </c>
      <c r="M17" s="147">
        <f>L17+366</f>
        <v>44136</v>
      </c>
      <c r="N17" s="147">
        <f t="shared" ref="N17:O17" si="0">M17+366</f>
        <v>44502</v>
      </c>
      <c r="O17" s="147">
        <f t="shared" si="0"/>
        <v>44868</v>
      </c>
    </row>
    <row r="18" spans="2:18" x14ac:dyDescent="0.3">
      <c r="B18" t="s">
        <v>179</v>
      </c>
      <c r="L18" s="148">
        <f>'Adobe Financials'!C32/'Adobe Financials'!C45</f>
        <v>0.79294347454523262</v>
      </c>
      <c r="M18" s="148">
        <f>'Adobe Financials'!D32/'Adobe Financials'!D45</f>
        <v>1.4778664731494919</v>
      </c>
      <c r="N18" s="148">
        <f>'Adobe Financials'!E32/'Adobe Financials'!E45</f>
        <v>1.2505770340450086</v>
      </c>
      <c r="O18" s="148">
        <f>'Adobe Financials'!F32/'Adobe Financials'!F45</f>
        <v>1.1067913385826771</v>
      </c>
    </row>
    <row r="19" spans="2:18" x14ac:dyDescent="0.3">
      <c r="B19" t="s">
        <v>180</v>
      </c>
      <c r="L19" s="148">
        <f>('Adobe Financials'!C32-'Adobe Financials'!C30)/'Adobe Financials'!C45</f>
        <v>0.79294347454523262</v>
      </c>
      <c r="M19" s="148">
        <f>('Adobe Financials'!D32-'Adobe Financials'!D30)/'Adobe Financials'!D45</f>
        <v>1.4778664731494919</v>
      </c>
      <c r="N19" s="148">
        <f>('Adobe Financials'!E32-'Adobe Financials'!E30)/'Adobe Financials'!E45</f>
        <v>1.2505770340450086</v>
      </c>
      <c r="O19" s="148">
        <f>('Adobe Financials'!F32-'Adobe Financials'!F30)/'Adobe Financials'!F45</f>
        <v>1.1067913385826771</v>
      </c>
    </row>
    <row r="20" spans="2:18" x14ac:dyDescent="0.3">
      <c r="B20" t="s">
        <v>67</v>
      </c>
      <c r="L20" s="148">
        <f>('Adobe Financials'!C27+'Adobe Financials'!C28)/'Adobe Financials'!C45</f>
        <v>0.50994994506165303</v>
      </c>
      <c r="M20" s="148">
        <f>('Adobe Financials'!D27+'Adobe Financials'!D28)/'Adobe Financials'!D45</f>
        <v>1.0870827285921625</v>
      </c>
      <c r="N20" s="148">
        <f>('Adobe Financials'!E27+'Adobe Financials'!E28)/'Adobe Financials'!E45</f>
        <v>0.83641084824004619</v>
      </c>
      <c r="O20" s="148">
        <f>('Adobe Financials'!F27+'Adobe Financials'!F28)/'Adobe Financials'!F45</f>
        <v>0.75</v>
      </c>
    </row>
    <row r="22" spans="2:18" x14ac:dyDescent="0.3">
      <c r="B22" s="423" t="s">
        <v>116</v>
      </c>
      <c r="C22" s="423"/>
      <c r="D22" s="423"/>
      <c r="E22" s="423"/>
      <c r="F22" s="423"/>
      <c r="G22" s="423"/>
      <c r="H22" s="423"/>
      <c r="I22" s="423"/>
      <c r="J22" s="423"/>
      <c r="K22" s="423"/>
      <c r="L22" s="423"/>
      <c r="M22" s="423"/>
      <c r="N22" s="423"/>
      <c r="O22" s="423"/>
      <c r="P22" s="423"/>
      <c r="Q22" s="423"/>
      <c r="R22" s="423"/>
    </row>
    <row r="23" spans="2:18" x14ac:dyDescent="0.3">
      <c r="L23" s="147">
        <f>L17</f>
        <v>43770</v>
      </c>
      <c r="M23" s="147">
        <f t="shared" ref="M23:O23" si="1">M17</f>
        <v>44136</v>
      </c>
      <c r="N23" s="147">
        <f t="shared" si="1"/>
        <v>44502</v>
      </c>
      <c r="O23" s="147">
        <f t="shared" si="1"/>
        <v>44868</v>
      </c>
    </row>
    <row r="24" spans="2:18" x14ac:dyDescent="0.3">
      <c r="B24" t="s">
        <v>117</v>
      </c>
      <c r="L24" s="148">
        <f>('Adobe Financials'!C46+'Adobe Financials'!C43)/'Adobe Financials'!C40</f>
        <v>0.1993064251998844</v>
      </c>
      <c r="M24" s="148">
        <f>('Adobe Financials'!D46+'Adobe Financials'!D43)/'Adobe Financials'!D40</f>
        <v>0.16953549662329107</v>
      </c>
      <c r="N24" s="148">
        <f>('Adobe Financials'!E46+'Adobe Financials'!E43)/'Adobe Financials'!E40</f>
        <v>0.15135274035461252</v>
      </c>
      <c r="O24" s="148">
        <f>('Adobe Financials'!F46+'Adobe Financials'!F43)/'Adobe Financials'!F40</f>
        <v>0.15199705503405117</v>
      </c>
    </row>
    <row r="25" spans="2:18" x14ac:dyDescent="0.3">
      <c r="B25" t="s">
        <v>118</v>
      </c>
      <c r="L25" s="148">
        <f>('Adobe Financials'!C46+'Adobe Financials'!C43)/'Adobe Financials'!C58</f>
        <v>0.3929724596391263</v>
      </c>
      <c r="M25" s="148">
        <f>('Adobe Financials'!D46+'Adobe Financials'!D43)/'Adobe Financials'!D58</f>
        <v>0.31038902291917975</v>
      </c>
      <c r="N25" s="148">
        <f>('Adobe Financials'!E46+'Adobe Financials'!E43)/'Adobe Financials'!E58</f>
        <v>0.27863756166790565</v>
      </c>
      <c r="O25" s="148">
        <f>('Adobe Financials'!F46+'Adobe Financials'!F43)/'Adobe Financials'!F58</f>
        <v>0.29385808839228522</v>
      </c>
    </row>
    <row r="26" spans="2:18" x14ac:dyDescent="0.3">
      <c r="B26" t="s">
        <v>120</v>
      </c>
      <c r="L26" s="148">
        <f>L25/(1+L25)</f>
        <v>0.28211071720752662</v>
      </c>
      <c r="M26" s="148">
        <f t="shared" ref="M26:O26" si="2">M25/(1+M25)</f>
        <v>0.23686784419768714</v>
      </c>
      <c r="N26" s="148">
        <f t="shared" si="2"/>
        <v>0.21791754756871035</v>
      </c>
      <c r="O26" s="148">
        <f t="shared" si="2"/>
        <v>0.22711771177117709</v>
      </c>
    </row>
    <row r="27" spans="2:18" x14ac:dyDescent="0.3">
      <c r="B27" t="s">
        <v>121</v>
      </c>
      <c r="L27" s="148">
        <f>('Adobe Financials'!C14+'Adobe Financials'!C65)/'Adobe Financials'!C15</f>
        <v>26.235668789808916</v>
      </c>
      <c r="M27" s="148">
        <f>('Adobe Financials'!D14+'Adobe Financials'!D65)/'Adobe Financials'!D15</f>
        <v>43.525862068965516</v>
      </c>
      <c r="N27" s="148">
        <f>('Adobe Financials'!E14+'Adobe Financials'!E65)/'Adobe Financials'!E15</f>
        <v>58.460176991150441</v>
      </c>
      <c r="O27" s="148">
        <f>('Adobe Financials'!F14+'Adobe Financials'!F65)/'Adobe Financials'!F15</f>
        <v>62.285714285714285</v>
      </c>
    </row>
    <row r="28" spans="2:18" x14ac:dyDescent="0.3">
      <c r="B28" t="s">
        <v>119</v>
      </c>
      <c r="L28" s="148">
        <f>'Adobe Financials'!C40/'Adobe Financials'!C58</f>
        <v>1.9716999050332384</v>
      </c>
      <c r="M28" s="148">
        <f>'Adobe Financials'!D40/'Adobe Financials'!D58</f>
        <v>1.8308202653799759</v>
      </c>
      <c r="N28" s="148">
        <f>'Adobe Financials'!E40/'Adobe Financials'!E58</f>
        <v>1.8409812799891869</v>
      </c>
      <c r="O28" s="148">
        <f>'Adobe Financials'!F40/'Adobe Financials'!F58</f>
        <v>1.9333143548501885</v>
      </c>
    </row>
    <row r="29" spans="2:18" x14ac:dyDescent="0.3">
      <c r="B29" t="s">
        <v>193</v>
      </c>
      <c r="L29" s="148">
        <f>'Adobe Financials'!C72/('Adobe Financials'!C46+'Adobe Financials'!C43)</f>
        <v>1.0686321894635089</v>
      </c>
      <c r="M29" s="148">
        <f>'Adobe Financials'!D72/('Adobe Financials'!D46+'Adobe Financials'!D43)</f>
        <v>1.3910614525139664</v>
      </c>
      <c r="N29" s="148">
        <f>'Adobe Financials'!E72/('Adobe Financials'!E46+'Adobe Financials'!E43)</f>
        <v>1.7535774921173903</v>
      </c>
      <c r="O29" s="148">
        <f>'Adobe Financials'!F72/('Adobe Financials'!F46+'Adobe Financials'!F43)</f>
        <v>1.898280455316057</v>
      </c>
    </row>
    <row r="31" spans="2:18" x14ac:dyDescent="0.3">
      <c r="B31" s="423" t="s">
        <v>122</v>
      </c>
      <c r="C31" s="423"/>
      <c r="D31" s="423"/>
      <c r="E31" s="423"/>
      <c r="F31" s="423"/>
      <c r="G31" s="423"/>
      <c r="H31" s="423"/>
      <c r="I31" s="423"/>
      <c r="J31" s="423"/>
      <c r="K31" s="423"/>
      <c r="L31" s="423"/>
      <c r="M31" s="423"/>
      <c r="N31" s="423"/>
      <c r="O31" s="423"/>
      <c r="P31" s="423"/>
      <c r="Q31" s="423"/>
      <c r="R31" s="423"/>
    </row>
    <row r="32" spans="2:18" x14ac:dyDescent="0.3">
      <c r="L32" s="147">
        <f>L23</f>
        <v>43770</v>
      </c>
      <c r="M32" s="147">
        <f t="shared" ref="M32:O32" si="3">M23</f>
        <v>44136</v>
      </c>
      <c r="N32" s="147">
        <f t="shared" si="3"/>
        <v>44502</v>
      </c>
      <c r="O32" s="147">
        <f t="shared" si="3"/>
        <v>44868</v>
      </c>
    </row>
    <row r="33" spans="2:18" x14ac:dyDescent="0.3">
      <c r="B33" t="s">
        <v>123</v>
      </c>
      <c r="L33" s="148">
        <f>'Adobe Financials'!C4/'Adobe Financials'!C40</f>
        <v>0.53805028417300838</v>
      </c>
      <c r="M33" s="148">
        <f>'Adobe Financials'!D4/'Adobe Financials'!D40</f>
        <v>0.52989622796903313</v>
      </c>
      <c r="N33" s="148">
        <f>'Adobe Financials'!E4/'Adobe Financials'!E40</f>
        <v>0.57945743548327888</v>
      </c>
      <c r="O33" s="148">
        <f>'Adobe Financials'!F4/'Adobe Financials'!F40</f>
        <v>0.64811338118902995</v>
      </c>
    </row>
    <row r="34" spans="2:18" x14ac:dyDescent="0.3">
      <c r="B34" t="s">
        <v>124</v>
      </c>
      <c r="L34" s="148">
        <f>'Adobe Financials'!C4/('Adobe Financials'!C32-'Adobe Financials'!C45)</f>
        <v>-6.586674528301887</v>
      </c>
      <c r="M34" s="148">
        <f>'Adobe Financials'!D4/('Adobe Financials'!D32-'Adobe Financials'!D45)</f>
        <v>4.8853454821564162</v>
      </c>
      <c r="N34" s="148">
        <f>'Adobe Financials'!E4/('Adobe Financials'!E32-'Adobe Financials'!E45)</f>
        <v>9.087507196315487</v>
      </c>
      <c r="O34" s="148">
        <f>'Adobe Financials'!F4/('Adobe Financials'!F32-'Adobe Financials'!F45)</f>
        <v>20.283410138248847</v>
      </c>
    </row>
    <row r="35" spans="2:18" x14ac:dyDescent="0.3">
      <c r="B35" t="s">
        <v>125</v>
      </c>
      <c r="K35" s="150"/>
      <c r="L35" s="151" t="s">
        <v>223</v>
      </c>
      <c r="M35" s="151" t="s">
        <v>223</v>
      </c>
      <c r="N35" s="151" t="s">
        <v>223</v>
      </c>
      <c r="O35" s="151" t="s">
        <v>223</v>
      </c>
      <c r="P35" s="150"/>
    </row>
    <row r="36" spans="2:18" x14ac:dyDescent="0.3">
      <c r="B36" t="s">
        <v>126</v>
      </c>
      <c r="L36" s="148">
        <f>'Adobe Financials'!C4/'Adobe Financials'!C29</f>
        <v>7.2775244299674267</v>
      </c>
      <c r="M36" s="148">
        <f>'Adobe Financials'!D4/'Adobe Financials'!D29</f>
        <v>9.2045779685264666</v>
      </c>
      <c r="N36" s="148">
        <f>'Adobe Financials'!E4/'Adobe Financials'!E29</f>
        <v>8.4052183173588926</v>
      </c>
      <c r="O36" s="148">
        <f>'Adobe Financials'!F4/'Adobe Financials'!F29</f>
        <v>8.5259079903147708</v>
      </c>
    </row>
    <row r="38" spans="2:18" x14ac:dyDescent="0.3">
      <c r="B38" s="423" t="s">
        <v>131</v>
      </c>
      <c r="C38" s="423"/>
      <c r="D38" s="423"/>
      <c r="E38" s="423"/>
      <c r="F38" s="423"/>
      <c r="G38" s="423"/>
      <c r="H38" s="423"/>
      <c r="I38" s="423"/>
      <c r="J38" s="423"/>
      <c r="K38" s="423"/>
      <c r="L38" s="423"/>
      <c r="M38" s="423"/>
      <c r="N38" s="423"/>
      <c r="O38" s="423"/>
      <c r="P38" s="423"/>
      <c r="Q38" s="423"/>
      <c r="R38" s="423"/>
    </row>
    <row r="39" spans="2:18" x14ac:dyDescent="0.3">
      <c r="L39" s="147">
        <f>L32</f>
        <v>43770</v>
      </c>
      <c r="M39" s="147">
        <f t="shared" ref="M39:O39" si="4">M32</f>
        <v>44136</v>
      </c>
      <c r="N39" s="147">
        <f t="shared" si="4"/>
        <v>44502</v>
      </c>
      <c r="O39" s="147">
        <f t="shared" si="4"/>
        <v>44868</v>
      </c>
    </row>
    <row r="40" spans="2:18" x14ac:dyDescent="0.3">
      <c r="B40" t="s">
        <v>132</v>
      </c>
      <c r="L40" s="149">
        <f>'Adobe Financials'!C22/'Adobe Financials'!C58</f>
        <v>0.28024691358024689</v>
      </c>
      <c r="M40" s="149">
        <f>'Adobe Financials'!D22/'Adobe Financials'!D58</f>
        <v>0.39656212303980698</v>
      </c>
      <c r="N40" s="149">
        <f>'Adobe Financials'!E22/'Adobe Financials'!E58</f>
        <v>0.3258768669324863</v>
      </c>
      <c r="O40" s="149">
        <f>'Adobe Financials'!F22/'Adobe Financials'!F58</f>
        <v>0.33848124688634262</v>
      </c>
    </row>
    <row r="41" spans="2:18" x14ac:dyDescent="0.3">
      <c r="B41" t="s">
        <v>133</v>
      </c>
      <c r="L41" s="149">
        <f>'Adobe Financials'!C22/'Adobe Financials'!C40</f>
        <v>0.14213466910702244</v>
      </c>
      <c r="M41" s="149">
        <f>'Adobe Financials'!D22/'Adobe Financials'!D40</f>
        <v>0.2166035249547027</v>
      </c>
      <c r="N41" s="149">
        <f>'Adobe Financials'!E22/'Adobe Financials'!E40</f>
        <v>0.1770125913145626</v>
      </c>
      <c r="O41" s="149">
        <f>'Adobe Financials'!F22/'Adobe Financials'!F40</f>
        <v>0.17507822565801584</v>
      </c>
    </row>
    <row r="42" spans="2:18" x14ac:dyDescent="0.3">
      <c r="B42" t="s">
        <v>134</v>
      </c>
      <c r="L42" s="149">
        <f>'Adobe Financials'!C22/('Adobe Financials'!C58+'Adobe Financials'!C46+'Adobe Financials'!C43)</f>
        <v>0.20118625579492774</v>
      </c>
      <c r="M42" s="149">
        <f>'Adobe Financials'!D22/('Adobe Financials'!D58+'Adobe Financials'!D46+'Adobe Financials'!D43)</f>
        <v>0.30262930786490994</v>
      </c>
      <c r="N42" s="149">
        <f>'Adobe Financials'!E22/('Adobe Financials'!E58+'Adobe Financials'!E46+'Adobe Financials'!E43)</f>
        <v>0.25486257928118394</v>
      </c>
      <c r="O42" s="149">
        <f>'Adobe Financials'!F22/('Adobe Financials'!F58+'Adobe Financials'!F46+'Adobe Financials'!F43)</f>
        <v>0.26160616061606162</v>
      </c>
    </row>
    <row r="43" spans="2:18" x14ac:dyDescent="0.3">
      <c r="B43" t="s">
        <v>135</v>
      </c>
      <c r="L43" s="149">
        <f>'Adobe Financials'!C22/('Adobe Financials'!C35+'Adobe Financials'!C32-'Adobe Financials'!C45)</f>
        <v>-7.32258064516129</v>
      </c>
      <c r="M43" s="149">
        <f>'Adobe Financials'!D22/('Adobe Financials'!D35+'Adobe Financials'!D32-'Adobe Financials'!D45)</f>
        <v>1.1341095299698145</v>
      </c>
      <c r="N43" s="149">
        <f>'Adobe Financials'!E22/('Adobe Financials'!E35+'Adobe Financials'!E32-'Adobe Financials'!E45)</f>
        <v>1.2514923436283416</v>
      </c>
      <c r="O43" s="149">
        <f>'Adobe Financials'!F22/('Adobe Financials'!F35+'Adobe Financials'!F32-'Adobe Financials'!F45)</f>
        <v>1.4941878730757148</v>
      </c>
    </row>
    <row r="44" spans="2:18" x14ac:dyDescent="0.3">
      <c r="B44" t="s">
        <v>136</v>
      </c>
      <c r="L44" s="149">
        <f>('Adobe Financials'!C14+'Adobe Financials'!C65)/'Adobe Financials'!C4</f>
        <v>0.3687225852654194</v>
      </c>
      <c r="M44" s="149">
        <f>('Adobe Financials'!D14+'Adobe Financials'!D65)/'Adobe Financials'!D4</f>
        <v>0.39236866645943425</v>
      </c>
      <c r="N44" s="149">
        <f>('Adobe Financials'!E14+'Adobe Financials'!E65)/'Adobe Financials'!E4</f>
        <v>0.4184985745961356</v>
      </c>
      <c r="O44" s="149">
        <f>('Adobe Financials'!F14+'Adobe Financials'!F65)/'Adobe Financials'!F4</f>
        <v>0.39622855844598431</v>
      </c>
    </row>
    <row r="45" spans="2:18" x14ac:dyDescent="0.3">
      <c r="B45" t="s">
        <v>137</v>
      </c>
      <c r="L45" s="149">
        <f>'Adobe Financials'!C22/'Adobe Financials'!C4</f>
        <v>0.26416614448124609</v>
      </c>
      <c r="M45" s="149">
        <f>'Adobe Financials'!D22/'Adobe Financials'!D4</f>
        <v>0.40876593099160707</v>
      </c>
      <c r="N45" s="149">
        <f>'Adobe Financials'!E22/'Adobe Financials'!E4</f>
        <v>0.30547988596769082</v>
      </c>
      <c r="O45" s="149">
        <f>'Adobe Financials'!F22/'Adobe Financials'!F4</f>
        <v>0.27013518118823127</v>
      </c>
    </row>
    <row r="47" spans="2:18" x14ac:dyDescent="0.3">
      <c r="B47" s="423" t="s">
        <v>127</v>
      </c>
      <c r="C47" s="423"/>
      <c r="D47" s="423"/>
      <c r="E47" s="423"/>
      <c r="F47" s="423"/>
      <c r="G47" s="423"/>
      <c r="H47" s="423"/>
      <c r="I47" s="423"/>
      <c r="J47" s="423"/>
      <c r="K47" s="423"/>
      <c r="L47" s="423"/>
      <c r="M47" s="423"/>
      <c r="N47" s="423"/>
      <c r="O47" s="423"/>
      <c r="P47" s="423"/>
      <c r="Q47" s="423"/>
      <c r="R47" s="423"/>
    </row>
    <row r="48" spans="2:18" x14ac:dyDescent="0.3">
      <c r="L48" s="147">
        <f>L39</f>
        <v>43770</v>
      </c>
      <c r="M48" s="147">
        <f t="shared" ref="M48:O48" si="5">M39</f>
        <v>44136</v>
      </c>
      <c r="N48" s="147">
        <f t="shared" si="5"/>
        <v>44502</v>
      </c>
      <c r="O48" s="147">
        <f t="shared" si="5"/>
        <v>44868</v>
      </c>
    </row>
    <row r="49" spans="2:18" x14ac:dyDescent="0.3">
      <c r="B49" t="s">
        <v>128</v>
      </c>
      <c r="L49" s="148">
        <f>'Adobe Financials'!C23/'Adobe Financials'!C4</f>
        <v>14.24044400680333</v>
      </c>
      <c r="M49" s="148">
        <f>'Adobe Financials'!D23/'Adobe Financials'!D4</f>
        <v>18.643922909543054</v>
      </c>
      <c r="N49" s="148">
        <f>'Adobe Financials'!E23/'Adobe Financials'!E4</f>
        <v>17.063668039277797</v>
      </c>
      <c r="O49" s="148">
        <f>'Adobe Financials'!F23/'Adobe Financials'!F4</f>
        <v>8.8861751675565142</v>
      </c>
    </row>
    <row r="50" spans="2:18" x14ac:dyDescent="0.3">
      <c r="B50" t="s">
        <v>129</v>
      </c>
      <c r="L50" s="148">
        <f>'Adobe Financials'!C23/'Adobe Financials'!C22</f>
        <v>53.907150118603866</v>
      </c>
      <c r="M50" s="148">
        <f>'Adobe Financials'!D23/'Adobe Financials'!D22</f>
        <v>45.610266159695819</v>
      </c>
      <c r="N50" s="148">
        <f>'Adobe Financials'!E23/'Adobe Financials'!E22</f>
        <v>55.858564910825386</v>
      </c>
      <c r="O50" s="148">
        <f>'Adobe Financials'!F23/'Adobe Financials'!F22</f>
        <v>32.895290159798151</v>
      </c>
    </row>
    <row r="51" spans="2:18" x14ac:dyDescent="0.3">
      <c r="B51" t="s">
        <v>140</v>
      </c>
      <c r="L51" s="148">
        <f>'Adobe Financials'!C23/'Adobe Financials'!C72</f>
        <v>35.974672094075082</v>
      </c>
      <c r="M51" s="148">
        <f>'Adobe Financials'!D23/'Adobe Financials'!D72</f>
        <v>41.891042430591931</v>
      </c>
      <c r="N51" s="148">
        <f>'Adobe Financials'!E23/'Adobe Financials'!E72</f>
        <v>37.254495159059474</v>
      </c>
      <c r="O51" s="148">
        <f>'Adobe Financials'!F23/'Adobe Financials'!F72</f>
        <v>19.960449094156672</v>
      </c>
    </row>
    <row r="52" spans="2:18" x14ac:dyDescent="0.3">
      <c r="B52" t="s">
        <v>130</v>
      </c>
      <c r="L52" s="148">
        <f>'Adobe Financials'!C23/'Adobe Financials'!C58</f>
        <v>15.107312440645774</v>
      </c>
      <c r="M52" s="148">
        <f>'Adobe Financials'!D23/'Adobe Financials'!D58</f>
        <v>18.087303980699637</v>
      </c>
      <c r="N52" s="148">
        <f>'Adobe Financials'!E23/'Adobe Financials'!E58</f>
        <v>18.203014124484692</v>
      </c>
      <c r="O52" s="148">
        <f>'Adobe Financials'!F23/'Adobe Financials'!F58</f>
        <v>11.134438829976514</v>
      </c>
    </row>
    <row r="54" spans="2:18" x14ac:dyDescent="0.3">
      <c r="B54" s="423" t="s">
        <v>138</v>
      </c>
      <c r="C54" s="423"/>
      <c r="D54" s="423"/>
      <c r="E54" s="423"/>
      <c r="F54" s="423"/>
      <c r="G54" s="423"/>
      <c r="H54" s="423"/>
      <c r="I54" s="423"/>
      <c r="J54" s="423"/>
      <c r="K54" s="423"/>
      <c r="L54" s="423"/>
      <c r="M54" s="423"/>
      <c r="N54" s="423"/>
      <c r="O54" s="423"/>
      <c r="P54" s="423"/>
      <c r="Q54" s="423"/>
      <c r="R54" s="423"/>
    </row>
    <row r="55" spans="2:18" x14ac:dyDescent="0.3">
      <c r="L55" s="147">
        <f>L48</f>
        <v>43770</v>
      </c>
      <c r="M55" s="147">
        <f t="shared" ref="M55:O55" si="6">M48</f>
        <v>44136</v>
      </c>
      <c r="N55" s="147">
        <f t="shared" si="6"/>
        <v>44502</v>
      </c>
      <c r="O55" s="147">
        <f t="shared" si="6"/>
        <v>44868</v>
      </c>
    </row>
    <row r="56" spans="2:18" x14ac:dyDescent="0.3">
      <c r="B56" t="s">
        <v>23</v>
      </c>
      <c r="L56" s="19">
        <f>'Adobe Financials'!C22</f>
        <v>2951000</v>
      </c>
      <c r="M56" s="19">
        <f>'Adobe Financials'!D22</f>
        <v>5260000</v>
      </c>
      <c r="N56" s="19">
        <f>'Adobe Financials'!E22</f>
        <v>4822000</v>
      </c>
      <c r="O56" s="19">
        <f>'Adobe Financials'!F22</f>
        <v>4756000</v>
      </c>
    </row>
    <row r="57" spans="2:18" x14ac:dyDescent="0.3">
      <c r="B57" t="s">
        <v>139</v>
      </c>
      <c r="L57" s="19">
        <f>'Adobe Financials'!C4</f>
        <v>11171000</v>
      </c>
      <c r="M57" s="19">
        <f>'Adobe Financials'!D4</f>
        <v>12868000</v>
      </c>
      <c r="N57" s="19">
        <f>'Adobe Financials'!E4</f>
        <v>15785000</v>
      </c>
      <c r="O57" s="19">
        <f>'Adobe Financials'!F4</f>
        <v>17606000</v>
      </c>
    </row>
    <row r="58" spans="2:18" x14ac:dyDescent="0.3">
      <c r="B58" t="s">
        <v>39</v>
      </c>
      <c r="L58" s="19">
        <f>'Adobe Financials'!C40</f>
        <v>20762000</v>
      </c>
      <c r="M58" s="19">
        <f>'Adobe Financials'!D40</f>
        <v>24284000</v>
      </c>
      <c r="N58" s="19">
        <f>'Adobe Financials'!E40</f>
        <v>27241000</v>
      </c>
      <c r="O58" s="19">
        <f>'Adobe Financials'!F40</f>
        <v>27165000</v>
      </c>
    </row>
    <row r="59" spans="2:18" x14ac:dyDescent="0.3">
      <c r="B59" t="s">
        <v>141</v>
      </c>
      <c r="L59" s="19">
        <f>'Adobe Financials'!C58</f>
        <v>10530000</v>
      </c>
      <c r="M59" s="19">
        <f>'Adobe Financials'!D58</f>
        <v>13264000</v>
      </c>
      <c r="N59" s="19">
        <f>'Adobe Financials'!E58</f>
        <v>14797000</v>
      </c>
      <c r="O59" s="19">
        <f>'Adobe Financials'!F58</f>
        <v>14051000</v>
      </c>
    </row>
    <row r="60" spans="2:18" x14ac:dyDescent="0.3">
      <c r="B60" t="s">
        <v>142</v>
      </c>
      <c r="L60" s="149">
        <f>L56/L57</f>
        <v>0.26416614448124609</v>
      </c>
      <c r="M60" s="149">
        <f t="shared" ref="M60:O60" si="7">M56/M57</f>
        <v>0.40876593099160707</v>
      </c>
      <c r="N60" s="149">
        <f t="shared" si="7"/>
        <v>0.30547988596769082</v>
      </c>
      <c r="O60" s="149">
        <f t="shared" si="7"/>
        <v>0.27013518118823127</v>
      </c>
    </row>
    <row r="61" spans="2:18" x14ac:dyDescent="0.3">
      <c r="B61" t="s">
        <v>143</v>
      </c>
      <c r="L61" s="148">
        <f>L57/L58</f>
        <v>0.53805028417300838</v>
      </c>
      <c r="M61" s="148">
        <f t="shared" ref="M61:O61" si="8">M57/M58</f>
        <v>0.52989622796903313</v>
      </c>
      <c r="N61" s="148">
        <f t="shared" si="8"/>
        <v>0.57945743548327888</v>
      </c>
      <c r="O61" s="148">
        <f t="shared" si="8"/>
        <v>0.64811338118902995</v>
      </c>
    </row>
    <row r="62" spans="2:18" x14ac:dyDescent="0.3">
      <c r="B62" t="s">
        <v>144</v>
      </c>
      <c r="L62" s="148">
        <f>L58/L59</f>
        <v>1.9716999050332384</v>
      </c>
      <c r="M62" s="148">
        <f t="shared" ref="M62:O62" si="9">M58/M59</f>
        <v>1.8308202653799759</v>
      </c>
      <c r="N62" s="148">
        <f t="shared" si="9"/>
        <v>1.8409812799891869</v>
      </c>
      <c r="O62" s="148">
        <f t="shared" si="9"/>
        <v>1.9333143548501885</v>
      </c>
    </row>
    <row r="63" spans="2:18" x14ac:dyDescent="0.3">
      <c r="B63" s="152" t="s">
        <v>145</v>
      </c>
      <c r="C63" s="152"/>
      <c r="D63" s="152"/>
      <c r="E63" s="152"/>
      <c r="F63" s="152"/>
      <c r="G63" s="152"/>
      <c r="H63" s="152"/>
      <c r="I63" s="152"/>
      <c r="J63" s="152"/>
      <c r="K63" s="152"/>
      <c r="L63" s="153">
        <f>L60*L61*L62</f>
        <v>0.28024691358024689</v>
      </c>
      <c r="M63" s="153">
        <f t="shared" ref="M63:O63" si="10">M60*M61*M62</f>
        <v>0.39656212303980704</v>
      </c>
      <c r="N63" s="153">
        <f t="shared" si="10"/>
        <v>0.3258768669324863</v>
      </c>
      <c r="O63" s="153">
        <f t="shared" si="10"/>
        <v>0.33848124688634257</v>
      </c>
      <c r="P63" s="152"/>
      <c r="Q63" s="152"/>
      <c r="R63" s="152"/>
    </row>
    <row r="65" spans="2:18" x14ac:dyDescent="0.3">
      <c r="B65" s="423" t="s">
        <v>208</v>
      </c>
      <c r="C65" s="423"/>
      <c r="D65" s="423"/>
      <c r="E65" s="423"/>
      <c r="F65" s="423"/>
      <c r="G65" s="423"/>
      <c r="H65" s="423"/>
      <c r="I65" s="423"/>
      <c r="J65" s="423"/>
      <c r="K65" s="423"/>
      <c r="L65" s="423"/>
      <c r="M65" s="423"/>
      <c r="N65" s="423"/>
      <c r="O65" s="423"/>
      <c r="P65" s="423"/>
      <c r="Q65" s="423"/>
      <c r="R65" s="423"/>
    </row>
    <row r="66" spans="2:18" x14ac:dyDescent="0.3">
      <c r="L66" s="147">
        <f>L55</f>
        <v>43770</v>
      </c>
      <c r="M66" s="147">
        <f t="shared" ref="M66:O66" si="11">M55</f>
        <v>44136</v>
      </c>
      <c r="N66" s="147">
        <f t="shared" si="11"/>
        <v>44502</v>
      </c>
      <c r="O66" s="147">
        <f t="shared" si="11"/>
        <v>44868</v>
      </c>
    </row>
    <row r="67" spans="2:18" x14ac:dyDescent="0.3">
      <c r="B67" t="s">
        <v>23</v>
      </c>
      <c r="L67" s="19">
        <f>L56</f>
        <v>2951000</v>
      </c>
      <c r="M67" s="19">
        <f t="shared" ref="M67:O67" si="12">M56</f>
        <v>5260000</v>
      </c>
      <c r="N67" s="19">
        <f t="shared" si="12"/>
        <v>4822000</v>
      </c>
      <c r="O67" s="19">
        <f t="shared" si="12"/>
        <v>4756000</v>
      </c>
    </row>
    <row r="68" spans="2:18" x14ac:dyDescent="0.3">
      <c r="B68" t="s">
        <v>139</v>
      </c>
      <c r="L68" s="19">
        <f>L57</f>
        <v>11171000</v>
      </c>
      <c r="M68" s="19">
        <f t="shared" ref="M68:O68" si="13">M57</f>
        <v>12868000</v>
      </c>
      <c r="N68" s="19">
        <f t="shared" si="13"/>
        <v>15785000</v>
      </c>
      <c r="O68" s="19">
        <f t="shared" si="13"/>
        <v>17606000</v>
      </c>
    </row>
    <row r="69" spans="2:18" x14ac:dyDescent="0.3">
      <c r="B69" t="s">
        <v>39</v>
      </c>
      <c r="L69" s="19">
        <f>L58</f>
        <v>20762000</v>
      </c>
      <c r="M69" s="19">
        <f t="shared" ref="M69:O69" si="14">M58</f>
        <v>24284000</v>
      </c>
      <c r="N69" s="19">
        <f t="shared" si="14"/>
        <v>27241000</v>
      </c>
      <c r="O69" s="19">
        <f t="shared" si="14"/>
        <v>27165000</v>
      </c>
    </row>
    <row r="70" spans="2:18" x14ac:dyDescent="0.3">
      <c r="B70" t="s">
        <v>142</v>
      </c>
      <c r="L70" s="149">
        <f>L67/L68</f>
        <v>0.26416614448124609</v>
      </c>
      <c r="M70" s="149">
        <f t="shared" ref="M70:O70" si="15">M67/M68</f>
        <v>0.40876593099160707</v>
      </c>
      <c r="N70" s="149">
        <f t="shared" si="15"/>
        <v>0.30547988596769082</v>
      </c>
      <c r="O70" s="149">
        <f t="shared" si="15"/>
        <v>0.27013518118823127</v>
      </c>
    </row>
    <row r="71" spans="2:18" x14ac:dyDescent="0.3">
      <c r="B71" t="s">
        <v>143</v>
      </c>
      <c r="L71" s="148">
        <f>L68/L69</f>
        <v>0.53805028417300838</v>
      </c>
      <c r="M71" s="148">
        <f t="shared" ref="M71:O71" si="16">M68/M69</f>
        <v>0.52989622796903313</v>
      </c>
      <c r="N71" s="148">
        <f t="shared" si="16"/>
        <v>0.57945743548327888</v>
      </c>
      <c r="O71" s="148">
        <f t="shared" si="16"/>
        <v>0.64811338118902995</v>
      </c>
    </row>
    <row r="72" spans="2:18" x14ac:dyDescent="0.3">
      <c r="B72" s="152" t="s">
        <v>147</v>
      </c>
      <c r="C72" s="152"/>
      <c r="D72" s="152"/>
      <c r="E72" s="152"/>
      <c r="F72" s="152"/>
      <c r="G72" s="152"/>
      <c r="H72" s="152"/>
      <c r="I72" s="152"/>
      <c r="J72" s="152"/>
      <c r="K72" s="152"/>
      <c r="L72" s="153">
        <f>L70*L71</f>
        <v>0.14213466910702244</v>
      </c>
      <c r="M72" s="153">
        <f t="shared" ref="M72:O72" si="17">M70*M71</f>
        <v>0.2166035249547027</v>
      </c>
      <c r="N72" s="153">
        <f t="shared" si="17"/>
        <v>0.1770125913145626</v>
      </c>
      <c r="O72" s="153">
        <f t="shared" si="17"/>
        <v>0.17507822565801581</v>
      </c>
      <c r="P72" s="152"/>
      <c r="Q72" s="152"/>
      <c r="R72" s="152"/>
    </row>
    <row r="74" spans="2:18" x14ac:dyDescent="0.3">
      <c r="B74" s="160" t="s">
        <v>194</v>
      </c>
    </row>
    <row r="75" spans="2:18" x14ac:dyDescent="0.3">
      <c r="B75" s="160" t="s">
        <v>227</v>
      </c>
    </row>
    <row r="76" spans="2:18" x14ac:dyDescent="0.3">
      <c r="B76" s="160" t="s">
        <v>228</v>
      </c>
    </row>
    <row r="77" spans="2:18" x14ac:dyDescent="0.3">
      <c r="B77" s="160" t="s">
        <v>229</v>
      </c>
    </row>
    <row r="78" spans="2:18" x14ac:dyDescent="0.3">
      <c r="B78" s="160" t="s">
        <v>230</v>
      </c>
    </row>
    <row r="80" spans="2:18" x14ac:dyDescent="0.3">
      <c r="B80" s="428" t="s">
        <v>209</v>
      </c>
      <c r="C80" s="428"/>
      <c r="D80" s="428"/>
      <c r="E80" s="428"/>
      <c r="F80" s="428"/>
      <c r="G80" s="428"/>
      <c r="H80" s="428"/>
      <c r="I80" s="428"/>
      <c r="J80" s="428"/>
      <c r="K80" s="428"/>
      <c r="L80" s="428"/>
      <c r="M80" s="428"/>
      <c r="N80" s="428"/>
      <c r="O80" s="428"/>
      <c r="P80" s="428"/>
      <c r="Q80" s="428"/>
      <c r="R80" s="428"/>
    </row>
    <row r="82" spans="2:18" x14ac:dyDescent="0.3">
      <c r="B82" s="423" t="s">
        <v>151</v>
      </c>
      <c r="C82" s="423"/>
      <c r="D82" s="423"/>
      <c r="E82" s="423"/>
      <c r="F82" s="423"/>
      <c r="G82" s="423"/>
      <c r="H82" s="423"/>
      <c r="I82" s="423"/>
      <c r="J82" s="423"/>
      <c r="K82" s="423"/>
      <c r="L82" s="423"/>
      <c r="M82" s="423"/>
      <c r="N82" s="423"/>
      <c r="O82" s="423"/>
      <c r="P82" s="423"/>
      <c r="Q82" s="423"/>
      <c r="R82" s="423"/>
    </row>
    <row r="83" spans="2:18" x14ac:dyDescent="0.3">
      <c r="L83" s="147">
        <f>L66</f>
        <v>43770</v>
      </c>
      <c r="M83" s="147">
        <f t="shared" ref="M83:O83" si="18">M66</f>
        <v>44136</v>
      </c>
      <c r="N83" s="147">
        <f t="shared" si="18"/>
        <v>44502</v>
      </c>
      <c r="O83" s="147">
        <f t="shared" si="18"/>
        <v>44868</v>
      </c>
    </row>
    <row r="84" spans="2:18" x14ac:dyDescent="0.3">
      <c r="B84" t="s">
        <v>152</v>
      </c>
      <c r="L84" s="19">
        <f>'Adobe Financials'!C32-'Adobe Financials'!C45</f>
        <v>-1696000</v>
      </c>
      <c r="M84" s="19">
        <f>'Adobe Financials'!D32-'Adobe Financials'!D45</f>
        <v>2634000</v>
      </c>
      <c r="N84" s="19">
        <f>'Adobe Financials'!E32-'Adobe Financials'!E45</f>
        <v>1737000</v>
      </c>
      <c r="O84" s="19">
        <f>'Adobe Financials'!F32-'Adobe Financials'!F45</f>
        <v>868000</v>
      </c>
    </row>
    <row r="85" spans="2:18" x14ac:dyDescent="0.3">
      <c r="B85" t="s">
        <v>39</v>
      </c>
      <c r="L85" s="19">
        <f>L69</f>
        <v>20762000</v>
      </c>
      <c r="M85" s="19">
        <f t="shared" ref="M85:O85" si="19">M69</f>
        <v>24284000</v>
      </c>
      <c r="N85" s="19">
        <f t="shared" si="19"/>
        <v>27241000</v>
      </c>
      <c r="O85" s="19">
        <f t="shared" si="19"/>
        <v>27165000</v>
      </c>
    </row>
    <row r="86" spans="2:18" x14ac:dyDescent="0.3">
      <c r="B86" s="163" t="s">
        <v>161</v>
      </c>
      <c r="C86" s="163"/>
      <c r="D86" s="163"/>
      <c r="E86" s="163"/>
      <c r="F86" s="163"/>
      <c r="G86" s="163"/>
      <c r="H86" s="163"/>
      <c r="I86" s="163"/>
      <c r="J86" s="163"/>
      <c r="K86" s="163"/>
      <c r="L86" s="164">
        <f>L84/L85</f>
        <v>-8.1687698680281279E-2</v>
      </c>
      <c r="M86" s="164">
        <f t="shared" ref="M86:O86" si="20">M84/M85</f>
        <v>0.1084664799868226</v>
      </c>
      <c r="N86" s="164">
        <f t="shared" si="20"/>
        <v>6.3764178994897391E-2</v>
      </c>
      <c r="O86" s="164">
        <f t="shared" si="20"/>
        <v>3.19528805448187E-2</v>
      </c>
      <c r="P86" s="163"/>
      <c r="Q86" s="163"/>
      <c r="R86" s="163"/>
    </row>
    <row r="88" spans="2:18" x14ac:dyDescent="0.3">
      <c r="B88" s="423" t="s">
        <v>153</v>
      </c>
      <c r="C88" s="423"/>
      <c r="D88" s="423"/>
      <c r="E88" s="423"/>
      <c r="F88" s="423"/>
      <c r="G88" s="423"/>
      <c r="H88" s="423"/>
      <c r="I88" s="423"/>
      <c r="J88" s="423"/>
      <c r="K88" s="423"/>
      <c r="L88" s="423"/>
      <c r="M88" s="423"/>
      <c r="N88" s="423"/>
      <c r="O88" s="423"/>
      <c r="P88" s="423"/>
      <c r="Q88" s="423"/>
      <c r="R88" s="423"/>
    </row>
    <row r="89" spans="2:18" x14ac:dyDescent="0.3">
      <c r="L89" s="147">
        <f>L83</f>
        <v>43770</v>
      </c>
      <c r="M89" s="147">
        <f t="shared" ref="M89:O89" si="21">M83</f>
        <v>44136</v>
      </c>
      <c r="N89" s="147">
        <f t="shared" si="21"/>
        <v>44502</v>
      </c>
      <c r="O89" s="147">
        <f t="shared" si="21"/>
        <v>44868</v>
      </c>
    </row>
    <row r="90" spans="2:18" x14ac:dyDescent="0.3">
      <c r="B90" t="s">
        <v>186</v>
      </c>
      <c r="L90" s="19">
        <f>'Adobe Financials'!C14</f>
        <v>3362000</v>
      </c>
      <c r="M90" s="19">
        <f>'Adobe Financials'!D14</f>
        <v>4292000</v>
      </c>
      <c r="N90" s="19">
        <f>'Adobe Financials'!E14</f>
        <v>5818000</v>
      </c>
      <c r="O90" s="19">
        <f>'Adobe Financials'!F14</f>
        <v>6120000</v>
      </c>
    </row>
    <row r="91" spans="2:18" x14ac:dyDescent="0.3">
      <c r="B91" t="s">
        <v>39</v>
      </c>
      <c r="L91" s="19">
        <f>L85</f>
        <v>20762000</v>
      </c>
      <c r="M91" s="19">
        <f t="shared" ref="M91:O91" si="22">M85</f>
        <v>24284000</v>
      </c>
      <c r="N91" s="19">
        <f t="shared" si="22"/>
        <v>27241000</v>
      </c>
      <c r="O91" s="19">
        <f t="shared" si="22"/>
        <v>27165000</v>
      </c>
    </row>
    <row r="92" spans="2:18" x14ac:dyDescent="0.3">
      <c r="B92" s="163" t="s">
        <v>237</v>
      </c>
      <c r="C92" s="163"/>
      <c r="D92" s="163"/>
      <c r="E92" s="163"/>
      <c r="F92" s="163"/>
      <c r="G92" s="163"/>
      <c r="H92" s="163"/>
      <c r="I92" s="163"/>
      <c r="J92" s="163"/>
      <c r="K92" s="163"/>
      <c r="L92" s="164">
        <f>L90/L91</f>
        <v>0.16193044986032173</v>
      </c>
      <c r="M92" s="164">
        <f t="shared" ref="M92:O92" si="23">M90/M91</f>
        <v>0.17674188766265855</v>
      </c>
      <c r="N92" s="164">
        <f t="shared" si="23"/>
        <v>0.21357512572959877</v>
      </c>
      <c r="O92" s="164">
        <f t="shared" si="23"/>
        <v>0.22528989508558808</v>
      </c>
      <c r="P92" s="163"/>
      <c r="Q92" s="163"/>
      <c r="R92" s="163"/>
    </row>
    <row r="94" spans="2:18" x14ac:dyDescent="0.3">
      <c r="B94" s="423" t="s">
        <v>154</v>
      </c>
      <c r="C94" s="423"/>
      <c r="D94" s="423"/>
      <c r="E94" s="423"/>
      <c r="F94" s="423"/>
      <c r="G94" s="423"/>
      <c r="H94" s="423"/>
      <c r="I94" s="423"/>
      <c r="J94" s="423"/>
      <c r="K94" s="423"/>
      <c r="L94" s="423"/>
      <c r="M94" s="423"/>
      <c r="N94" s="423"/>
      <c r="O94" s="423"/>
      <c r="P94" s="423"/>
      <c r="Q94" s="423"/>
      <c r="R94" s="423"/>
    </row>
    <row r="95" spans="2:18" x14ac:dyDescent="0.3">
      <c r="L95" s="147">
        <f>L89</f>
        <v>43770</v>
      </c>
      <c r="M95" s="147">
        <f t="shared" ref="M95:O95" si="24">M89</f>
        <v>44136</v>
      </c>
      <c r="N95" s="147">
        <f t="shared" si="24"/>
        <v>44502</v>
      </c>
      <c r="O95" s="147">
        <f t="shared" si="24"/>
        <v>44868</v>
      </c>
    </row>
    <row r="96" spans="2:18" x14ac:dyDescent="0.3">
      <c r="B96" t="s">
        <v>53</v>
      </c>
      <c r="L96" s="19">
        <f>'Adobe Financials'!C55</f>
        <v>-10615000</v>
      </c>
      <c r="M96" s="19">
        <f>'Adobe Financials'!D55</f>
        <v>-13546000</v>
      </c>
      <c r="N96" s="19">
        <f>'Adobe Financials'!E55</f>
        <v>-17399000</v>
      </c>
      <c r="O96" s="19">
        <f>'Adobe Financials'!F55</f>
        <v>-23843000</v>
      </c>
    </row>
    <row r="97" spans="2:18" x14ac:dyDescent="0.3">
      <c r="B97" t="s">
        <v>39</v>
      </c>
      <c r="L97" s="19">
        <f>L91</f>
        <v>20762000</v>
      </c>
      <c r="M97" s="19">
        <f t="shared" ref="M97:O97" si="25">M91</f>
        <v>24284000</v>
      </c>
      <c r="N97" s="19">
        <f t="shared" si="25"/>
        <v>27241000</v>
      </c>
      <c r="O97" s="19">
        <f t="shared" si="25"/>
        <v>27165000</v>
      </c>
    </row>
    <row r="98" spans="2:18" x14ac:dyDescent="0.3">
      <c r="B98" s="163" t="s">
        <v>238</v>
      </c>
      <c r="C98" s="163"/>
      <c r="D98" s="163"/>
      <c r="E98" s="163"/>
      <c r="F98" s="163"/>
      <c r="G98" s="163"/>
      <c r="H98" s="163"/>
      <c r="I98" s="163"/>
      <c r="J98" s="163"/>
      <c r="K98" s="163"/>
      <c r="L98" s="164">
        <f>L96/L97</f>
        <v>-0.5112705905018784</v>
      </c>
      <c r="M98" s="164">
        <f t="shared" ref="M98:O98" si="26">M96/M97</f>
        <v>-0.55781584582441113</v>
      </c>
      <c r="N98" s="164">
        <f t="shared" si="26"/>
        <v>-0.63870636173415074</v>
      </c>
      <c r="O98" s="164">
        <f t="shared" si="26"/>
        <v>-0.87771028897478376</v>
      </c>
      <c r="P98" s="163"/>
      <c r="Q98" s="163"/>
      <c r="R98" s="163"/>
    </row>
    <row r="100" spans="2:18" x14ac:dyDescent="0.3">
      <c r="B100" s="423" t="s">
        <v>156</v>
      </c>
      <c r="C100" s="423"/>
      <c r="D100" s="423"/>
      <c r="E100" s="423"/>
      <c r="F100" s="423"/>
      <c r="G100" s="423"/>
      <c r="H100" s="423"/>
      <c r="I100" s="423"/>
      <c r="J100" s="423"/>
      <c r="K100" s="423"/>
      <c r="L100" s="423"/>
      <c r="M100" s="423"/>
      <c r="N100" s="423"/>
      <c r="O100" s="423"/>
      <c r="P100" s="423"/>
      <c r="Q100" s="423"/>
      <c r="R100" s="423"/>
    </row>
    <row r="101" spans="2:18" x14ac:dyDescent="0.3">
      <c r="L101" s="147">
        <f>L95</f>
        <v>43770</v>
      </c>
      <c r="M101" s="147">
        <f t="shared" ref="M101:O101" si="27">M95</f>
        <v>44136</v>
      </c>
      <c r="N101" s="147">
        <f t="shared" si="27"/>
        <v>44502</v>
      </c>
      <c r="O101" s="147">
        <f t="shared" si="27"/>
        <v>44868</v>
      </c>
    </row>
    <row r="102" spans="2:18" x14ac:dyDescent="0.3">
      <c r="B102" t="s">
        <v>139</v>
      </c>
      <c r="L102" s="19">
        <f>'Adobe Financials'!C4</f>
        <v>11171000</v>
      </c>
      <c r="M102" s="19">
        <f>'Adobe Financials'!D4</f>
        <v>12868000</v>
      </c>
      <c r="N102" s="19">
        <f>'Adobe Financials'!E4</f>
        <v>15785000</v>
      </c>
      <c r="O102" s="19">
        <f>'Adobe Financials'!F4</f>
        <v>17606000</v>
      </c>
    </row>
    <row r="103" spans="2:18" x14ac:dyDescent="0.3">
      <c r="B103" t="s">
        <v>39</v>
      </c>
      <c r="L103" s="19">
        <f>L97</f>
        <v>20762000</v>
      </c>
      <c r="M103" s="19">
        <f t="shared" ref="M103:O103" si="28">M97</f>
        <v>24284000</v>
      </c>
      <c r="N103" s="19">
        <f t="shared" si="28"/>
        <v>27241000</v>
      </c>
      <c r="O103" s="19">
        <f t="shared" si="28"/>
        <v>27165000</v>
      </c>
    </row>
    <row r="104" spans="2:18" x14ac:dyDescent="0.3">
      <c r="B104" s="163" t="s">
        <v>239</v>
      </c>
      <c r="C104" s="163"/>
      <c r="D104" s="163"/>
      <c r="E104" s="163"/>
      <c r="F104" s="163"/>
      <c r="G104" s="163"/>
      <c r="H104" s="163"/>
      <c r="I104" s="163"/>
      <c r="J104" s="163"/>
      <c r="K104" s="163"/>
      <c r="L104" s="164">
        <f>L102/L103</f>
        <v>0.53805028417300838</v>
      </c>
      <c r="M104" s="164">
        <f t="shared" ref="M104:O104" si="29">M102/M103</f>
        <v>0.52989622796903313</v>
      </c>
      <c r="N104" s="164">
        <f t="shared" si="29"/>
        <v>0.57945743548327888</v>
      </c>
      <c r="O104" s="164">
        <f t="shared" si="29"/>
        <v>0.64811338118902995</v>
      </c>
      <c r="P104" s="163"/>
      <c r="Q104" s="163"/>
      <c r="R104" s="163"/>
    </row>
    <row r="106" spans="2:18" x14ac:dyDescent="0.3">
      <c r="B106" s="423" t="s">
        <v>224</v>
      </c>
      <c r="C106" s="423"/>
      <c r="D106" s="423"/>
      <c r="E106" s="423"/>
      <c r="F106" s="423"/>
      <c r="G106" s="423"/>
      <c r="H106" s="423"/>
      <c r="I106" s="423"/>
      <c r="J106" s="423"/>
      <c r="K106" s="423"/>
      <c r="L106" s="423"/>
      <c r="M106" s="423"/>
      <c r="N106" s="423"/>
      <c r="O106" s="423"/>
      <c r="P106" s="423"/>
      <c r="Q106" s="423"/>
      <c r="R106" s="423"/>
    </row>
    <row r="107" spans="2:18" x14ac:dyDescent="0.3">
      <c r="L107" s="147">
        <f>L101</f>
        <v>43770</v>
      </c>
      <c r="M107" s="147">
        <f t="shared" ref="M107:O107" si="30">M101</f>
        <v>44136</v>
      </c>
      <c r="N107" s="147">
        <f t="shared" si="30"/>
        <v>44502</v>
      </c>
      <c r="O107" s="147">
        <f t="shared" si="30"/>
        <v>44868</v>
      </c>
    </row>
    <row r="108" spans="2:18" x14ac:dyDescent="0.3">
      <c r="B108" t="s">
        <v>225</v>
      </c>
      <c r="L108" s="19">
        <f>'Adobe Financials'!C23</f>
        <v>159080000</v>
      </c>
      <c r="M108" s="19">
        <f>'Adobe Financials'!D23</f>
        <v>239910000</v>
      </c>
      <c r="N108" s="19">
        <f>'Adobe Financials'!E23</f>
        <v>269350000</v>
      </c>
      <c r="O108" s="19">
        <f>'Adobe Financials'!F23</f>
        <v>156450000</v>
      </c>
    </row>
    <row r="109" spans="2:18" x14ac:dyDescent="0.3">
      <c r="B109" t="s">
        <v>159</v>
      </c>
      <c r="L109" s="19">
        <f>'Adobe Financials'!C46</f>
        <v>989000</v>
      </c>
      <c r="M109" s="19">
        <f>'Adobe Financials'!D46</f>
        <v>4117000</v>
      </c>
      <c r="N109" s="19">
        <f>'Adobe Financials'!E46</f>
        <v>4123000</v>
      </c>
      <c r="O109" s="19">
        <f>'Adobe Financials'!F46</f>
        <v>3629000</v>
      </c>
    </row>
    <row r="110" spans="2:18" x14ac:dyDescent="0.3">
      <c r="B110" s="163" t="s">
        <v>240</v>
      </c>
      <c r="C110" s="163"/>
      <c r="D110" s="163"/>
      <c r="E110" s="163"/>
      <c r="F110" s="163"/>
      <c r="G110" s="163"/>
      <c r="H110" s="163"/>
      <c r="I110" s="163"/>
      <c r="J110" s="163"/>
      <c r="K110" s="163"/>
      <c r="L110" s="164">
        <f>L108/L109</f>
        <v>160.84934277047523</v>
      </c>
      <c r="M110" s="164">
        <f t="shared" ref="M110:O110" si="31">M108/M109</f>
        <v>58.273014330823415</v>
      </c>
      <c r="N110" s="164">
        <f t="shared" si="31"/>
        <v>65.328644191122962</v>
      </c>
      <c r="O110" s="164">
        <f t="shared" si="31"/>
        <v>43.111049875998894</v>
      </c>
      <c r="P110" s="163"/>
      <c r="Q110" s="163"/>
      <c r="R110" s="163"/>
    </row>
    <row r="112" spans="2:18" x14ac:dyDescent="0.3">
      <c r="B112" s="424" t="s">
        <v>166</v>
      </c>
      <c r="C112" s="425"/>
      <c r="D112" s="425"/>
      <c r="E112" s="425"/>
      <c r="F112" s="425"/>
      <c r="G112" s="425"/>
      <c r="H112" s="425"/>
      <c r="I112" s="425"/>
      <c r="J112" s="425"/>
      <c r="K112" s="425"/>
      <c r="L112" s="425"/>
      <c r="M112" s="425"/>
      <c r="N112" s="425"/>
      <c r="O112" s="425"/>
      <c r="P112" s="425"/>
      <c r="Q112" s="425"/>
      <c r="R112" s="426"/>
    </row>
    <row r="113" spans="2:18" x14ac:dyDescent="0.3">
      <c r="B113" s="119"/>
      <c r="C113" s="38"/>
      <c r="D113" s="162" t="s">
        <v>169</v>
      </c>
      <c r="E113" s="162" t="s">
        <v>170</v>
      </c>
      <c r="F113" s="162" t="s">
        <v>171</v>
      </c>
      <c r="G113" s="162" t="s">
        <v>172</v>
      </c>
      <c r="H113" s="162" t="s">
        <v>173</v>
      </c>
      <c r="I113" s="38"/>
      <c r="J113" s="38"/>
      <c r="K113" s="38"/>
      <c r="L113" s="38"/>
      <c r="M113" s="38"/>
      <c r="N113" s="38"/>
      <c r="O113" s="37" t="s">
        <v>166</v>
      </c>
      <c r="P113" s="38"/>
      <c r="Q113" s="37" t="s">
        <v>174</v>
      </c>
      <c r="R113" s="120"/>
    </row>
    <row r="114" spans="2:18" x14ac:dyDescent="0.3">
      <c r="B114" s="119" t="s">
        <v>226</v>
      </c>
      <c r="C114" s="38" t="s">
        <v>168</v>
      </c>
      <c r="D114" s="37">
        <v>1.2</v>
      </c>
      <c r="E114" s="37">
        <v>3.3</v>
      </c>
      <c r="F114" s="37">
        <v>1.4</v>
      </c>
      <c r="G114" s="37">
        <v>1</v>
      </c>
      <c r="H114" s="37">
        <v>0.6</v>
      </c>
      <c r="I114" s="38"/>
      <c r="J114" s="38"/>
      <c r="K114" s="38"/>
      <c r="L114" s="38"/>
      <c r="M114" s="38"/>
      <c r="N114" s="38"/>
      <c r="O114" s="38"/>
      <c r="P114" s="38"/>
      <c r="Q114" s="38"/>
      <c r="R114" s="120"/>
    </row>
    <row r="115" spans="2:18" x14ac:dyDescent="0.3">
      <c r="B115" s="154">
        <f t="array" ref="B115:B118">TRANSPOSE(L107:O107)</f>
        <v>43770</v>
      </c>
      <c r="C115" s="38"/>
      <c r="D115" s="39">
        <f t="array" ref="D115:D118">TRANSPOSE(L86:O86)</f>
        <v>-8.1687698680281279E-2</v>
      </c>
      <c r="E115" s="39">
        <f t="array" ref="E115:E118">TRANSPOSE(L92:O92)</f>
        <v>0.16193044986032173</v>
      </c>
      <c r="F115" s="39">
        <f t="array" ref="F115:F118">TRANSPOSE(L98:O98)</f>
        <v>-0.5112705905018784</v>
      </c>
      <c r="G115" s="39">
        <f t="array" ref="G115:G118">TRANSPOSE(L104:O104)</f>
        <v>0.53805028417300838</v>
      </c>
      <c r="H115" s="39">
        <f t="array" ref="H115:H118">TRANSPOSE(L110:O110)</f>
        <v>160.84934277047523</v>
      </c>
      <c r="I115" s="38"/>
      <c r="J115" s="38"/>
      <c r="K115" s="38"/>
      <c r="L115" s="38"/>
      <c r="M115" s="38"/>
      <c r="N115" s="38"/>
      <c r="O115" s="66">
        <f>SUMPRODUCT(D115:H115,$D$114:$H$114)</f>
        <v>96.768222365878245</v>
      </c>
      <c r="P115" s="38"/>
      <c r="Q115" s="38" t="str">
        <f>IF(O115&gt;3.1,"Safe Zone",IF(O115&lt;3.1,"distressed Zone"))</f>
        <v>Safe Zone</v>
      </c>
      <c r="R115" s="120"/>
    </row>
    <row r="116" spans="2:18" x14ac:dyDescent="0.3">
      <c r="B116" s="154">
        <v>44136</v>
      </c>
      <c r="C116" s="38"/>
      <c r="D116" s="39">
        <v>0.1084664799868226</v>
      </c>
      <c r="E116" s="39">
        <v>0.17674188766265855</v>
      </c>
      <c r="F116" s="39">
        <v>-0.55781584582441113</v>
      </c>
      <c r="G116" s="39">
        <v>0.52989622796903313</v>
      </c>
      <c r="H116" s="39">
        <v>58.273014330823415</v>
      </c>
      <c r="I116" s="38"/>
      <c r="J116" s="38"/>
      <c r="K116" s="38"/>
      <c r="L116" s="38"/>
      <c r="M116" s="38"/>
      <c r="N116" s="38"/>
      <c r="O116" s="66">
        <f>SUMPRODUCT(D116:H116,$D$114:$H$114)</f>
        <v>35.426170647579866</v>
      </c>
      <c r="P116" s="38"/>
      <c r="Q116" s="38" t="str">
        <f>IF(O116&gt;3.1,"Safe Zone",IF(O116&lt;3.1,"distressed Zone"))</f>
        <v>Safe Zone</v>
      </c>
      <c r="R116" s="120"/>
    </row>
    <row r="117" spans="2:18" x14ac:dyDescent="0.3">
      <c r="B117" s="154">
        <v>44502</v>
      </c>
      <c r="C117" s="38"/>
      <c r="D117" s="39">
        <v>6.3764178994897391E-2</v>
      </c>
      <c r="E117" s="39">
        <v>0.21357512572959877</v>
      </c>
      <c r="F117" s="39">
        <v>-0.63870636173415074</v>
      </c>
      <c r="G117" s="39">
        <v>0.57945743548327888</v>
      </c>
      <c r="H117" s="39">
        <v>65.328644191122962</v>
      </c>
      <c r="I117" s="38"/>
      <c r="J117" s="38"/>
      <c r="K117" s="38"/>
      <c r="L117" s="38"/>
      <c r="M117" s="38"/>
      <c r="N117" s="38"/>
      <c r="O117" s="66">
        <f>SUMPRODUCT(D117:H117,$D$114:$H$114)</f>
        <v>39.663769973430796</v>
      </c>
      <c r="P117" s="38"/>
      <c r="Q117" s="38" t="str">
        <f>IF(O117&gt;3.1,"Safe Zone",IF(O117&lt;3.1,"distressed Zone"))</f>
        <v>Safe Zone</v>
      </c>
      <c r="R117" s="120"/>
    </row>
    <row r="118" spans="2:18" ht="15" thickBot="1" x14ac:dyDescent="0.35">
      <c r="B118" s="155">
        <v>44868</v>
      </c>
      <c r="C118" s="156"/>
      <c r="D118" s="157">
        <v>3.19528805448187E-2</v>
      </c>
      <c r="E118" s="157">
        <v>0.22528989508558808</v>
      </c>
      <c r="F118" s="157">
        <v>-0.87771028897478376</v>
      </c>
      <c r="G118" s="157">
        <v>0.64811338118902995</v>
      </c>
      <c r="H118" s="157">
        <v>43.111049875998894</v>
      </c>
      <c r="I118" s="156"/>
      <c r="J118" s="156"/>
      <c r="K118" s="156"/>
      <c r="L118" s="156"/>
      <c r="M118" s="156"/>
      <c r="N118" s="156"/>
      <c r="O118" s="159">
        <f>SUMPRODUCT(D118:H118,$D$114:$H$114)</f>
        <v>26.067749012659892</v>
      </c>
      <c r="P118" s="156"/>
      <c r="Q118" s="156" t="str">
        <f>IF(O118&gt;3.1,"Safe Zone",IF(O118&lt;3.1,"distressed Zone"))</f>
        <v>Safe Zone</v>
      </c>
      <c r="R118" s="158"/>
    </row>
  </sheetData>
  <sheetProtection sheet="1" objects="1" scenarios="1"/>
  <customSheetViews>
    <customSheetView guid="{157A7F57-E932-4D71-AAC5-1BA0DA6A9C96}" showGridLines="0" topLeftCell="A37">
      <selection activeCell="C7" sqref="C7"/>
      <pageMargins left="0.7" right="0.7" top="0.75" bottom="0.75" header="0.3" footer="0.3"/>
      <pageSetup paperSize="9" orientation="portrait" r:id="rId1"/>
    </customSheetView>
  </customSheetViews>
  <mergeCells count="16">
    <mergeCell ref="B94:R94"/>
    <mergeCell ref="B100:R100"/>
    <mergeCell ref="B106:R106"/>
    <mergeCell ref="B112:R112"/>
    <mergeCell ref="B8:S12"/>
    <mergeCell ref="B47:R47"/>
    <mergeCell ref="B54:R54"/>
    <mergeCell ref="B65:R65"/>
    <mergeCell ref="B80:R80"/>
    <mergeCell ref="B82:R82"/>
    <mergeCell ref="B88:R88"/>
    <mergeCell ref="B14:R14"/>
    <mergeCell ref="B16:R16"/>
    <mergeCell ref="B22:R22"/>
    <mergeCell ref="B31:R31"/>
    <mergeCell ref="B38:R38"/>
  </mergeCells>
  <conditionalFormatting sqref="O115:O118">
    <cfRule type="cellIs" dxfId="14" priority="1" operator="greaterThan">
      <formula>3.1</formula>
    </cfRule>
  </conditionalFormatting>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4"/>
  <sheetViews>
    <sheetView showGridLines="0" topLeftCell="A46" workbookViewId="0">
      <selection activeCell="I17" sqref="I17"/>
    </sheetView>
  </sheetViews>
  <sheetFormatPr defaultRowHeight="14.4" x14ac:dyDescent="0.3"/>
  <cols>
    <col min="1" max="1" width="1.88671875" customWidth="1"/>
    <col min="2" max="2" width="48.44140625" customWidth="1"/>
    <col min="3" max="4" width="11.33203125" bestFit="1" customWidth="1"/>
    <col min="5" max="5" width="11.33203125" customWidth="1"/>
    <col min="6" max="6" width="11.33203125" bestFit="1" customWidth="1"/>
  </cols>
  <sheetData>
    <row r="2" spans="2:6" ht="21" x14ac:dyDescent="0.4">
      <c r="B2" s="5" t="s">
        <v>113</v>
      </c>
    </row>
    <row r="3" spans="2:6" x14ac:dyDescent="0.3">
      <c r="B3" t="s">
        <v>0</v>
      </c>
      <c r="C3" t="s">
        <v>102</v>
      </c>
      <c r="D3" t="s">
        <v>101</v>
      </c>
      <c r="E3" t="s">
        <v>100</v>
      </c>
      <c r="F3" t="s">
        <v>99</v>
      </c>
    </row>
    <row r="4" spans="2:6" x14ac:dyDescent="0.3">
      <c r="B4" t="s">
        <v>5</v>
      </c>
      <c r="C4" s="19">
        <v>24273000</v>
      </c>
      <c r="D4" s="19">
        <v>23531000</v>
      </c>
      <c r="E4" s="19">
        <v>33566000</v>
      </c>
      <c r="F4" s="19">
        <v>44200000</v>
      </c>
    </row>
    <row r="5" spans="2:6" x14ac:dyDescent="0.3">
      <c r="B5" t="s">
        <v>6</v>
      </c>
      <c r="C5" s="19">
        <v>8599000</v>
      </c>
      <c r="D5" s="19">
        <v>9255000</v>
      </c>
      <c r="E5" s="19">
        <v>14262000</v>
      </c>
      <c r="F5" s="19">
        <v>18635000</v>
      </c>
    </row>
    <row r="6" spans="2:6" x14ac:dyDescent="0.3">
      <c r="B6" t="s">
        <v>7</v>
      </c>
      <c r="C6" s="19">
        <v>15674000</v>
      </c>
      <c r="D6" s="19">
        <v>14276000</v>
      </c>
      <c r="E6" s="19">
        <v>19304000</v>
      </c>
      <c r="F6" s="19">
        <v>25565000</v>
      </c>
    </row>
    <row r="7" spans="2:6" x14ac:dyDescent="0.3">
      <c r="B7" t="s">
        <v>8</v>
      </c>
      <c r="C7" s="19"/>
      <c r="D7" s="19"/>
      <c r="E7" s="19"/>
      <c r="F7" s="19"/>
    </row>
    <row r="8" spans="2:6" x14ac:dyDescent="0.3">
      <c r="B8" t="s">
        <v>9</v>
      </c>
      <c r="C8" s="19">
        <v>5398000</v>
      </c>
      <c r="D8" s="19">
        <v>5975000</v>
      </c>
      <c r="E8" s="19">
        <v>7176000</v>
      </c>
      <c r="F8" s="19">
        <v>8194000</v>
      </c>
    </row>
    <row r="9" spans="2:6" x14ac:dyDescent="0.3">
      <c r="B9" t="s">
        <v>10</v>
      </c>
      <c r="C9" s="19">
        <v>2609000</v>
      </c>
      <c r="D9" s="19">
        <v>2046000</v>
      </c>
      <c r="E9" s="19">
        <v>2339000</v>
      </c>
      <c r="F9" s="19">
        <v>1511000</v>
      </c>
    </row>
    <row r="10" spans="2:6" x14ac:dyDescent="0.3">
      <c r="B10" t="s">
        <v>11</v>
      </c>
      <c r="C10" s="19">
        <v>0</v>
      </c>
      <c r="D10" s="19">
        <v>0</v>
      </c>
      <c r="E10" s="19">
        <v>0</v>
      </c>
      <c r="F10" s="19">
        <v>0</v>
      </c>
    </row>
    <row r="11" spans="2:6" x14ac:dyDescent="0.3">
      <c r="B11" t="s">
        <v>13</v>
      </c>
      <c r="C11" s="19">
        <v>0</v>
      </c>
      <c r="D11" s="19">
        <v>0</v>
      </c>
      <c r="E11" s="19">
        <v>0</v>
      </c>
      <c r="F11" s="19">
        <v>0</v>
      </c>
    </row>
    <row r="12" spans="2:6" x14ac:dyDescent="0.3">
      <c r="B12" t="s">
        <v>14</v>
      </c>
      <c r="C12" s="19">
        <v>7667000</v>
      </c>
      <c r="D12" s="19">
        <v>6255000</v>
      </c>
      <c r="E12" s="19">
        <v>9789000</v>
      </c>
      <c r="F12" s="19">
        <v>15860000</v>
      </c>
    </row>
    <row r="13" spans="2:6" x14ac:dyDescent="0.3">
      <c r="B13" t="s">
        <v>15</v>
      </c>
      <c r="C13" s="19">
        <v>441000</v>
      </c>
      <c r="D13" s="19">
        <v>66000</v>
      </c>
      <c r="E13" s="19">
        <v>1044000</v>
      </c>
      <c r="F13" s="19">
        <v>-372000</v>
      </c>
    </row>
    <row r="14" spans="2:6" x14ac:dyDescent="0.3">
      <c r="B14" t="s">
        <v>16</v>
      </c>
      <c r="C14" s="19">
        <v>8108000</v>
      </c>
      <c r="D14" s="19">
        <v>6321000</v>
      </c>
      <c r="E14" s="19">
        <v>10833000</v>
      </c>
      <c r="F14" s="19">
        <v>15488000</v>
      </c>
    </row>
    <row r="15" spans="2:6" x14ac:dyDescent="0.3">
      <c r="B15" t="s">
        <v>17</v>
      </c>
      <c r="C15" s="19">
        <v>627000</v>
      </c>
      <c r="D15" s="19">
        <v>602000</v>
      </c>
      <c r="E15" s="19">
        <v>559000</v>
      </c>
      <c r="F15" s="19">
        <v>490000</v>
      </c>
    </row>
    <row r="16" spans="2:6" x14ac:dyDescent="0.3">
      <c r="B16" t="s">
        <v>18</v>
      </c>
      <c r="C16" s="19">
        <v>7481000</v>
      </c>
      <c r="D16" s="19">
        <v>5719000</v>
      </c>
      <c r="E16" s="19">
        <v>10274000</v>
      </c>
      <c r="F16" s="19">
        <v>14998000</v>
      </c>
    </row>
    <row r="17" spans="2:6" x14ac:dyDescent="0.3">
      <c r="B17" t="s">
        <v>19</v>
      </c>
      <c r="C17" s="19">
        <v>3095000</v>
      </c>
      <c r="D17" s="19">
        <v>521000</v>
      </c>
      <c r="E17" s="19">
        <v>1231000</v>
      </c>
      <c r="F17" s="19">
        <v>2012000</v>
      </c>
    </row>
    <row r="18" spans="2:6" x14ac:dyDescent="0.3">
      <c r="B18" t="s">
        <v>20</v>
      </c>
      <c r="C18" s="19">
        <v>0</v>
      </c>
      <c r="D18" s="19">
        <v>0</v>
      </c>
      <c r="E18" s="19">
        <v>0</v>
      </c>
      <c r="F18" s="19">
        <v>0</v>
      </c>
    </row>
    <row r="19" spans="2:6" x14ac:dyDescent="0.3">
      <c r="B19" t="s">
        <v>21</v>
      </c>
      <c r="C19" s="19">
        <v>0</v>
      </c>
      <c r="D19" s="19">
        <v>0</v>
      </c>
      <c r="E19" s="19">
        <v>0</v>
      </c>
      <c r="F19" s="19">
        <v>0</v>
      </c>
    </row>
    <row r="20" spans="2:6" x14ac:dyDescent="0.3">
      <c r="B20" t="s">
        <v>22</v>
      </c>
      <c r="C20" s="19">
        <v>4386000</v>
      </c>
      <c r="D20" s="19">
        <v>5198000</v>
      </c>
      <c r="E20" s="19">
        <v>9043000</v>
      </c>
      <c r="F20" s="19">
        <v>12986000</v>
      </c>
    </row>
    <row r="21" spans="2:6" x14ac:dyDescent="0.3">
      <c r="B21" t="s">
        <v>23</v>
      </c>
      <c r="C21" s="19">
        <v>4386000</v>
      </c>
      <c r="D21" s="19">
        <v>5198000</v>
      </c>
      <c r="E21" s="19">
        <v>9043000</v>
      </c>
      <c r="F21" s="19">
        <v>12936000</v>
      </c>
    </row>
    <row r="22" spans="2:6" x14ac:dyDescent="0.3">
      <c r="B22" t="s">
        <v>24</v>
      </c>
      <c r="C22" s="19">
        <v>4386000</v>
      </c>
      <c r="D22" s="19">
        <v>5198000</v>
      </c>
      <c r="E22" s="19">
        <v>9043000</v>
      </c>
      <c r="F22" s="19">
        <v>12936000</v>
      </c>
    </row>
    <row r="23" spans="2:6" x14ac:dyDescent="0.3">
      <c r="B23" t="s">
        <v>160</v>
      </c>
      <c r="C23" s="19">
        <v>100840000</v>
      </c>
      <c r="D23" s="19">
        <v>172290000</v>
      </c>
      <c r="E23" s="19">
        <v>205720000</v>
      </c>
      <c r="F23" s="19">
        <v>123240000</v>
      </c>
    </row>
    <row r="24" spans="2:6" ht="18" x14ac:dyDescent="0.35">
      <c r="B24" s="2" t="s">
        <v>114</v>
      </c>
      <c r="C24" s="18"/>
      <c r="D24" s="18"/>
      <c r="E24" s="18"/>
      <c r="F24" s="18"/>
    </row>
    <row r="25" spans="2:6" x14ac:dyDescent="0.3">
      <c r="B25" t="s">
        <v>0</v>
      </c>
      <c r="C25" t="s">
        <v>102</v>
      </c>
      <c r="D25" t="s">
        <v>101</v>
      </c>
      <c r="E25" t="s">
        <v>100</v>
      </c>
      <c r="F25" t="s">
        <v>99</v>
      </c>
    </row>
    <row r="26" spans="2:6" x14ac:dyDescent="0.3">
      <c r="B26" t="s">
        <v>25</v>
      </c>
    </row>
    <row r="27" spans="2:6" x14ac:dyDescent="0.3">
      <c r="B27" t="s">
        <v>26</v>
      </c>
      <c r="C27" s="10">
        <v>11839000</v>
      </c>
      <c r="D27" s="10">
        <v>6707000</v>
      </c>
      <c r="E27" s="10">
        <v>7116000</v>
      </c>
      <c r="F27" s="10">
        <v>2773000</v>
      </c>
    </row>
    <row r="28" spans="2:6" x14ac:dyDescent="0.3">
      <c r="B28" t="s">
        <v>27</v>
      </c>
      <c r="C28" s="10">
        <v>421000</v>
      </c>
      <c r="D28" s="10">
        <v>4507000</v>
      </c>
      <c r="E28" s="10">
        <v>5298000</v>
      </c>
      <c r="F28" s="10">
        <v>3609000</v>
      </c>
    </row>
    <row r="29" spans="2:6" x14ac:dyDescent="0.3">
      <c r="B29" t="s">
        <v>28</v>
      </c>
      <c r="C29" s="10">
        <v>2471000</v>
      </c>
      <c r="D29" s="10">
        <v>4003000</v>
      </c>
      <c r="E29" s="10">
        <v>3579000</v>
      </c>
      <c r="F29" s="10">
        <v>5643000</v>
      </c>
    </row>
    <row r="30" spans="2:6" x14ac:dyDescent="0.3">
      <c r="B30" t="s">
        <v>29</v>
      </c>
      <c r="C30" s="10">
        <v>1400000</v>
      </c>
      <c r="D30" s="10">
        <v>2598000</v>
      </c>
      <c r="E30" s="10">
        <v>3228000</v>
      </c>
      <c r="F30" s="10">
        <v>6341000</v>
      </c>
    </row>
    <row r="31" spans="2:6" x14ac:dyDescent="0.3">
      <c r="B31" t="s">
        <v>30</v>
      </c>
      <c r="C31" s="10">
        <v>634000</v>
      </c>
      <c r="D31" s="10">
        <v>704000</v>
      </c>
      <c r="E31" s="10">
        <v>854000</v>
      </c>
      <c r="F31" s="10">
        <v>2358000</v>
      </c>
    </row>
    <row r="32" spans="2:6" x14ac:dyDescent="0.3">
      <c r="B32" t="s">
        <v>31</v>
      </c>
      <c r="C32" s="10">
        <v>16765000</v>
      </c>
      <c r="D32" s="10">
        <v>18519000</v>
      </c>
      <c r="E32" s="10">
        <v>20075000</v>
      </c>
      <c r="F32" s="10">
        <v>20724000</v>
      </c>
    </row>
    <row r="33" spans="2:6" x14ac:dyDescent="0.3">
      <c r="B33" t="s">
        <v>32</v>
      </c>
    </row>
    <row r="34" spans="2:6" x14ac:dyDescent="0.3">
      <c r="B34" t="s">
        <v>33</v>
      </c>
      <c r="C34">
        <v>0</v>
      </c>
      <c r="D34">
        <v>0</v>
      </c>
      <c r="E34">
        <v>0</v>
      </c>
      <c r="F34">
        <v>0</v>
      </c>
    </row>
    <row r="35" spans="2:6" x14ac:dyDescent="0.3">
      <c r="B35" t="s">
        <v>34</v>
      </c>
      <c r="C35" s="10">
        <v>3081000</v>
      </c>
      <c r="D35" s="10">
        <v>3711000</v>
      </c>
      <c r="E35" s="10">
        <v>4559000</v>
      </c>
      <c r="F35" s="10">
        <v>6368000</v>
      </c>
    </row>
    <row r="36" spans="2:6" x14ac:dyDescent="0.3">
      <c r="B36" t="s">
        <v>35</v>
      </c>
      <c r="C36" s="10">
        <v>6282000</v>
      </c>
      <c r="D36" s="10">
        <v>6323000</v>
      </c>
      <c r="E36" s="10">
        <v>7246000</v>
      </c>
      <c r="F36" s="10">
        <v>10508000</v>
      </c>
    </row>
    <row r="37" spans="2:6" x14ac:dyDescent="0.3">
      <c r="B37" t="s">
        <v>36</v>
      </c>
      <c r="C37" s="10">
        <v>2172000</v>
      </c>
      <c r="D37" s="10">
        <v>1653000</v>
      </c>
      <c r="E37" s="10">
        <v>1458000</v>
      </c>
      <c r="F37" s="10">
        <v>1882000</v>
      </c>
    </row>
    <row r="38" spans="2:6" x14ac:dyDescent="0.3">
      <c r="B38" t="s">
        <v>37</v>
      </c>
      <c r="C38" s="10">
        <v>3461000</v>
      </c>
      <c r="D38" s="10">
        <v>4037000</v>
      </c>
      <c r="E38" s="10">
        <v>6311000</v>
      </c>
      <c r="F38" s="10">
        <v>7729000</v>
      </c>
    </row>
    <row r="39" spans="2:6" x14ac:dyDescent="0.3">
      <c r="B39" t="s">
        <v>38</v>
      </c>
      <c r="C39" s="10">
        <v>1196000</v>
      </c>
      <c r="D39" s="10">
        <v>1351000</v>
      </c>
      <c r="E39" s="10">
        <v>1591000</v>
      </c>
      <c r="F39" s="10">
        <v>1803000</v>
      </c>
    </row>
    <row r="40" spans="2:6" x14ac:dyDescent="0.3">
      <c r="B40" t="s">
        <v>39</v>
      </c>
      <c r="C40" s="10">
        <v>32957000</v>
      </c>
      <c r="D40" s="10">
        <v>35594000</v>
      </c>
      <c r="E40" s="10">
        <v>41240000</v>
      </c>
      <c r="F40" s="10">
        <v>49014000</v>
      </c>
    </row>
    <row r="41" spans="2:6" x14ac:dyDescent="0.3">
      <c r="B41" t="s">
        <v>40</v>
      </c>
    </row>
    <row r="42" spans="2:6" x14ac:dyDescent="0.3">
      <c r="B42" t="s">
        <v>41</v>
      </c>
      <c r="C42" s="10">
        <v>2416000</v>
      </c>
      <c r="D42" s="10">
        <v>3301000</v>
      </c>
      <c r="E42" s="10">
        <v>4281000</v>
      </c>
      <c r="F42" s="10">
        <v>5282000</v>
      </c>
    </row>
    <row r="43" spans="2:6" x14ac:dyDescent="0.3">
      <c r="B43" t="s">
        <v>42</v>
      </c>
      <c r="C43" s="10">
        <v>2496000</v>
      </c>
      <c r="D43" s="10">
        <v>500000</v>
      </c>
      <c r="E43" s="10">
        <v>2044000</v>
      </c>
      <c r="F43" s="10">
        <v>1945000</v>
      </c>
    </row>
    <row r="44" spans="2:6" x14ac:dyDescent="0.3">
      <c r="B44" t="s">
        <v>43</v>
      </c>
      <c r="C44" s="10">
        <v>4023000</v>
      </c>
      <c r="D44" s="10">
        <v>4871000</v>
      </c>
      <c r="E44" s="10">
        <v>5626000</v>
      </c>
      <c r="F44" s="10">
        <v>4639000</v>
      </c>
    </row>
    <row r="45" spans="2:6" x14ac:dyDescent="0.3">
      <c r="B45" t="s">
        <v>44</v>
      </c>
      <c r="C45" s="10">
        <v>8935000</v>
      </c>
      <c r="D45" s="10">
        <v>8672000</v>
      </c>
      <c r="E45" s="10">
        <v>11951000</v>
      </c>
      <c r="F45" s="10">
        <v>11866000</v>
      </c>
    </row>
    <row r="46" spans="2:6" x14ac:dyDescent="0.3">
      <c r="B46" t="s">
        <v>45</v>
      </c>
      <c r="C46" s="10">
        <v>13437000</v>
      </c>
      <c r="D46" s="10">
        <v>15226000</v>
      </c>
      <c r="E46" s="10">
        <v>13701000</v>
      </c>
      <c r="F46" s="10">
        <v>13537000</v>
      </c>
    </row>
    <row r="47" spans="2:6" x14ac:dyDescent="0.3">
      <c r="B47" t="s">
        <v>46</v>
      </c>
      <c r="C47" s="10">
        <v>4516000</v>
      </c>
      <c r="D47" s="10">
        <v>4858000</v>
      </c>
      <c r="E47" s="10">
        <v>5274000</v>
      </c>
      <c r="F47" s="10">
        <v>5454000</v>
      </c>
    </row>
    <row r="48" spans="2:6" x14ac:dyDescent="0.3">
      <c r="B48" t="s">
        <v>47</v>
      </c>
      <c r="C48" s="10">
        <v>1160000</v>
      </c>
      <c r="D48" s="10">
        <v>761000</v>
      </c>
      <c r="E48" s="10">
        <v>364000</v>
      </c>
      <c r="F48" s="10">
        <v>144000</v>
      </c>
    </row>
    <row r="49" spans="2:9" x14ac:dyDescent="0.3">
      <c r="B49" t="s">
        <v>48</v>
      </c>
      <c r="C49">
        <v>0</v>
      </c>
      <c r="D49">
        <v>0</v>
      </c>
      <c r="E49">
        <v>0</v>
      </c>
      <c r="F49">
        <v>0</v>
      </c>
    </row>
    <row r="50" spans="2:9" x14ac:dyDescent="0.3">
      <c r="B50" t="s">
        <v>20</v>
      </c>
      <c r="C50">
        <v>0</v>
      </c>
      <c r="D50">
        <v>0</v>
      </c>
      <c r="E50">
        <v>0</v>
      </c>
      <c r="F50">
        <v>0</v>
      </c>
    </row>
    <row r="51" spans="2:9" x14ac:dyDescent="0.3">
      <c r="B51" t="s">
        <v>49</v>
      </c>
      <c r="C51" s="10">
        <v>28048000</v>
      </c>
      <c r="D51" s="10">
        <v>29517000</v>
      </c>
      <c r="E51" s="10">
        <v>31290000</v>
      </c>
      <c r="F51" s="10">
        <v>31001000</v>
      </c>
    </row>
    <row r="52" spans="2:9" x14ac:dyDescent="0.3">
      <c r="B52" t="s">
        <v>50</v>
      </c>
    </row>
    <row r="53" spans="2:9" x14ac:dyDescent="0.3">
      <c r="B53" t="s">
        <v>51</v>
      </c>
      <c r="C53" s="10">
        <v>343000</v>
      </c>
      <c r="D53" s="10">
        <v>586000</v>
      </c>
      <c r="E53">
        <v>0</v>
      </c>
      <c r="F53" s="10">
        <v>195000</v>
      </c>
      <c r="I53" s="21"/>
    </row>
    <row r="54" spans="2:9" x14ac:dyDescent="0.3">
      <c r="B54" t="s">
        <v>52</v>
      </c>
      <c r="C54" s="10">
        <v>4466000</v>
      </c>
      <c r="D54" s="10">
        <v>5284000</v>
      </c>
      <c r="E54" s="10">
        <v>9822000</v>
      </c>
      <c r="F54" s="10">
        <v>17840000</v>
      </c>
    </row>
    <row r="55" spans="2:9" x14ac:dyDescent="0.3">
      <c r="B55" t="s">
        <v>53</v>
      </c>
      <c r="C55">
        <v>0</v>
      </c>
      <c r="D55">
        <v>0</v>
      </c>
      <c r="E55">
        <v>0</v>
      </c>
      <c r="F55">
        <v>0</v>
      </c>
    </row>
    <row r="56" spans="2:9" x14ac:dyDescent="0.3">
      <c r="B56" t="s">
        <v>54</v>
      </c>
      <c r="C56">
        <v>0</v>
      </c>
      <c r="D56">
        <v>0</v>
      </c>
      <c r="E56">
        <v>0</v>
      </c>
      <c r="F56">
        <v>0</v>
      </c>
    </row>
    <row r="57" spans="2:9" x14ac:dyDescent="0.3">
      <c r="B57" t="s">
        <v>55</v>
      </c>
      <c r="C57" s="10">
        <v>100000</v>
      </c>
      <c r="D57" s="10">
        <v>207000</v>
      </c>
      <c r="E57" s="10">
        <v>128000</v>
      </c>
      <c r="F57" s="10">
        <v>-22000</v>
      </c>
    </row>
    <row r="58" spans="2:9" x14ac:dyDescent="0.3">
      <c r="B58" t="s">
        <v>56</v>
      </c>
      <c r="C58" s="10">
        <v>4909000</v>
      </c>
      <c r="D58" s="10">
        <v>6077000</v>
      </c>
      <c r="E58" s="10">
        <v>9950000</v>
      </c>
      <c r="F58" s="10">
        <v>18013000</v>
      </c>
    </row>
    <row r="59" spans="2:9" x14ac:dyDescent="0.3">
      <c r="B59" t="s">
        <v>57</v>
      </c>
      <c r="C59" s="10">
        <v>32957000</v>
      </c>
      <c r="D59" s="10">
        <v>35594000</v>
      </c>
      <c r="E59" s="10">
        <v>41240000</v>
      </c>
      <c r="F59" s="10">
        <v>49014000</v>
      </c>
    </row>
    <row r="60" spans="2:9" x14ac:dyDescent="0.3">
      <c r="C60" s="18"/>
      <c r="D60" s="18"/>
      <c r="E60" s="18"/>
      <c r="F60" s="18"/>
    </row>
    <row r="61" spans="2:9" ht="18" x14ac:dyDescent="0.35">
      <c r="B61" s="2" t="s">
        <v>115</v>
      </c>
      <c r="C61" s="18"/>
      <c r="D61" s="18"/>
      <c r="E61" s="18"/>
      <c r="F61" s="18"/>
    </row>
    <row r="62" spans="2:9" x14ac:dyDescent="0.3">
      <c r="B62" t="s">
        <v>0</v>
      </c>
      <c r="C62" s="18" t="s">
        <v>102</v>
      </c>
      <c r="D62" s="18" t="s">
        <v>101</v>
      </c>
      <c r="E62" s="18" t="s">
        <v>100</v>
      </c>
      <c r="F62" s="18" t="s">
        <v>99</v>
      </c>
    </row>
    <row r="63" spans="2:9" x14ac:dyDescent="0.3">
      <c r="B63" t="s">
        <v>23</v>
      </c>
      <c r="C63" s="19">
        <v>4386000</v>
      </c>
      <c r="D63" s="19">
        <v>5198000</v>
      </c>
      <c r="E63" s="19">
        <v>9043000</v>
      </c>
      <c r="F63" s="19">
        <v>12936000</v>
      </c>
    </row>
    <row r="64" spans="2:9" x14ac:dyDescent="0.3">
      <c r="B64" t="s">
        <v>72</v>
      </c>
      <c r="C64" s="19"/>
      <c r="D64" s="19"/>
      <c r="E64" s="19"/>
      <c r="F64" s="19"/>
    </row>
    <row r="65" spans="2:6" x14ac:dyDescent="0.3">
      <c r="B65" t="s">
        <v>73</v>
      </c>
      <c r="C65" s="19">
        <v>1401000</v>
      </c>
      <c r="D65" s="19">
        <v>1393000</v>
      </c>
      <c r="E65" s="19">
        <v>1582000</v>
      </c>
      <c r="F65" s="19">
        <v>1762000</v>
      </c>
    </row>
    <row r="66" spans="2:6" x14ac:dyDescent="0.3">
      <c r="B66" t="s">
        <v>74</v>
      </c>
      <c r="C66" s="19">
        <v>2723000</v>
      </c>
      <c r="D66" s="19">
        <v>830000</v>
      </c>
      <c r="E66" s="19">
        <v>372000</v>
      </c>
      <c r="F66" s="19">
        <v>2318000</v>
      </c>
    </row>
    <row r="67" spans="2:6" x14ac:dyDescent="0.3">
      <c r="B67" t="s">
        <v>75</v>
      </c>
      <c r="C67" s="19"/>
      <c r="D67" s="19"/>
      <c r="E67" s="19"/>
      <c r="F67" s="19"/>
    </row>
    <row r="68" spans="2:6" x14ac:dyDescent="0.3">
      <c r="B68" t="s">
        <v>76</v>
      </c>
      <c r="C68" s="19">
        <v>1373000</v>
      </c>
      <c r="D68" s="19">
        <v>-1529000</v>
      </c>
      <c r="E68" s="19">
        <v>426000</v>
      </c>
      <c r="F68" s="19">
        <v>-2066000</v>
      </c>
    </row>
    <row r="69" spans="2:6" x14ac:dyDescent="0.3">
      <c r="B69" t="s">
        <v>77</v>
      </c>
      <c r="C69" s="19">
        <v>273000</v>
      </c>
      <c r="D69" s="19">
        <v>-1157000</v>
      </c>
      <c r="E69" s="19">
        <v>-622000</v>
      </c>
      <c r="F69" s="19">
        <v>-3137000</v>
      </c>
    </row>
    <row r="70" spans="2:6" x14ac:dyDescent="0.3">
      <c r="B70" t="s">
        <v>78</v>
      </c>
      <c r="C70" s="19">
        <v>78000</v>
      </c>
      <c r="D70" s="19">
        <v>-110000</v>
      </c>
      <c r="E70" s="19">
        <v>-1649000</v>
      </c>
      <c r="F70" s="19">
        <v>-2266000</v>
      </c>
    </row>
    <row r="71" spans="2:6" x14ac:dyDescent="0.3">
      <c r="B71" t="s">
        <v>79</v>
      </c>
      <c r="C71" s="19">
        <v>-2948000</v>
      </c>
      <c r="D71" s="19">
        <v>1189000</v>
      </c>
      <c r="E71" s="19">
        <v>1384000</v>
      </c>
      <c r="F71" s="19">
        <v>-331000</v>
      </c>
    </row>
    <row r="72" spans="2:6" x14ac:dyDescent="0.3">
      <c r="B72" t="s">
        <v>80</v>
      </c>
      <c r="C72" s="19">
        <v>7286000</v>
      </c>
      <c r="D72" s="19">
        <v>5814000</v>
      </c>
      <c r="E72" s="19">
        <v>10536000</v>
      </c>
      <c r="F72" s="19">
        <v>9096000</v>
      </c>
    </row>
    <row r="73" spans="2:6" x14ac:dyDescent="0.3">
      <c r="B73" t="s">
        <v>81</v>
      </c>
      <c r="C73" s="19"/>
      <c r="D73" s="19"/>
      <c r="E73" s="19"/>
      <c r="F73" s="19"/>
    </row>
    <row r="74" spans="2:6" x14ac:dyDescent="0.3">
      <c r="B74" t="s">
        <v>82</v>
      </c>
      <c r="C74" s="19">
        <v>-887000</v>
      </c>
      <c r="D74" s="19">
        <v>-1407000</v>
      </c>
      <c r="E74" s="19">
        <v>-1888000</v>
      </c>
      <c r="F74" s="19">
        <v>-2262000</v>
      </c>
    </row>
    <row r="75" spans="2:6" x14ac:dyDescent="0.3">
      <c r="B75" t="s">
        <v>83</v>
      </c>
      <c r="C75" s="19">
        <v>266000</v>
      </c>
      <c r="D75" s="19">
        <v>-3714000</v>
      </c>
      <c r="E75" s="19">
        <v>-32000</v>
      </c>
      <c r="F75" s="19">
        <v>1340000</v>
      </c>
    </row>
    <row r="76" spans="2:6" x14ac:dyDescent="0.3">
      <c r="B76" t="s">
        <v>84</v>
      </c>
      <c r="C76" s="19">
        <v>-185000</v>
      </c>
      <c r="D76" s="19">
        <v>-142000</v>
      </c>
      <c r="E76" s="19">
        <v>-1436000</v>
      </c>
      <c r="F76" s="19">
        <v>-4882000</v>
      </c>
    </row>
    <row r="77" spans="2:6" x14ac:dyDescent="0.3">
      <c r="B77" t="s">
        <v>85</v>
      </c>
      <c r="C77" s="19">
        <v>-806000</v>
      </c>
      <c r="D77" s="19">
        <v>-5263000</v>
      </c>
      <c r="E77" s="19">
        <v>-3356000</v>
      </c>
      <c r="F77" s="19">
        <v>-5804000</v>
      </c>
    </row>
    <row r="78" spans="2:6" x14ac:dyDescent="0.3">
      <c r="B78" t="s">
        <v>86</v>
      </c>
      <c r="C78" s="19"/>
      <c r="D78" s="19"/>
      <c r="E78" s="19"/>
      <c r="F78" s="19"/>
    </row>
    <row r="79" spans="2:6" x14ac:dyDescent="0.3">
      <c r="B79" t="s">
        <v>87</v>
      </c>
      <c r="C79" s="19">
        <v>-1379000</v>
      </c>
      <c r="D79" s="19">
        <v>-2121000</v>
      </c>
      <c r="E79" s="19">
        <v>-3019000</v>
      </c>
      <c r="F79" s="19">
        <v>-2773000</v>
      </c>
    </row>
    <row r="80" spans="2:6" x14ac:dyDescent="0.3">
      <c r="B80" t="s">
        <v>88</v>
      </c>
      <c r="C80" s="19">
        <v>-503000</v>
      </c>
      <c r="D80" s="19">
        <v>-229000</v>
      </c>
      <c r="E80" s="19">
        <v>1000</v>
      </c>
      <c r="F80" s="19">
        <v>-415000</v>
      </c>
    </row>
    <row r="81" spans="2:6" x14ac:dyDescent="0.3">
      <c r="B81" t="s">
        <v>89</v>
      </c>
      <c r="C81" s="19">
        <v>-1536000</v>
      </c>
      <c r="D81" s="19">
        <v>-475000</v>
      </c>
      <c r="E81" s="19">
        <v>-772000</v>
      </c>
      <c r="F81" s="19">
        <v>-796000</v>
      </c>
    </row>
    <row r="82" spans="2:6" x14ac:dyDescent="0.3">
      <c r="B82" t="s">
        <v>90</v>
      </c>
      <c r="C82" s="19">
        <v>-6386000</v>
      </c>
      <c r="D82" s="19">
        <v>-5707000</v>
      </c>
      <c r="E82" s="19">
        <v>-6798000</v>
      </c>
      <c r="F82" s="19">
        <v>-7196000</v>
      </c>
    </row>
    <row r="83" spans="2:6" x14ac:dyDescent="0.3">
      <c r="B83" t="s">
        <v>91</v>
      </c>
      <c r="C83" s="19">
        <v>-32000</v>
      </c>
      <c r="D83" s="19">
        <v>24000</v>
      </c>
      <c r="E83" s="19">
        <v>27000</v>
      </c>
      <c r="F83" s="19">
        <v>-113000</v>
      </c>
    </row>
    <row r="84" spans="2:6" x14ac:dyDescent="0.3">
      <c r="B84" t="s">
        <v>92</v>
      </c>
      <c r="C84" s="19">
        <v>62000</v>
      </c>
      <c r="D84" s="19">
        <v>-5132000</v>
      </c>
      <c r="E84" s="19">
        <v>409000</v>
      </c>
      <c r="F84" s="19">
        <v>-4017000</v>
      </c>
    </row>
  </sheetData>
  <sheetProtection sheet="1" objects="1" scenarios="1"/>
  <customSheetViews>
    <customSheetView guid="{157A7F57-E932-4D71-AAC5-1BA0DA6A9C96}" showGridLines="0" topLeftCell="A46">
      <selection activeCell="I17" sqref="I17"/>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NVIDIA Financials</vt:lpstr>
      <vt:lpstr>Analysis-NVIDIA</vt:lpstr>
      <vt:lpstr>Enphase Energy- Financials</vt:lpstr>
      <vt:lpstr>Analysis -Enphase Energy</vt:lpstr>
      <vt:lpstr>AMD Financials</vt:lpstr>
      <vt:lpstr>Analysis-AMD</vt:lpstr>
      <vt:lpstr>Adobe Financials</vt:lpstr>
      <vt:lpstr>Analysis- Adobe</vt:lpstr>
      <vt:lpstr>Qualcomm- Financials</vt:lpstr>
      <vt:lpstr>Analysis- Qualcomm</vt:lpstr>
      <vt:lpstr>Tesla Financials</vt:lpstr>
      <vt:lpstr>Analysis- Tesla</vt:lpstr>
      <vt:lpstr>ANSYS- Financials</vt:lpstr>
      <vt:lpstr>Analysis- ANSYS</vt:lpstr>
      <vt:lpstr>Lockheed Matin- Financials</vt:lpstr>
      <vt:lpstr>Analysis- LMT</vt:lpstr>
      <vt:lpstr>Raytheon Tech's - Financials</vt:lpstr>
      <vt:lpstr>Analysis- Raytheon</vt:lpstr>
      <vt:lpstr>Exxon Mobil- Financials</vt:lpstr>
      <vt:lpstr>Analysis- ExxonMobil</vt:lpstr>
      <vt:lpstr>PayPal- Financials</vt:lpstr>
      <vt:lpstr>Analysis- Paypal</vt:lpstr>
      <vt:lpstr>SalesForce-Finacials</vt:lpstr>
      <vt:lpstr>Analysis-SalesForce</vt:lpstr>
      <vt:lpstr>Microsoft-Financials</vt:lpstr>
      <vt:lpstr>Analysis- Microsoft</vt:lpstr>
      <vt:lpstr>Broadcomm-Financials</vt:lpstr>
      <vt:lpstr>Analysis- Broadcomm</vt:lpstr>
      <vt:lpstr>Amgen Financials</vt:lpstr>
      <vt:lpstr>Analysis- Amgen</vt:lpstr>
      <vt:lpstr>Spare Sheet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SHOUHAM. B.BANERJEE</dc:creator>
  <cp:lastModifiedBy>SHOUHAM. B.BANERJEE</cp:lastModifiedBy>
  <dcterms:created xsi:type="dcterms:W3CDTF">2023-07-03T03:55:50Z</dcterms:created>
  <dcterms:modified xsi:type="dcterms:W3CDTF">2023-07-12T04:23:47Z</dcterms:modified>
</cp:coreProperties>
</file>