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C6723389-45BC-4CE8-9389-61130120EB07}" xr6:coauthVersionLast="47" xr6:coauthVersionMax="47" xr10:uidLastSave="{00000000-0000-0000-0000-000000000000}"/>
  <bookViews>
    <workbookView xWindow="-120" yWindow="-120" windowWidth="29040" windowHeight="15720" tabRatio="724" firstSheet="139" activeTab="145" xr2:uid="{EC8B7D40-BB3A-4DFE-BC3B-C14200B0D637}"/>
  </bookViews>
  <sheets>
    <sheet name="Hoja1" sheetId="1" r:id="rId1"/>
    <sheet name="STOCK 16 a 21" sheetId="2" r:id="rId2"/>
    <sheet name="STOCK 22 a 28" sheetId="3" r:id="rId3"/>
    <sheet name="STOCK 29 a 04" sheetId="4" r:id="rId4"/>
    <sheet name="STOCK 05 a 11" sheetId="5" r:id="rId5"/>
    <sheet name="STOCK 12 a 18" sheetId="6" r:id="rId6"/>
    <sheet name="STOCK 19 a 25" sheetId="7" r:id="rId7"/>
    <sheet name="STOCK 26 a 02" sheetId="8" r:id="rId8"/>
    <sheet name="STOCK 03 a 09" sheetId="9" r:id="rId9"/>
    <sheet name="STOCK 10 a 16" sheetId="10" r:id="rId10"/>
    <sheet name="STOCK 17 a 23" sheetId="11" r:id="rId11"/>
    <sheet name="STOCK 24 a 30" sheetId="12" r:id="rId12"/>
    <sheet name="STOCK 31 a 06" sheetId="13" r:id="rId13"/>
    <sheet name="STOCK 07 a 13" sheetId="15" r:id="rId14"/>
    <sheet name="STOCK 14 a 20" sheetId="16" r:id="rId15"/>
    <sheet name="STOCK 21 a 27" sheetId="17" r:id="rId16"/>
    <sheet name="STOCK 28 a 03" sheetId="18" r:id="rId17"/>
    <sheet name="STOCK 04 a 10" sheetId="19" r:id="rId18"/>
    <sheet name="STOCK 11 a 17" sheetId="20" r:id="rId19"/>
    <sheet name="STOCK 18 a 24" sheetId="22" r:id="rId20"/>
    <sheet name="STOCK 25 a 02" sheetId="23" r:id="rId21"/>
    <sheet name="STOCK 03 a 009" sheetId="24" r:id="rId22"/>
    <sheet name="STOCK 10 a 016" sheetId="25" r:id="rId23"/>
    <sheet name="STOCK 17 a 023" sheetId="26" r:id="rId24"/>
    <sheet name="STOCK 24 a 030" sheetId="27" r:id="rId25"/>
    <sheet name="STOCK 31 a 006" sheetId="28" r:id="rId26"/>
    <sheet name="STOCK 007 a 13" sheetId="29" r:id="rId27"/>
    <sheet name="STOCK 014 a 20" sheetId="30" r:id="rId28"/>
    <sheet name="STOCK 022 a 27" sheetId="31" r:id="rId29"/>
    <sheet name="STOCK 28 a 04" sheetId="32" r:id="rId30"/>
    <sheet name="STOCK 05 a 011" sheetId="33" r:id="rId31"/>
    <sheet name="STOCK 12 a 018" sheetId="34" r:id="rId32"/>
    <sheet name="STOCK 19 a 025" sheetId="35" r:id="rId33"/>
    <sheet name="STOCK 26 a 01" sheetId="36" r:id="rId34"/>
    <sheet name="STOCK 02 a 08" sheetId="37" r:id="rId35"/>
    <sheet name="STOCK 09 a 15" sheetId="38" r:id="rId36"/>
    <sheet name="STOCK 16 a 22" sheetId="39" r:id="rId37"/>
    <sheet name="STOCK 23 a 29" sheetId="40" r:id="rId38"/>
    <sheet name="STOCK 30 a 06" sheetId="42" r:id="rId39"/>
    <sheet name="STOCK  07 a 13" sheetId="43" r:id="rId40"/>
    <sheet name="STOCK  14 a 20" sheetId="44" r:id="rId41"/>
    <sheet name="STOCK  21 a 27" sheetId="45" r:id="rId42"/>
    <sheet name="STOCK  23 a 27" sheetId="46" r:id="rId43"/>
    <sheet name="STOCK  28 a 03" sheetId="47" r:id="rId44"/>
    <sheet name="STOCK  04 a 10" sheetId="48" r:id="rId45"/>
    <sheet name="STOCK  11 a 17" sheetId="49" r:id="rId46"/>
    <sheet name="STOCK  18 a 24 " sheetId="50" r:id="rId47"/>
    <sheet name="STOCK  25 a 31" sheetId="51" r:id="rId48"/>
    <sheet name="STOCK  01 a 07" sheetId="52" r:id="rId49"/>
    <sheet name="STOCK  08 a 14" sheetId="53" r:id="rId50"/>
    <sheet name="STOCK  15 a 21" sheetId="54" r:id="rId51"/>
    <sheet name="STOCK 22 a  28" sheetId="56" r:id="rId52"/>
    <sheet name="STOCK 29 a  05" sheetId="57" r:id="rId53"/>
    <sheet name="STOCK 06 a  12" sheetId="58" r:id="rId54"/>
    <sheet name="STOCK 13 a  19" sheetId="60" r:id="rId55"/>
    <sheet name="STOCK 20 a  26" sheetId="62" r:id="rId56"/>
    <sheet name="STOCK 27 a  02" sheetId="63" r:id="rId57"/>
    <sheet name="STOCK 03 a  09" sheetId="64" r:id="rId58"/>
    <sheet name="STOCK 10 a  16" sheetId="65" r:id="rId59"/>
    <sheet name="STOCK 17 a  23" sheetId="66" r:id="rId60"/>
    <sheet name="STOCK 24 a  30" sheetId="67" r:id="rId61"/>
    <sheet name="STOCK 01 a  07" sheetId="68" r:id="rId62"/>
    <sheet name="STOCK 08 a  14" sheetId="69" r:id="rId63"/>
    <sheet name="STOCK 15 a  21" sheetId="70" r:id="rId64"/>
    <sheet name="STOCK 21 a  28" sheetId="72" r:id="rId65"/>
    <sheet name="STOCK 29 a  04" sheetId="73" r:id="rId66"/>
    <sheet name="STOCK 05 a  11" sheetId="74" r:id="rId67"/>
    <sheet name="STOCK 12 a  18" sheetId="75" r:id="rId68"/>
    <sheet name="STOCK 19a25" sheetId="76" r:id="rId69"/>
    <sheet name="STOCK 26a01" sheetId="77" r:id="rId70"/>
    <sheet name="STOCK 02a08" sheetId="79" r:id="rId71"/>
    <sheet name="STOCK 09a15-02" sheetId="80" r:id="rId72"/>
    <sheet name="STOCK 16a22-02" sheetId="81" r:id="rId73"/>
    <sheet name="STOCK 23a01-03" sheetId="82" r:id="rId74"/>
    <sheet name="STOCK 02a08-03" sheetId="83" r:id="rId75"/>
    <sheet name="STOCK 09a15-03" sheetId="84" r:id="rId76"/>
    <sheet name="STOCK 16a22-03" sheetId="85" r:id="rId77"/>
    <sheet name="STOCK 23a29-03" sheetId="86" r:id="rId78"/>
    <sheet name="STOCK 31a05-04" sheetId="87" r:id="rId79"/>
    <sheet name="STOCK 06a12-04" sheetId="88" r:id="rId80"/>
    <sheet name="STOCK 13a19-04" sheetId="89" r:id="rId81"/>
    <sheet name="STOCK 20a26-04" sheetId="90" r:id="rId82"/>
    <sheet name="STOCK 27a03-05" sheetId="91" r:id="rId83"/>
    <sheet name="STOCK 04a10-05" sheetId="92" r:id="rId84"/>
    <sheet name="STOCK 11a17-05" sheetId="93" r:id="rId85"/>
    <sheet name="STOCK 18a24-05" sheetId="94" r:id="rId86"/>
    <sheet name="STOCK 25a31-05" sheetId="95" r:id="rId87"/>
    <sheet name="STOCK 01-07-06" sheetId="96" r:id="rId88"/>
    <sheet name="STOCK 08-14-06" sheetId="97" r:id="rId89"/>
    <sheet name="STOCK 15-21-06" sheetId="98" r:id="rId90"/>
    <sheet name="STOCK 22-28-06" sheetId="99" r:id="rId91"/>
    <sheet name="STOCK 29-05-07" sheetId="100" r:id="rId92"/>
    <sheet name="STOCK 06-12-07 " sheetId="102" r:id="rId93"/>
    <sheet name="STOCK 13-19-07" sheetId="103" r:id="rId94"/>
    <sheet name="STOCK 20-26-07" sheetId="104" r:id="rId95"/>
    <sheet name="STOCK 27-02-08" sheetId="105" r:id="rId96"/>
    <sheet name="STOCK 03-09-08" sheetId="106" r:id="rId97"/>
    <sheet name="STOCK 10-16-08" sheetId="107" r:id="rId98"/>
    <sheet name="STOCK 17-23-08" sheetId="108" r:id="rId99"/>
    <sheet name="STOCK 24-30-08" sheetId="109" r:id="rId100"/>
    <sheet name="STOCK 31-06-09" sheetId="110" r:id="rId101"/>
    <sheet name="STOCK 07-13-09" sheetId="111" r:id="rId102"/>
    <sheet name="STOCK 14-20-09" sheetId="112" r:id="rId103"/>
    <sheet name="STOCK 21-27-09" sheetId="113" r:id="rId104"/>
    <sheet name="STOCK 28-04-10" sheetId="114" r:id="rId105"/>
    <sheet name="STOCK 05-11-10" sheetId="115" r:id="rId106"/>
    <sheet name="STOCK 12-18-10" sheetId="116" r:id="rId107"/>
    <sheet name="STOCK 19-25-10" sheetId="117" r:id="rId108"/>
    <sheet name="STOCK 26-01-11" sheetId="118" r:id="rId109"/>
    <sheet name="STOCK 02-08-11" sheetId="119" r:id="rId110"/>
    <sheet name="STOCK 09-15-11" sheetId="120" r:id="rId111"/>
    <sheet name="STOCK 16-22-11" sheetId="121" r:id="rId112"/>
    <sheet name="STOCK 23-29-11" sheetId="122" r:id="rId113"/>
    <sheet name="STOCK 01-06-11" sheetId="123" r:id="rId114"/>
    <sheet name="STOCK 07-13-12" sheetId="124" r:id="rId115"/>
    <sheet name="STOCK 14-20-12" sheetId="125" r:id="rId116"/>
    <sheet name="STOCK 21-27-12" sheetId="126" r:id="rId117"/>
    <sheet name="STOCK 28-03-01" sheetId="127" r:id="rId118"/>
    <sheet name="STOCK 04-10-01" sheetId="128" r:id="rId119"/>
    <sheet name="STOCK 11-17-01" sheetId="129" r:id="rId120"/>
    <sheet name="STOCK 18-24-01" sheetId="130" r:id="rId121"/>
    <sheet name="STOCK 25-31-01" sheetId="131" r:id="rId122"/>
    <sheet name="STOCK 01-07-02" sheetId="132" r:id="rId123"/>
    <sheet name="STOCK 08-14-02" sheetId="133" r:id="rId124"/>
    <sheet name="STOCK 15-21-02" sheetId="134" r:id="rId125"/>
    <sheet name="STOCK 23-28-02 (2)" sheetId="135" r:id="rId126"/>
    <sheet name="STOCK 01-07-03 (3)" sheetId="136" r:id="rId127"/>
    <sheet name="STOCK 09-14-03 (4)" sheetId="137" r:id="rId128"/>
    <sheet name="STOCK 16-21-03 (5)" sheetId="139" r:id="rId129"/>
    <sheet name="STOCK 23-28-03 (6)" sheetId="140" r:id="rId130"/>
    <sheet name="STOCK 30-04-04 (7)" sheetId="141" r:id="rId131"/>
    <sheet name="STOCK 06-11-04 (8)" sheetId="142" r:id="rId132"/>
    <sheet name="STOCK 13-18-04 (9)" sheetId="143" r:id="rId133"/>
    <sheet name="STOCK 20-25-04 (10)" sheetId="145" r:id="rId134"/>
    <sheet name="STOCK 27-2-05 (11)" sheetId="146" r:id="rId135"/>
    <sheet name="STOCK 04-09-05 (12)" sheetId="147" r:id="rId136"/>
    <sheet name="STOCK 11-16-05 (13)" sheetId="148" r:id="rId137"/>
    <sheet name="STOCK 18-23-05 (14)" sheetId="149" r:id="rId138"/>
    <sheet name="STOCK 25-30-05 (15)" sheetId="150" r:id="rId139"/>
    <sheet name="MAYO " sheetId="138" r:id="rId140"/>
    <sheet name="STOCK 01-06-06 (16)" sheetId="152" r:id="rId141"/>
    <sheet name="STOCK 08-13-06 (17)" sheetId="153" r:id="rId142"/>
    <sheet name="STOCK 15-20-06 (18)" sheetId="154" r:id="rId143"/>
    <sheet name="STOCK 22-25-06 (19)" sheetId="155" r:id="rId144"/>
    <sheet name="STOCK 29-04-07(20)" sheetId="156" r:id="rId145"/>
    <sheet name="JUNIO" sheetId="151" r:id="rId146"/>
  </sheets>
  <definedNames>
    <definedName name="_xlnm.Print_Area" localSheetId="0">Hoja1!$A$1:$V$65</definedName>
    <definedName name="_xlnm.Print_Area" localSheetId="48">'STOCK  01 a 07'!$A$1:$AA$28</definedName>
    <definedName name="_xlnm.Print_Area" localSheetId="44">'STOCK  04 a 10'!$A$1:$Z$30</definedName>
    <definedName name="_xlnm.Print_Area" localSheetId="39">'STOCK  07 a 13'!$A$1:$Z$31</definedName>
    <definedName name="_xlnm.Print_Area" localSheetId="49">'STOCK  08 a 14'!$A$1:$AA$29</definedName>
    <definedName name="_xlnm.Print_Area" localSheetId="45">'STOCK  11 a 17'!$A$1:$Z$27</definedName>
    <definedName name="_xlnm.Print_Area" localSheetId="40">'STOCK  14 a 20'!$A$1:$Z$31</definedName>
    <definedName name="_xlnm.Print_Area" localSheetId="50">'STOCK  15 a 21'!$A$1:$AA$28</definedName>
    <definedName name="_xlnm.Print_Area" localSheetId="46">'STOCK  18 a 24 '!$A$1:$Z$27</definedName>
    <definedName name="_xlnm.Print_Area" localSheetId="41">'STOCK  21 a 27'!$A$1:$Z$35</definedName>
    <definedName name="_xlnm.Print_Area" localSheetId="42">'STOCK  23 a 27'!$A$1:$Z$30</definedName>
    <definedName name="_xlnm.Print_Area" localSheetId="47">'STOCK  25 a 31'!$A$1:$Z$28</definedName>
    <definedName name="_xlnm.Print_Area" localSheetId="43">'STOCK  28 a 03'!$A$1:$Z$30</definedName>
    <definedName name="_xlnm.Print_Area" localSheetId="26">'STOCK 007 a 13'!$A$1:$Y$29</definedName>
    <definedName name="_xlnm.Print_Area" localSheetId="61">'STOCK 01 a  07'!$A$1:$AB$34</definedName>
    <definedName name="_xlnm.Print_Area" localSheetId="140">'STOCK 01-06-06 (16)'!$A$1:$AE$39</definedName>
    <definedName name="_xlnm.Print_Area" localSheetId="113">'STOCK 01-06-11'!$A$1:$AB$32</definedName>
    <definedName name="_xlnm.Print_Area" localSheetId="122">'STOCK 01-07-02'!$A$1:$AB$27</definedName>
    <definedName name="_xlnm.Print_Area" localSheetId="126">'STOCK 01-07-03 (3)'!$A$1:$AD$68</definedName>
    <definedName name="_xlnm.Print_Area" localSheetId="87">'STOCK 01-07-06'!$A$1:$AB$29</definedName>
    <definedName name="_xlnm.Print_Area" localSheetId="27">'STOCK 014 a 20'!$A$1:$Y$29</definedName>
    <definedName name="_xlnm.Print_Area" localSheetId="34">'STOCK 02 a 08'!$A$1:$Z$30</definedName>
    <definedName name="_xlnm.Print_Area" localSheetId="109">'STOCK 02-08-11'!$A$1:$AB$29</definedName>
    <definedName name="_xlnm.Print_Area" localSheetId="28">'STOCK 022 a 27'!$A$1:$Y$31</definedName>
    <definedName name="_xlnm.Print_Area" localSheetId="70">'STOCK 02a08'!$A$1:$AB$29</definedName>
    <definedName name="_xlnm.Print_Area" localSheetId="74">'STOCK 02a08-03'!$A$1:$AB$33</definedName>
    <definedName name="_xlnm.Print_Area" localSheetId="57">'STOCK 03 a  09'!$A$1:$AA$34</definedName>
    <definedName name="_xlnm.Print_Area" localSheetId="21">'STOCK 03 a 009'!$A$1:$Y$27</definedName>
    <definedName name="_xlnm.Print_Area" localSheetId="8">'STOCK 03 a 09'!$A$1:$X$23</definedName>
    <definedName name="_xlnm.Print_Area" localSheetId="96">'STOCK 03-09-08'!$A$1:$AB$27</definedName>
    <definedName name="_xlnm.Print_Area" localSheetId="17">'STOCK 04 a 10'!$A$1:$Y$36</definedName>
    <definedName name="_xlnm.Print_Area" localSheetId="135">'STOCK 04-09-05 (12)'!$A$1:$AE$54</definedName>
    <definedName name="_xlnm.Print_Area" localSheetId="118">'STOCK 04-10-01'!$A$1:$AB$26</definedName>
    <definedName name="_xlnm.Print_Area" localSheetId="83">'STOCK 04a10-05'!$A$1:$AB$32</definedName>
    <definedName name="_xlnm.Print_Area" localSheetId="66">'STOCK 05 a  11'!$A$1:$AB$28</definedName>
    <definedName name="_xlnm.Print_Area" localSheetId="30">'STOCK 05 a 011'!$A$1:$Y$39</definedName>
    <definedName name="_xlnm.Print_Area" localSheetId="4">'STOCK 05 a 11'!$A$1:$X$26</definedName>
    <definedName name="_xlnm.Print_Area" localSheetId="105">'STOCK 05-11-10'!$A$1:$AB$30</definedName>
    <definedName name="_xlnm.Print_Area" localSheetId="53">'STOCK 06 a  12'!$A$1:$AA$29</definedName>
    <definedName name="_xlnm.Print_Area" localSheetId="131">'STOCK 06-11-04 (8)'!$A$1:$AD$44</definedName>
    <definedName name="_xlnm.Print_Area" localSheetId="92">'STOCK 06-12-07 '!$A$1:$AB$29</definedName>
    <definedName name="_xlnm.Print_Area" localSheetId="79">'STOCK 06a12-04'!$A$1:$AB$28</definedName>
    <definedName name="_xlnm.Print_Area" localSheetId="13">'STOCK 07 a 13'!$A$1:$X$26</definedName>
    <definedName name="_xlnm.Print_Area" localSheetId="101">'STOCK 07-13-09'!$A$1:$AB$33</definedName>
    <definedName name="_xlnm.Print_Area" localSheetId="114">'STOCK 07-13-12'!$A$1:$AB$30</definedName>
    <definedName name="_xlnm.Print_Area" localSheetId="62">'STOCK 08 a  14'!$A$1:$AB$28</definedName>
    <definedName name="_xlnm.Print_Area" localSheetId="141">'STOCK 08-13-06 (17)'!$A$1:$AE$43</definedName>
    <definedName name="_xlnm.Print_Area" localSheetId="123">'STOCK 08-14-02'!$A$1:$AB$28</definedName>
    <definedName name="_xlnm.Print_Area" localSheetId="88">'STOCK 08-14-06'!$A$1:$AB$29</definedName>
    <definedName name="_xlnm.Print_Area" localSheetId="35">'STOCK 09 a 15'!$A$1:$Z$30</definedName>
    <definedName name="_xlnm.Print_Area" localSheetId="127">'STOCK 09-14-03 (4)'!$A$1:$AC$86</definedName>
    <definedName name="_xlnm.Print_Area" localSheetId="110">'STOCK 09-15-11'!$A$1:$AB$29</definedName>
    <definedName name="_xlnm.Print_Area" localSheetId="71">'STOCK 09a15-02'!$A$1:$AB$31</definedName>
    <definedName name="_xlnm.Print_Area" localSheetId="75">'STOCK 09a15-03'!$A$1:$AB$33</definedName>
    <definedName name="_xlnm.Print_Area" localSheetId="58">'STOCK 10 a  16'!$A$1:$AA$30</definedName>
    <definedName name="_xlnm.Print_Area" localSheetId="22">'STOCK 10 a 016'!$A$1:$Y$37</definedName>
    <definedName name="_xlnm.Print_Area" localSheetId="9">'STOCK 10 a 16'!$A$1:$X$23</definedName>
    <definedName name="_xlnm.Print_Area" localSheetId="97">'STOCK 10-16-08'!$A$1:$AB$27</definedName>
    <definedName name="_xlnm.Print_Area" localSheetId="18">'STOCK 11 a 17'!$A$1:$Y$31</definedName>
    <definedName name="_xlnm.Print_Area" localSheetId="136">'STOCK 11-16-05 (13)'!$A$1:$AE$59</definedName>
    <definedName name="_xlnm.Print_Area" localSheetId="119">'STOCK 11-17-01'!$A$1:$AB$24</definedName>
    <definedName name="_xlnm.Print_Area" localSheetId="84">'STOCK 11a17-05'!$A$1:$AB$27</definedName>
    <definedName name="_xlnm.Print_Area" localSheetId="67">'STOCK 12 a  18'!$A$1:$AB$29</definedName>
    <definedName name="_xlnm.Print_Area" localSheetId="31">'STOCK 12 a 018'!$A$1:$Z$30</definedName>
    <definedName name="_xlnm.Print_Area" localSheetId="5">'STOCK 12 a 18'!$A$1:$X$24</definedName>
    <definedName name="_xlnm.Print_Area" localSheetId="106">'STOCK 12-18-10'!$A$1:$AB$28</definedName>
    <definedName name="_xlnm.Print_Area" localSheetId="54">'STOCK 13 a  19'!$A$1:$AA$29</definedName>
    <definedName name="_xlnm.Print_Area" localSheetId="132">'STOCK 13-18-04 (9)'!$A$1:$AD$44</definedName>
    <definedName name="_xlnm.Print_Area" localSheetId="93">'STOCK 13-19-07'!$A$1:$AB$30</definedName>
    <definedName name="_xlnm.Print_Area" localSheetId="80">'STOCK 13a19-04'!$A$1:$AB$30</definedName>
    <definedName name="_xlnm.Print_Area" localSheetId="14">'STOCK 14 a 20'!$A$1:$X$28</definedName>
    <definedName name="_xlnm.Print_Area" localSheetId="102">'STOCK 14-20-09'!$A$1:$AB$28</definedName>
    <definedName name="_xlnm.Print_Area" localSheetId="115">'STOCK 14-20-12'!$A$1:$AB$26</definedName>
    <definedName name="_xlnm.Print_Area" localSheetId="63">'STOCK 15 a  21'!$A$1:$AB$36</definedName>
    <definedName name="_xlnm.Print_Area" localSheetId="142">'STOCK 15-20-06 (18)'!$A$1:$AE$55</definedName>
    <definedName name="_xlnm.Print_Area" localSheetId="124">'STOCK 15-21-02'!$A$1:$AB$29</definedName>
    <definedName name="_xlnm.Print_Area" localSheetId="89">'STOCK 15-21-06'!$A$1:$AB$29</definedName>
    <definedName name="_xlnm.Print_Area" localSheetId="1">'STOCK 16 a 21'!$A$1:$W$25</definedName>
    <definedName name="_xlnm.Print_Area" localSheetId="36">'STOCK 16 a 22'!$A$1:$Z$31</definedName>
    <definedName name="_xlnm.Print_Area" localSheetId="128">'STOCK 16-21-03 (5)'!$A$1:$AC$68</definedName>
    <definedName name="_xlnm.Print_Area" localSheetId="111">'STOCK 16-22-11'!$A$1:$AB$29</definedName>
    <definedName name="_xlnm.Print_Area" localSheetId="72">'STOCK 16a22-02'!$A$1:$AC$32</definedName>
    <definedName name="_xlnm.Print_Area" localSheetId="76">'STOCK 16a22-03'!$A$1:$AB$32</definedName>
    <definedName name="_xlnm.Print_Area" localSheetId="59">'STOCK 17 a  23'!$A$1:$AB$32</definedName>
    <definedName name="_xlnm.Print_Area" localSheetId="23">'STOCK 17 a 023'!$A$1:$Y$27</definedName>
    <definedName name="_xlnm.Print_Area" localSheetId="10">'STOCK 17 a 23'!$A$1:$X$23</definedName>
    <definedName name="_xlnm.Print_Area" localSheetId="98">'STOCK 17-23-08'!$A$1:$AB$28</definedName>
    <definedName name="_xlnm.Print_Area" localSheetId="19">'STOCK 18 a 24'!$A$1:$Y$28</definedName>
    <definedName name="_xlnm.Print_Area" localSheetId="137">'STOCK 18-23-05 (14)'!$A$1:$AE$53</definedName>
    <definedName name="_xlnm.Print_Area" localSheetId="120">'STOCK 18-24-01'!$A$1:$AB$26</definedName>
    <definedName name="_xlnm.Print_Area" localSheetId="85">'STOCK 18a24-05'!$A$1:$AB$28</definedName>
    <definedName name="_xlnm.Print_Area" localSheetId="32">'STOCK 19 a 025'!$A$1:$Z$30</definedName>
    <definedName name="_xlnm.Print_Area" localSheetId="6">'STOCK 19 a 25'!$A$1:$X$26</definedName>
    <definedName name="_xlnm.Print_Area" localSheetId="107">'STOCK 19-25-10'!$A$1:$AB$28</definedName>
    <definedName name="_xlnm.Print_Area" localSheetId="68">'STOCK 19a25'!$A$1:$AB$26</definedName>
    <definedName name="_xlnm.Print_Area" localSheetId="55">'STOCK 20 a  26'!$A$1:$AA$29</definedName>
    <definedName name="_xlnm.Print_Area" localSheetId="133">'STOCK 20-25-04 (10)'!$A$1:$AD$53</definedName>
    <definedName name="_xlnm.Print_Area" localSheetId="94">'STOCK 20-26-07'!$A$1:$AB$26</definedName>
    <definedName name="_xlnm.Print_Area" localSheetId="81">'STOCK 20a26-04'!$A$1:$AB$31</definedName>
    <definedName name="_xlnm.Print_Area" localSheetId="64">'STOCK 21 a  28'!$A$1:$AB$28</definedName>
    <definedName name="_xlnm.Print_Area" localSheetId="15">'STOCK 21 a 27'!$A$1:$X$29</definedName>
    <definedName name="_xlnm.Print_Area" localSheetId="103">'STOCK 21-27-09'!$A$1:$AB$29</definedName>
    <definedName name="_xlnm.Print_Area" localSheetId="116">'STOCK 21-27-12'!$A$1:$AB$26</definedName>
    <definedName name="_xlnm.Print_Area" localSheetId="51">'STOCK 22 a  28'!$A$1:$AA$29</definedName>
    <definedName name="_xlnm.Print_Area" localSheetId="2">'STOCK 22 a 28'!$A$1:$X$27</definedName>
    <definedName name="_xlnm.Print_Area" localSheetId="143">'STOCK 22-25-06 (19)'!$A$1:$AF$42</definedName>
    <definedName name="_xlnm.Print_Area" localSheetId="90">'STOCK 22-28-06'!$A$1:$AB$29</definedName>
    <definedName name="_xlnm.Print_Area" localSheetId="37">'STOCK 23 a 29'!$A$1:$Z$31</definedName>
    <definedName name="_xlnm.Print_Area" localSheetId="125">'STOCK 23-28-02 (2)'!$A$1:$AB$57</definedName>
    <definedName name="_xlnm.Print_Area" localSheetId="129">'STOCK 23-28-03 (6)'!$A$1:$AD$56</definedName>
    <definedName name="_xlnm.Print_Area" localSheetId="112">'STOCK 23-29-11'!$A$1:$AB$32</definedName>
    <definedName name="_xlnm.Print_Area" localSheetId="73">'STOCK 23a01-03'!$A$1:$AB$33</definedName>
    <definedName name="_xlnm.Print_Area" localSheetId="77">'STOCK 23a29-03'!$A$1:$AB$32</definedName>
    <definedName name="_xlnm.Print_Area" localSheetId="60">'STOCK 24 a  30'!$A$1:$AB$32</definedName>
    <definedName name="_xlnm.Print_Area" localSheetId="24">'STOCK 24 a 030'!$A$1:$Y$33</definedName>
    <definedName name="_xlnm.Print_Area" localSheetId="11">'STOCK 24 a 30'!$A$1:$X$29</definedName>
    <definedName name="_xlnm.Print_Area" localSheetId="99">'STOCK 24-30-08'!$A$1:$AB$29</definedName>
    <definedName name="_xlnm.Print_Area" localSheetId="20">'STOCK 25 a 02'!$A$1:$Y$28</definedName>
    <definedName name="_xlnm.Print_Area" localSheetId="138">'STOCK 25-30-05 (15)'!$A$1:$AE$43</definedName>
    <definedName name="_xlnm.Print_Area" localSheetId="121">'STOCK 25-31-01'!$A$1:$AB$26</definedName>
    <definedName name="_xlnm.Print_Area" localSheetId="86">'STOCK 25a31-05'!$A$1:$AB$29</definedName>
    <definedName name="_xlnm.Print_Area" localSheetId="33">'STOCK 26 a 01'!$A$1:$Z$30</definedName>
    <definedName name="_xlnm.Print_Area" localSheetId="7">'STOCK 26 a 02'!$A$1:$X$23</definedName>
    <definedName name="_xlnm.Print_Area" localSheetId="108">'STOCK 26-01-11'!$A$1:$AB$29</definedName>
    <definedName name="_xlnm.Print_Area" localSheetId="69">'STOCK 26a01'!$A$1:$AB$27</definedName>
    <definedName name="_xlnm.Print_Area" localSheetId="56">'STOCK 27 a  02'!$A$1:$AA$32</definedName>
    <definedName name="_xlnm.Print_Area" localSheetId="95">'STOCK 27-02-08'!$A$1:$AB$26</definedName>
    <definedName name="_xlnm.Print_Area" localSheetId="134">'STOCK 27-2-05 (11)'!$A$1:$AD$46</definedName>
    <definedName name="_xlnm.Print_Area" localSheetId="82">'STOCK 27a03-05'!$A$1:$AB$30</definedName>
    <definedName name="_xlnm.Print_Area" localSheetId="16">'STOCK 28 a 03'!$A$1:$X$29</definedName>
    <definedName name="_xlnm.Print_Area" localSheetId="29">'STOCK 28 a 04'!$A$1:$Y$32</definedName>
    <definedName name="_xlnm.Print_Area" localSheetId="117">'STOCK 28-03-01'!$A$1:$AB$25</definedName>
    <definedName name="_xlnm.Print_Area" localSheetId="104">'STOCK 28-04-10'!$A$1:$AB$30</definedName>
    <definedName name="_xlnm.Print_Area" localSheetId="65">'STOCK 29 a  04'!$A$1:$AB$28</definedName>
    <definedName name="_xlnm.Print_Area" localSheetId="52">'STOCK 29 a  05'!$A$1:$AA$29</definedName>
    <definedName name="_xlnm.Print_Area" localSheetId="3">'STOCK 29 a 04'!$A$1:$X$23</definedName>
    <definedName name="_xlnm.Print_Area" localSheetId="144">'STOCK 29-04-07(20)'!$A$1:$AF$50</definedName>
    <definedName name="_xlnm.Print_Area" localSheetId="91">'STOCK 29-05-07'!$A$1:$AB$29</definedName>
    <definedName name="_xlnm.Print_Area" localSheetId="38">'STOCK 30 a 06'!$A$1:$Z$31</definedName>
    <definedName name="_xlnm.Print_Area" localSheetId="130">'STOCK 30-04-04 (7)'!$A$1:$AD$59</definedName>
    <definedName name="_xlnm.Print_Area" localSheetId="25">'STOCK 31 a 006'!$A$1:$Y$28</definedName>
    <definedName name="_xlnm.Print_Area" localSheetId="12">'STOCK 31 a 06'!$A$1:$X$26</definedName>
    <definedName name="_xlnm.Print_Area" localSheetId="100">'STOCK 31-06-09'!$A$1:$AB$30</definedName>
    <definedName name="_xlnm.Print_Area" localSheetId="78">'STOCK 31a05-04'!$A$1:$AB$28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68" i="151" l="1"/>
  <c r="F2949" i="151"/>
  <c r="E3041" i="151"/>
  <c r="E3047" i="151" s="1"/>
  <c r="E2997" i="151"/>
  <c r="E3002" i="151" s="1"/>
  <c r="K2936" i="151"/>
  <c r="J2941" i="151" l="1"/>
  <c r="J2840" i="151" l="1"/>
  <c r="F2823" i="151"/>
  <c r="E2861" i="151"/>
  <c r="E2866" i="151" s="1"/>
  <c r="D2915" i="151"/>
  <c r="K2812" i="151"/>
  <c r="E2897" i="151"/>
  <c r="E2903" i="151" s="1"/>
  <c r="E2784" i="151"/>
  <c r="E2790" i="151" s="1"/>
  <c r="E2761" i="151"/>
  <c r="E2766" i="151" s="1"/>
  <c r="F2731" i="151"/>
  <c r="K2717" i="151"/>
  <c r="E2688" i="151"/>
  <c r="E2694" i="151" s="1"/>
  <c r="E2670" i="151"/>
  <c r="E2675" i="151" s="1"/>
  <c r="F2643" i="151"/>
  <c r="K2631" i="151"/>
  <c r="J2817" i="151" l="1"/>
  <c r="J2722" i="151"/>
  <c r="J2636" i="151"/>
  <c r="E2607" i="151" l="1"/>
  <c r="AL90" i="156" l="1"/>
  <c r="E87" i="156"/>
  <c r="E89" i="156" s="1"/>
  <c r="F82" i="156"/>
  <c r="F81" i="156"/>
  <c r="G79" i="156"/>
  <c r="G87" i="156" s="1"/>
  <c r="G89" i="156" s="1"/>
  <c r="F79" i="156"/>
  <c r="D79" i="156"/>
  <c r="D87" i="156" s="1"/>
  <c r="D89" i="156" s="1"/>
  <c r="Y62" i="156"/>
  <c r="AC58" i="156"/>
  <c r="AA58" i="156"/>
  <c r="AA57" i="156"/>
  <c r="M49" i="156"/>
  <c r="AF47" i="156"/>
  <c r="AF50" i="156" s="1"/>
  <c r="AE47" i="156"/>
  <c r="AE50" i="156" s="1"/>
  <c r="AD47" i="156"/>
  <c r="AD50" i="156" s="1"/>
  <c r="AC47" i="156"/>
  <c r="AC50" i="156" s="1"/>
  <c r="AB47" i="156"/>
  <c r="AB50" i="156" s="1"/>
  <c r="AA47" i="156"/>
  <c r="AA50" i="156" s="1"/>
  <c r="Z47" i="156"/>
  <c r="Z50" i="156" s="1"/>
  <c r="Y47" i="156"/>
  <c r="Y50" i="156" s="1"/>
  <c r="X47" i="156"/>
  <c r="X50" i="156" s="1"/>
  <c r="W47" i="156"/>
  <c r="W50" i="156" s="1"/>
  <c r="V47" i="156"/>
  <c r="V50" i="156" s="1"/>
  <c r="U47" i="156"/>
  <c r="U50" i="156" s="1"/>
  <c r="T47" i="156"/>
  <c r="T50" i="156" s="1"/>
  <c r="S47" i="156"/>
  <c r="S50" i="156" s="1"/>
  <c r="R47" i="156"/>
  <c r="R50" i="156" s="1"/>
  <c r="Q47" i="156"/>
  <c r="Q50" i="156" s="1"/>
  <c r="P47" i="156"/>
  <c r="P50" i="156" s="1"/>
  <c r="O47" i="156"/>
  <c r="O50" i="156" s="1"/>
  <c r="N47" i="156"/>
  <c r="N50" i="156" s="1"/>
  <c r="M47" i="156"/>
  <c r="L47" i="156"/>
  <c r="L50" i="156" s="1"/>
  <c r="K47" i="156"/>
  <c r="K50" i="156" s="1"/>
  <c r="J47" i="156"/>
  <c r="J50" i="156" s="1"/>
  <c r="I47" i="156"/>
  <c r="I50" i="156" s="1"/>
  <c r="H47" i="156"/>
  <c r="H50" i="156" s="1"/>
  <c r="G47" i="156"/>
  <c r="G50" i="156" s="1"/>
  <c r="F47" i="156"/>
  <c r="F50" i="156" s="1"/>
  <c r="E47" i="156"/>
  <c r="E50" i="156" s="1"/>
  <c r="D47" i="156"/>
  <c r="D50" i="156" s="1"/>
  <c r="AJ46" i="156"/>
  <c r="E2613" i="151"/>
  <c r="E2592" i="151"/>
  <c r="E2597" i="151" s="1"/>
  <c r="F2572" i="151"/>
  <c r="K2560" i="151"/>
  <c r="F2433" i="151"/>
  <c r="E2528" i="151"/>
  <c r="E2534" i="151" s="1"/>
  <c r="J2491" i="151"/>
  <c r="E2487" i="151"/>
  <c r="J2426" i="151" s="1"/>
  <c r="K2421" i="151"/>
  <c r="K2287" i="151"/>
  <c r="F87" i="156" l="1"/>
  <c r="F89" i="156" s="1"/>
  <c r="G90" i="156" s="1"/>
  <c r="M50" i="156"/>
  <c r="AG50" i="156" s="1"/>
  <c r="F2951" i="151" s="1"/>
  <c r="F2954" i="151" s="1"/>
  <c r="J2939" i="151" s="1"/>
  <c r="J2947" i="151" s="1"/>
  <c r="J2950" i="151" s="1"/>
  <c r="J2565" i="151"/>
  <c r="E2492" i="151"/>
  <c r="E2383" i="151"/>
  <c r="E2389" i="151" s="1"/>
  <c r="J2357" i="151"/>
  <c r="E2344" i="151"/>
  <c r="E2349" i="151" s="1"/>
  <c r="F2298" i="151"/>
  <c r="K2166" i="151"/>
  <c r="AA50" i="155"/>
  <c r="AA49" i="155"/>
  <c r="F2736" i="151" l="1"/>
  <c r="J2720" i="151" s="1"/>
  <c r="J2728" i="151" s="1"/>
  <c r="J2731" i="151" s="1"/>
  <c r="F2828" i="151"/>
  <c r="J2815" i="151" s="1"/>
  <c r="F2577" i="151"/>
  <c r="J2563" i="151" s="1"/>
  <c r="J2571" i="151" s="1"/>
  <c r="J2574" i="151" s="1"/>
  <c r="F2648" i="151"/>
  <c r="J2634" i="151" s="1"/>
  <c r="J2642" i="151" s="1"/>
  <c r="J2645" i="151" s="1"/>
  <c r="J2292" i="151"/>
  <c r="J2224" i="151"/>
  <c r="E2259" i="151"/>
  <c r="E2265" i="151" s="1"/>
  <c r="J2236" i="151"/>
  <c r="J2240" i="151" s="1"/>
  <c r="E2221" i="151"/>
  <c r="E2226" i="151" s="1"/>
  <c r="F2180" i="151"/>
  <c r="J2823" i="151" l="1"/>
  <c r="J2826" i="151" s="1"/>
  <c r="J2173" i="151"/>
  <c r="AE39" i="155" l="1"/>
  <c r="AE42" i="155" s="1"/>
  <c r="J2129" i="151" l="1"/>
  <c r="E2138" i="151"/>
  <c r="E2144" i="151" s="1"/>
  <c r="E2109" i="151"/>
  <c r="E2114" i="151" s="1"/>
  <c r="J2100" i="151"/>
  <c r="F2075" i="151"/>
  <c r="K2059" i="151"/>
  <c r="J2067" i="151" l="1"/>
  <c r="J2002" i="151" l="1"/>
  <c r="J2035" i="151" l="1"/>
  <c r="E2027" i="151"/>
  <c r="E2031" i="151" s="1"/>
  <c r="E2004" i="151"/>
  <c r="J1969" i="151" s="1"/>
  <c r="F1977" i="151"/>
  <c r="K1961" i="151"/>
  <c r="E2009" i="151" l="1"/>
  <c r="J1937" i="151" l="1"/>
  <c r="AL82" i="155"/>
  <c r="E79" i="155"/>
  <c r="E81" i="155" s="1"/>
  <c r="F74" i="155"/>
  <c r="F73" i="155"/>
  <c r="G71" i="155"/>
  <c r="G79" i="155" s="1"/>
  <c r="G81" i="155" s="1"/>
  <c r="F71" i="155"/>
  <c r="D71" i="155"/>
  <c r="D79" i="155" s="1"/>
  <c r="D81" i="155" s="1"/>
  <c r="Y54" i="155"/>
  <c r="AC50" i="155"/>
  <c r="M41" i="155"/>
  <c r="AF39" i="155"/>
  <c r="AF42" i="155" s="1"/>
  <c r="AD39" i="155"/>
  <c r="AD42" i="155" s="1"/>
  <c r="AC39" i="155"/>
  <c r="AC42" i="155" s="1"/>
  <c r="AB39" i="155"/>
  <c r="AB42" i="155" s="1"/>
  <c r="AA39" i="155"/>
  <c r="AA42" i="155" s="1"/>
  <c r="Z39" i="155"/>
  <c r="Z42" i="155" s="1"/>
  <c r="Y39" i="155"/>
  <c r="Y42" i="155" s="1"/>
  <c r="X39" i="155"/>
  <c r="X42" i="155" s="1"/>
  <c r="W39" i="155"/>
  <c r="W42" i="155" s="1"/>
  <c r="V39" i="155"/>
  <c r="V42" i="155" s="1"/>
  <c r="U39" i="155"/>
  <c r="U42" i="155" s="1"/>
  <c r="T39" i="155"/>
  <c r="T42" i="155" s="1"/>
  <c r="S39" i="155"/>
  <c r="S42" i="155" s="1"/>
  <c r="R39" i="155"/>
  <c r="R42" i="155" s="1"/>
  <c r="Q39" i="155"/>
  <c r="Q42" i="155" s="1"/>
  <c r="P39" i="155"/>
  <c r="P42" i="155" s="1"/>
  <c r="O39" i="155"/>
  <c r="O42" i="155" s="1"/>
  <c r="N39" i="155"/>
  <c r="N42" i="155" s="1"/>
  <c r="M39" i="155"/>
  <c r="L39" i="155"/>
  <c r="L42" i="155" s="1"/>
  <c r="K39" i="155"/>
  <c r="K42" i="155" s="1"/>
  <c r="J39" i="155"/>
  <c r="J42" i="155" s="1"/>
  <c r="I39" i="155"/>
  <c r="I42" i="155" s="1"/>
  <c r="H39" i="155"/>
  <c r="H42" i="155" s="1"/>
  <c r="G39" i="155"/>
  <c r="G42" i="155" s="1"/>
  <c r="F39" i="155"/>
  <c r="F42" i="155" s="1"/>
  <c r="E39" i="155"/>
  <c r="E42" i="155" s="1"/>
  <c r="D39" i="155"/>
  <c r="D42" i="155" s="1"/>
  <c r="AJ38" i="155"/>
  <c r="E1919" i="151"/>
  <c r="E1923" i="151" s="1"/>
  <c r="E1900" i="151"/>
  <c r="E1905" i="151" s="1"/>
  <c r="F1879" i="151"/>
  <c r="K1863" i="151"/>
  <c r="E1840" i="151"/>
  <c r="E1844" i="151" s="1"/>
  <c r="E1807" i="151"/>
  <c r="E1812" i="151" s="1"/>
  <c r="J1768" i="151"/>
  <c r="F1750" i="151"/>
  <c r="K1736" i="151"/>
  <c r="M42" i="155" l="1"/>
  <c r="F2080" i="151" s="1"/>
  <c r="J2065" i="151" s="1"/>
  <c r="J2073" i="151" s="1"/>
  <c r="J2076" i="151" s="1"/>
  <c r="F79" i="155"/>
  <c r="F81" i="155" s="1"/>
  <c r="G82" i="155" s="1"/>
  <c r="J1871" i="151"/>
  <c r="J1744" i="151"/>
  <c r="AG42" i="155" l="1"/>
  <c r="F2185" i="151"/>
  <c r="J2171" i="151" s="1"/>
  <c r="J2179" i="151" s="1"/>
  <c r="J2182" i="151" s="1"/>
  <c r="F1884" i="151"/>
  <c r="J1869" i="151" s="1"/>
  <c r="J1877" i="151" s="1"/>
  <c r="J1880" i="151" s="1"/>
  <c r="F1982" i="151"/>
  <c r="J1967" i="151" s="1"/>
  <c r="J1975" i="151" s="1"/>
  <c r="J1978" i="151" s="1"/>
  <c r="F1605" i="151"/>
  <c r="E1712" i="151"/>
  <c r="E1716" i="151" s="1"/>
  <c r="E1683" i="151"/>
  <c r="E1688" i="151" s="1"/>
  <c r="J1648" i="151"/>
  <c r="F1633" i="151"/>
  <c r="K1618" i="151"/>
  <c r="E1565" i="151"/>
  <c r="E1570" i="151" s="1"/>
  <c r="E1590" i="151"/>
  <c r="E1594" i="151" s="1"/>
  <c r="J1536" i="151"/>
  <c r="F1521" i="151"/>
  <c r="K1507" i="151"/>
  <c r="F1423" i="151"/>
  <c r="J1439" i="151"/>
  <c r="E1481" i="151"/>
  <c r="E1485" i="151" s="1"/>
  <c r="E1457" i="151"/>
  <c r="E1462" i="151" s="1"/>
  <c r="K1410" i="151"/>
  <c r="H1314" i="151"/>
  <c r="E1385" i="151"/>
  <c r="E1389" i="151" s="1"/>
  <c r="E1365" i="151"/>
  <c r="E1370" i="151" s="1"/>
  <c r="F1342" i="151"/>
  <c r="K1329" i="151"/>
  <c r="F2303" i="151" l="1"/>
  <c r="J2290" i="151" s="1"/>
  <c r="J2298" i="151" s="1"/>
  <c r="J2301" i="151" s="1"/>
  <c r="F2438" i="151"/>
  <c r="J2424" i="151" s="1"/>
  <c r="J2432" i="151" s="1"/>
  <c r="J2435" i="151" s="1"/>
  <c r="J1626" i="151"/>
  <c r="J1515" i="151"/>
  <c r="J1418" i="151"/>
  <c r="J1337" i="151"/>
  <c r="AK95" i="154" l="1"/>
  <c r="E92" i="154"/>
  <c r="E94" i="154" s="1"/>
  <c r="F87" i="154"/>
  <c r="F86" i="154"/>
  <c r="G84" i="154"/>
  <c r="G92" i="154" s="1"/>
  <c r="G94" i="154" s="1"/>
  <c r="F84" i="154"/>
  <c r="D84" i="154"/>
  <c r="D92" i="154" s="1"/>
  <c r="D94" i="154" s="1"/>
  <c r="Y67" i="154"/>
  <c r="AC63" i="154"/>
  <c r="M54" i="154"/>
  <c r="AE52" i="154"/>
  <c r="AE55" i="154" s="1"/>
  <c r="AD52" i="154"/>
  <c r="AD55" i="154" s="1"/>
  <c r="AC52" i="154"/>
  <c r="AC55" i="154" s="1"/>
  <c r="AB52" i="154"/>
  <c r="AB55" i="154" s="1"/>
  <c r="AA52" i="154"/>
  <c r="AA55" i="154" s="1"/>
  <c r="Z52" i="154"/>
  <c r="Z55" i="154" s="1"/>
  <c r="Y52" i="154"/>
  <c r="Y55" i="154" s="1"/>
  <c r="X52" i="154"/>
  <c r="X55" i="154" s="1"/>
  <c r="W52" i="154"/>
  <c r="W55" i="154" s="1"/>
  <c r="V52" i="154"/>
  <c r="V55" i="154" s="1"/>
  <c r="U52" i="154"/>
  <c r="U55" i="154" s="1"/>
  <c r="T52" i="154"/>
  <c r="T55" i="154" s="1"/>
  <c r="S52" i="154"/>
  <c r="S55" i="154" s="1"/>
  <c r="R52" i="154"/>
  <c r="R55" i="154" s="1"/>
  <c r="Q52" i="154"/>
  <c r="Q55" i="154" s="1"/>
  <c r="P52" i="154"/>
  <c r="P55" i="154" s="1"/>
  <c r="O52" i="154"/>
  <c r="O55" i="154" s="1"/>
  <c r="N52" i="154"/>
  <c r="N55" i="154" s="1"/>
  <c r="M52" i="154"/>
  <c r="L52" i="154"/>
  <c r="L55" i="154" s="1"/>
  <c r="K52" i="154"/>
  <c r="K55" i="154" s="1"/>
  <c r="J52" i="154"/>
  <c r="J55" i="154" s="1"/>
  <c r="I52" i="154"/>
  <c r="I55" i="154" s="1"/>
  <c r="H52" i="154"/>
  <c r="H55" i="154" s="1"/>
  <c r="G52" i="154"/>
  <c r="G55" i="154" s="1"/>
  <c r="F52" i="154"/>
  <c r="F55" i="154" s="1"/>
  <c r="E52" i="154"/>
  <c r="E55" i="154" s="1"/>
  <c r="D52" i="154"/>
  <c r="D55" i="154" s="1"/>
  <c r="AI51" i="154"/>
  <c r="E1306" i="151"/>
  <c r="E1310" i="151" s="1"/>
  <c r="E1290" i="151"/>
  <c r="E1295" i="151" s="1"/>
  <c r="F1273" i="151"/>
  <c r="K1259" i="151"/>
  <c r="F1128" i="151"/>
  <c r="L1166" i="151"/>
  <c r="L1167" i="151" s="1"/>
  <c r="F92" i="154" l="1"/>
  <c r="F94" i="154" s="1"/>
  <c r="G95" i="154" s="1"/>
  <c r="M55" i="154"/>
  <c r="AF55" i="154" s="1"/>
  <c r="F1752" i="151" s="1"/>
  <c r="F1755" i="151" s="1"/>
  <c r="J1742" i="151" s="1"/>
  <c r="J1748" i="151" s="1"/>
  <c r="J1751" i="151" s="1"/>
  <c r="J1267" i="151"/>
  <c r="E1236" i="151"/>
  <c r="E1240" i="151" s="1"/>
  <c r="E1202" i="151"/>
  <c r="E1207" i="151" s="1"/>
  <c r="L1163" i="151"/>
  <c r="F1158" i="151"/>
  <c r="K1144" i="151"/>
  <c r="H1018" i="151"/>
  <c r="L1053" i="151"/>
  <c r="E1120" i="151"/>
  <c r="E1124" i="151" s="1"/>
  <c r="E1086" i="151"/>
  <c r="E1091" i="151" s="1"/>
  <c r="J1062" i="151"/>
  <c r="F1049" i="151"/>
  <c r="K1035" i="151"/>
  <c r="F1638" i="151" l="1"/>
  <c r="J1624" i="151" s="1"/>
  <c r="J1630" i="151" s="1"/>
  <c r="J1633" i="151" s="1"/>
  <c r="F1523" i="151"/>
  <c r="F1526" i="151" s="1"/>
  <c r="J1513" i="151" s="1"/>
  <c r="J1519" i="151" s="1"/>
  <c r="J1522" i="151" s="1"/>
  <c r="F1428" i="151"/>
  <c r="J1416" i="151" s="1"/>
  <c r="J1422" i="151" s="1"/>
  <c r="J1425" i="151" s="1"/>
  <c r="F1278" i="151"/>
  <c r="J1265" i="151" s="1"/>
  <c r="J1271" i="151" s="1"/>
  <c r="J1274" i="151" s="1"/>
  <c r="F1347" i="151"/>
  <c r="J1335" i="151" s="1"/>
  <c r="J1341" i="151" s="1"/>
  <c r="J1344" i="151" s="1"/>
  <c r="J1152" i="151"/>
  <c r="J1043" i="151"/>
  <c r="E1009" i="151" l="1"/>
  <c r="E1013" i="151" s="1"/>
  <c r="E979" i="151"/>
  <c r="E984" i="151" s="1"/>
  <c r="J955" i="151"/>
  <c r="L947" i="151"/>
  <c r="F942" i="151"/>
  <c r="K928" i="151"/>
  <c r="L840" i="151"/>
  <c r="E869" i="151"/>
  <c r="J936" i="151" l="1"/>
  <c r="E896" i="151"/>
  <c r="E900" i="151" s="1"/>
  <c r="E904" i="151" s="1"/>
  <c r="E874" i="151"/>
  <c r="J848" i="151"/>
  <c r="F834" i="151"/>
  <c r="K821" i="151"/>
  <c r="E794" i="151"/>
  <c r="E798" i="151" s="1"/>
  <c r="E771" i="151"/>
  <c r="E776" i="151" s="1"/>
  <c r="J757" i="151"/>
  <c r="F742" i="151"/>
  <c r="K730" i="151"/>
  <c r="J829" i="151" l="1"/>
  <c r="J738" i="151"/>
  <c r="E698" i="151" l="1"/>
  <c r="E702" i="151" s="1"/>
  <c r="E682" i="151"/>
  <c r="E687" i="151" s="1"/>
  <c r="J675" i="151"/>
  <c r="F659" i="151"/>
  <c r="K649" i="151"/>
  <c r="AK83" i="153"/>
  <c r="E80" i="153"/>
  <c r="E82" i="153" s="1"/>
  <c r="F75" i="153"/>
  <c r="F74" i="153"/>
  <c r="G72" i="153"/>
  <c r="G80" i="153" s="1"/>
  <c r="G82" i="153" s="1"/>
  <c r="F72" i="153"/>
  <c r="D72" i="153"/>
  <c r="D80" i="153" s="1"/>
  <c r="D82" i="153" s="1"/>
  <c r="Y55" i="153"/>
  <c r="AC51" i="153"/>
  <c r="M42" i="153"/>
  <c r="AE40" i="153"/>
  <c r="AE43" i="153" s="1"/>
  <c r="AD40" i="153"/>
  <c r="AD43" i="153" s="1"/>
  <c r="AC40" i="153"/>
  <c r="AC43" i="153" s="1"/>
  <c r="AB40" i="153"/>
  <c r="AB43" i="153" s="1"/>
  <c r="AA40" i="153"/>
  <c r="AA43" i="153" s="1"/>
  <c r="Z40" i="153"/>
  <c r="Z43" i="153" s="1"/>
  <c r="Y40" i="153"/>
  <c r="Y43" i="153" s="1"/>
  <c r="X40" i="153"/>
  <c r="X43" i="153" s="1"/>
  <c r="W40" i="153"/>
  <c r="W43" i="153" s="1"/>
  <c r="V40" i="153"/>
  <c r="V43" i="153" s="1"/>
  <c r="U40" i="153"/>
  <c r="U43" i="153" s="1"/>
  <c r="T40" i="153"/>
  <c r="T43" i="153" s="1"/>
  <c r="S40" i="153"/>
  <c r="S43" i="153" s="1"/>
  <c r="R40" i="153"/>
  <c r="R43" i="153" s="1"/>
  <c r="Q40" i="153"/>
  <c r="Q43" i="153" s="1"/>
  <c r="P40" i="153"/>
  <c r="P43" i="153" s="1"/>
  <c r="O40" i="153"/>
  <c r="O43" i="153" s="1"/>
  <c r="N40" i="153"/>
  <c r="N43" i="153" s="1"/>
  <c r="M40" i="153"/>
  <c r="L40" i="153"/>
  <c r="L43" i="153" s="1"/>
  <c r="K40" i="153"/>
  <c r="K43" i="153" s="1"/>
  <c r="J40" i="153"/>
  <c r="J43" i="153" s="1"/>
  <c r="I40" i="153"/>
  <c r="I43" i="153" s="1"/>
  <c r="H40" i="153"/>
  <c r="H43" i="153" s="1"/>
  <c r="G40" i="153"/>
  <c r="G43" i="153" s="1"/>
  <c r="F40" i="153"/>
  <c r="F43" i="153" s="1"/>
  <c r="E40" i="153"/>
  <c r="E43" i="153" s="1"/>
  <c r="D40" i="153"/>
  <c r="D43" i="153" s="1"/>
  <c r="AI39" i="153"/>
  <c r="E617" i="151"/>
  <c r="E621" i="151" s="1"/>
  <c r="E624" i="151" s="1"/>
  <c r="E571" i="151"/>
  <c r="E576" i="151" s="1"/>
  <c r="J533" i="151"/>
  <c r="F520" i="151"/>
  <c r="K507" i="151"/>
  <c r="F398" i="151"/>
  <c r="E482" i="151"/>
  <c r="E486" i="151" s="1"/>
  <c r="E442" i="151"/>
  <c r="E447" i="151" s="1"/>
  <c r="J411" i="151"/>
  <c r="K385" i="151"/>
  <c r="E364" i="151"/>
  <c r="E368" i="151" s="1"/>
  <c r="J301" i="151"/>
  <c r="E326" i="151"/>
  <c r="E331" i="151" s="1"/>
  <c r="F286" i="151"/>
  <c r="K275" i="151"/>
  <c r="Y51" i="152"/>
  <c r="J199" i="151"/>
  <c r="E246" i="151"/>
  <c r="E250" i="151" s="1"/>
  <c r="E216" i="151"/>
  <c r="J182" i="151" s="1"/>
  <c r="F184" i="151"/>
  <c r="K174" i="151"/>
  <c r="E149" i="151"/>
  <c r="E153" i="151" s="1"/>
  <c r="E123" i="151"/>
  <c r="E128" i="151" s="1"/>
  <c r="F98" i="151"/>
  <c r="K90" i="151"/>
  <c r="F80" i="153" l="1"/>
  <c r="F82" i="153" s="1"/>
  <c r="G83" i="153" s="1"/>
  <c r="M43" i="153"/>
  <c r="AF43" i="153" s="1"/>
  <c r="J657" i="151"/>
  <c r="J515" i="151"/>
  <c r="J393" i="151"/>
  <c r="J283" i="151"/>
  <c r="E221" i="151"/>
  <c r="J98" i="151"/>
  <c r="F1054" i="151" l="1"/>
  <c r="J1041" i="151" s="1"/>
  <c r="J1047" i="151" s="1"/>
  <c r="J1050" i="151" s="1"/>
  <c r="F1163" i="151"/>
  <c r="J1150" i="151" s="1"/>
  <c r="J1156" i="151" s="1"/>
  <c r="J1159" i="151" s="1"/>
  <c r="F839" i="151"/>
  <c r="J827" i="151" s="1"/>
  <c r="J833" i="151" s="1"/>
  <c r="J836" i="151" s="1"/>
  <c r="F947" i="151"/>
  <c r="J934" i="151" s="1"/>
  <c r="J940" i="151" s="1"/>
  <c r="J943" i="151" s="1"/>
  <c r="F664" i="151"/>
  <c r="J655" i="151" s="1"/>
  <c r="J661" i="151" s="1"/>
  <c r="J664" i="151" s="1"/>
  <c r="F747" i="151"/>
  <c r="J736" i="151" s="1"/>
  <c r="J742" i="151" s="1"/>
  <c r="J745" i="151" s="1"/>
  <c r="E65" i="151"/>
  <c r="E69" i="151" s="1"/>
  <c r="AK79" i="152"/>
  <c r="E76" i="152"/>
  <c r="E78" i="152" s="1"/>
  <c r="F71" i="152"/>
  <c r="F70" i="152"/>
  <c r="G68" i="152"/>
  <c r="G76" i="152" s="1"/>
  <c r="G78" i="152" s="1"/>
  <c r="F68" i="152"/>
  <c r="D68" i="152"/>
  <c r="D76" i="152" s="1"/>
  <c r="D78" i="152" s="1"/>
  <c r="AC47" i="152"/>
  <c r="M38" i="152"/>
  <c r="AE36" i="152"/>
  <c r="AE39" i="152" s="1"/>
  <c r="AD36" i="152"/>
  <c r="AD39" i="152" s="1"/>
  <c r="AC36" i="152"/>
  <c r="AC39" i="152" s="1"/>
  <c r="AB36" i="152"/>
  <c r="AB39" i="152" s="1"/>
  <c r="AA36" i="152"/>
  <c r="AA39" i="152" s="1"/>
  <c r="Z36" i="152"/>
  <c r="Z39" i="152" s="1"/>
  <c r="Y36" i="152"/>
  <c r="Y39" i="152" s="1"/>
  <c r="X36" i="152"/>
  <c r="X39" i="152" s="1"/>
  <c r="W36" i="152"/>
  <c r="W39" i="152" s="1"/>
  <c r="V36" i="152"/>
  <c r="V39" i="152" s="1"/>
  <c r="U36" i="152"/>
  <c r="U39" i="152" s="1"/>
  <c r="T36" i="152"/>
  <c r="T39" i="152" s="1"/>
  <c r="S36" i="152"/>
  <c r="S39" i="152" s="1"/>
  <c r="R36" i="152"/>
  <c r="R39" i="152" s="1"/>
  <c r="Q36" i="152"/>
  <c r="Q39" i="152" s="1"/>
  <c r="P36" i="152"/>
  <c r="P39" i="152" s="1"/>
  <c r="O36" i="152"/>
  <c r="O39" i="152" s="1"/>
  <c r="N36" i="152"/>
  <c r="N39" i="152" s="1"/>
  <c r="M36" i="152"/>
  <c r="L36" i="152"/>
  <c r="L39" i="152" s="1"/>
  <c r="K36" i="152"/>
  <c r="K39" i="152" s="1"/>
  <c r="J36" i="152"/>
  <c r="J39" i="152" s="1"/>
  <c r="I36" i="152"/>
  <c r="I39" i="152" s="1"/>
  <c r="H36" i="152"/>
  <c r="H39" i="152" s="1"/>
  <c r="G36" i="152"/>
  <c r="G39" i="152" s="1"/>
  <c r="F36" i="152"/>
  <c r="F39" i="152" s="1"/>
  <c r="E36" i="152"/>
  <c r="E39" i="152" s="1"/>
  <c r="D36" i="152"/>
  <c r="D39" i="152" s="1"/>
  <c r="AI35" i="152"/>
  <c r="E45" i="151"/>
  <c r="E50" i="151" s="1"/>
  <c r="F23" i="151"/>
  <c r="K16" i="151"/>
  <c r="F76" i="152" l="1"/>
  <c r="F78" i="152" s="1"/>
  <c r="G79" i="152" s="1"/>
  <c r="M39" i="152"/>
  <c r="AF39" i="152" s="1"/>
  <c r="F525" i="151" s="1"/>
  <c r="J513" i="151" s="1"/>
  <c r="J519" i="151" s="1"/>
  <c r="J24" i="151"/>
  <c r="J522" i="151" l="1"/>
  <c r="F403" i="151"/>
  <c r="J391" i="151" s="1"/>
  <c r="J397" i="151" s="1"/>
  <c r="J400" i="151" s="1"/>
  <c r="F189" i="151"/>
  <c r="J180" i="151" s="1"/>
  <c r="J186" i="151" s="1"/>
  <c r="J189" i="151" s="1"/>
  <c r="F291" i="151"/>
  <c r="J281" i="151" s="1"/>
  <c r="J287" i="151" s="1"/>
  <c r="J290" i="151" s="1"/>
  <c r="F28" i="151"/>
  <c r="J22" i="151" s="1"/>
  <c r="J28" i="151" s="1"/>
  <c r="F103" i="151"/>
  <c r="J96" i="151" s="1"/>
  <c r="J102" i="151" s="1"/>
  <c r="J105" i="151" s="1"/>
  <c r="J31" i="151" l="1"/>
  <c r="G5455" i="138" l="1"/>
  <c r="G5459" i="138" s="1"/>
  <c r="G5420" i="138"/>
  <c r="H5374" i="138"/>
  <c r="M5367" i="138"/>
  <c r="G5345" i="138"/>
  <c r="G5349" i="138" s="1"/>
  <c r="I5256" i="138"/>
  <c r="I5321" i="138"/>
  <c r="G5313" i="138"/>
  <c r="G5318" i="138" s="1"/>
  <c r="H5277" i="138"/>
  <c r="M5267" i="138"/>
  <c r="L5375" i="138" l="1"/>
  <c r="G5425" i="138"/>
  <c r="L5275" i="138"/>
  <c r="I5231" i="138" l="1"/>
  <c r="K5206" i="138"/>
  <c r="G5241" i="138"/>
  <c r="G5245" i="138" s="1"/>
  <c r="G5217" i="138"/>
  <c r="G5222" i="138" s="1"/>
  <c r="H5186" i="138"/>
  <c r="M5177" i="138"/>
  <c r="L5185" i="138" l="1"/>
  <c r="L57" i="150" l="1"/>
  <c r="G5153" i="138"/>
  <c r="G5157" i="138" s="1"/>
  <c r="G5131" i="138"/>
  <c r="G5136" i="138" s="1"/>
  <c r="K5123" i="138"/>
  <c r="H5106" i="138"/>
  <c r="M5097" i="138"/>
  <c r="G5072" i="138"/>
  <c r="G5076" i="138" s="1"/>
  <c r="G5049" i="138"/>
  <c r="L5028" i="138" s="1"/>
  <c r="K5046" i="138"/>
  <c r="H5027" i="138"/>
  <c r="M5020" i="138"/>
  <c r="K4971" i="138"/>
  <c r="G4973" i="138"/>
  <c r="L4953" i="138" s="1"/>
  <c r="AC51" i="150"/>
  <c r="G4994" i="138"/>
  <c r="G4998" i="138" s="1"/>
  <c r="H4951" i="138"/>
  <c r="M4945" i="138"/>
  <c r="AK83" i="150"/>
  <c r="E80" i="150"/>
  <c r="E82" i="150" s="1"/>
  <c r="F75" i="150"/>
  <c r="F74" i="150"/>
  <c r="G72" i="150"/>
  <c r="G80" i="150" s="1"/>
  <c r="G82" i="150" s="1"/>
  <c r="F72" i="150"/>
  <c r="D72" i="150"/>
  <c r="D80" i="150" s="1"/>
  <c r="D82" i="150" s="1"/>
  <c r="M42" i="150"/>
  <c r="AE40" i="150"/>
  <c r="AE43" i="150" s="1"/>
  <c r="AD40" i="150"/>
  <c r="AD43" i="150" s="1"/>
  <c r="AC40" i="150"/>
  <c r="AC43" i="150" s="1"/>
  <c r="AB40" i="150"/>
  <c r="AB43" i="150" s="1"/>
  <c r="AA40" i="150"/>
  <c r="AA43" i="150" s="1"/>
  <c r="Z40" i="150"/>
  <c r="Z43" i="150" s="1"/>
  <c r="Y40" i="150"/>
  <c r="Y43" i="150" s="1"/>
  <c r="X40" i="150"/>
  <c r="X43" i="150" s="1"/>
  <c r="W40" i="150"/>
  <c r="W43" i="150" s="1"/>
  <c r="V40" i="150"/>
  <c r="V43" i="150" s="1"/>
  <c r="U40" i="150"/>
  <c r="U43" i="150" s="1"/>
  <c r="T40" i="150"/>
  <c r="T43" i="150" s="1"/>
  <c r="S40" i="150"/>
  <c r="S43" i="150" s="1"/>
  <c r="R40" i="150"/>
  <c r="R43" i="150" s="1"/>
  <c r="Q40" i="150"/>
  <c r="Q43" i="150" s="1"/>
  <c r="P40" i="150"/>
  <c r="P43" i="150" s="1"/>
  <c r="O40" i="150"/>
  <c r="O43" i="150" s="1"/>
  <c r="N40" i="150"/>
  <c r="N43" i="150" s="1"/>
  <c r="M40" i="150"/>
  <c r="L40" i="150"/>
  <c r="L43" i="150" s="1"/>
  <c r="K40" i="150"/>
  <c r="K43" i="150" s="1"/>
  <c r="J40" i="150"/>
  <c r="J43" i="150" s="1"/>
  <c r="I40" i="150"/>
  <c r="I43" i="150" s="1"/>
  <c r="H40" i="150"/>
  <c r="H43" i="150" s="1"/>
  <c r="G40" i="150"/>
  <c r="G43" i="150" s="1"/>
  <c r="F40" i="150"/>
  <c r="F43" i="150" s="1"/>
  <c r="E40" i="150"/>
  <c r="E43" i="150" s="1"/>
  <c r="D40" i="150"/>
  <c r="D43" i="150" s="1"/>
  <c r="AI39" i="150"/>
  <c r="L5105" i="138" l="1"/>
  <c r="G5054" i="138"/>
  <c r="G4978" i="138"/>
  <c r="F80" i="150"/>
  <c r="F82" i="150" s="1"/>
  <c r="G83" i="150" s="1"/>
  <c r="M43" i="150"/>
  <c r="AF43" i="150" s="1"/>
  <c r="H5282" i="138" l="1"/>
  <c r="L5273" i="138" s="1"/>
  <c r="L5279" i="138" s="1"/>
  <c r="L5282" i="138" s="1"/>
  <c r="H5379" i="138"/>
  <c r="L5373" i="138" s="1"/>
  <c r="L5379" i="138" s="1"/>
  <c r="L5382" i="138" s="1"/>
  <c r="H5111" i="138"/>
  <c r="L5103" i="138" s="1"/>
  <c r="L5109" i="138" s="1"/>
  <c r="L5112" i="138" s="1"/>
  <c r="H5191" i="138"/>
  <c r="L5183" i="138" s="1"/>
  <c r="L5189" i="138" s="1"/>
  <c r="L5192" i="138" s="1"/>
  <c r="H4956" i="138"/>
  <c r="L4951" i="138" s="1"/>
  <c r="L4957" i="138" s="1"/>
  <c r="L4960" i="138" s="1"/>
  <c r="H5032" i="138"/>
  <c r="L5026" i="138" s="1"/>
  <c r="L5032" i="138" s="1"/>
  <c r="L5035" i="138" s="1"/>
  <c r="G4914" i="138"/>
  <c r="G4871" i="138"/>
  <c r="G4876" i="138" s="1"/>
  <c r="G4918" i="138" l="1"/>
  <c r="K4856" i="138"/>
  <c r="H4822" i="138"/>
  <c r="M4816" i="138"/>
  <c r="K4740" i="138"/>
  <c r="G4783" i="138"/>
  <c r="G4787" i="138" s="1"/>
  <c r="G4743" i="138"/>
  <c r="G4748" i="138" s="1"/>
  <c r="H4705" i="138"/>
  <c r="M4700" i="138"/>
  <c r="L4824" i="138" l="1"/>
  <c r="L4708" i="138"/>
  <c r="G4671" i="138" l="1"/>
  <c r="G4675" i="138" s="1"/>
  <c r="K4634" i="138"/>
  <c r="G4636" i="138"/>
  <c r="L4605" i="138" s="1"/>
  <c r="H4600" i="138"/>
  <c r="M4597" i="138"/>
  <c r="K4537" i="138"/>
  <c r="H4505" i="138"/>
  <c r="G4641" i="138" l="1"/>
  <c r="G4569" i="138"/>
  <c r="G4573" i="138" s="1"/>
  <c r="G4537" i="138"/>
  <c r="L4508" i="138" s="1"/>
  <c r="M4500" i="138"/>
  <c r="P4425" i="138"/>
  <c r="K4462" i="138"/>
  <c r="G4474" i="138"/>
  <c r="G4478" i="138" s="1"/>
  <c r="G4446" i="138"/>
  <c r="G4451" i="138" s="1"/>
  <c r="H4421" i="138"/>
  <c r="M4419" i="138"/>
  <c r="G4542" i="138" l="1"/>
  <c r="L4427" i="138"/>
  <c r="AE50" i="149" l="1"/>
  <c r="AE53" i="149" s="1"/>
  <c r="AK93" i="149"/>
  <c r="E90" i="149"/>
  <c r="E92" i="149" s="1"/>
  <c r="F85" i="149"/>
  <c r="F84" i="149"/>
  <c r="G82" i="149"/>
  <c r="G90" i="149" s="1"/>
  <c r="G92" i="149" s="1"/>
  <c r="F82" i="149"/>
  <c r="D82" i="149"/>
  <c r="D90" i="149" s="1"/>
  <c r="D92" i="149" s="1"/>
  <c r="M52" i="149"/>
  <c r="AD50" i="149"/>
  <c r="AD53" i="149" s="1"/>
  <c r="AC50" i="149"/>
  <c r="AC53" i="149" s="1"/>
  <c r="AB50" i="149"/>
  <c r="AB53" i="149" s="1"/>
  <c r="AA50" i="149"/>
  <c r="AA53" i="149" s="1"/>
  <c r="Z50" i="149"/>
  <c r="Z53" i="149" s="1"/>
  <c r="Y50" i="149"/>
  <c r="Y53" i="149" s="1"/>
  <c r="X50" i="149"/>
  <c r="X53" i="149" s="1"/>
  <c r="W50" i="149"/>
  <c r="W53" i="149" s="1"/>
  <c r="V50" i="149"/>
  <c r="V53" i="149" s="1"/>
  <c r="U50" i="149"/>
  <c r="U53" i="149" s="1"/>
  <c r="T50" i="149"/>
  <c r="T53" i="149" s="1"/>
  <c r="S50" i="149"/>
  <c r="S53" i="149" s="1"/>
  <c r="R50" i="149"/>
  <c r="R53" i="149" s="1"/>
  <c r="Q50" i="149"/>
  <c r="Q53" i="149" s="1"/>
  <c r="P50" i="149"/>
  <c r="P53" i="149" s="1"/>
  <c r="O50" i="149"/>
  <c r="O53" i="149" s="1"/>
  <c r="N50" i="149"/>
  <c r="N53" i="149" s="1"/>
  <c r="M50" i="149"/>
  <c r="L50" i="149"/>
  <c r="L53" i="149" s="1"/>
  <c r="K50" i="149"/>
  <c r="K53" i="149" s="1"/>
  <c r="J50" i="149"/>
  <c r="J53" i="149" s="1"/>
  <c r="I50" i="149"/>
  <c r="I53" i="149" s="1"/>
  <c r="H50" i="149"/>
  <c r="H53" i="149" s="1"/>
  <c r="G50" i="149"/>
  <c r="G53" i="149" s="1"/>
  <c r="F50" i="149"/>
  <c r="F53" i="149" s="1"/>
  <c r="E50" i="149"/>
  <c r="E53" i="149" s="1"/>
  <c r="D50" i="149"/>
  <c r="D53" i="149" s="1"/>
  <c r="AI49" i="149"/>
  <c r="K4390" i="138"/>
  <c r="G4394" i="138"/>
  <c r="G4398" i="138" s="1"/>
  <c r="G4373" i="138"/>
  <c r="G4378" i="138" s="1"/>
  <c r="M4349" i="138"/>
  <c r="H4352" i="138"/>
  <c r="G4316" i="138"/>
  <c r="G4320" i="138" s="1"/>
  <c r="G4275" i="138"/>
  <c r="G4280" i="138" s="1"/>
  <c r="K4263" i="138"/>
  <c r="M4229" i="138"/>
  <c r="H4228" i="138"/>
  <c r="G4198" i="138"/>
  <c r="G4202" i="138" s="1"/>
  <c r="G4158" i="138"/>
  <c r="G4163" i="138" s="1"/>
  <c r="K4154" i="138"/>
  <c r="H4120" i="138"/>
  <c r="M4120" i="138"/>
  <c r="G4093" i="138"/>
  <c r="G4097" i="138" s="1"/>
  <c r="G4058" i="138"/>
  <c r="G4063" i="138" s="1"/>
  <c r="K4053" i="138"/>
  <c r="H4020" i="138"/>
  <c r="M4019" i="138"/>
  <c r="P3938" i="138"/>
  <c r="G3989" i="138"/>
  <c r="G3993" i="138" s="1"/>
  <c r="G3958" i="138"/>
  <c r="L3929" i="138" s="1"/>
  <c r="K3955" i="138"/>
  <c r="H3929" i="138"/>
  <c r="M3921" i="138"/>
  <c r="V41" i="142"/>
  <c r="H3897" i="138"/>
  <c r="G3888" i="138"/>
  <c r="G3892" i="138" s="1"/>
  <c r="K3865" i="138"/>
  <c r="G3866" i="138"/>
  <c r="G3871" i="138" s="1"/>
  <c r="H3841" i="138"/>
  <c r="M3833" i="138"/>
  <c r="T54" i="135"/>
  <c r="V50" i="145"/>
  <c r="Q56" i="148"/>
  <c r="Q59" i="148" s="1"/>
  <c r="M3744" i="138"/>
  <c r="I3767" i="138"/>
  <c r="H3722" i="138"/>
  <c r="H3803" i="138"/>
  <c r="AK99" i="148"/>
  <c r="E96" i="148"/>
  <c r="E98" i="148" s="1"/>
  <c r="F91" i="148"/>
  <c r="F90" i="148"/>
  <c r="G88" i="148"/>
  <c r="G96" i="148" s="1"/>
  <c r="G98" i="148" s="1"/>
  <c r="F88" i="148"/>
  <c r="D88" i="148"/>
  <c r="D96" i="148" s="1"/>
  <c r="D98" i="148" s="1"/>
  <c r="M58" i="148"/>
  <c r="AE59" i="148"/>
  <c r="AD56" i="148"/>
  <c r="AD58" i="148" s="1"/>
  <c r="AC56" i="148"/>
  <c r="AC59" i="148" s="1"/>
  <c r="AA56" i="148"/>
  <c r="AA59" i="148" s="1"/>
  <c r="Z56" i="148"/>
  <c r="Z59" i="148" s="1"/>
  <c r="Y56" i="148"/>
  <c r="Y59" i="148" s="1"/>
  <c r="X56" i="148"/>
  <c r="X59" i="148" s="1"/>
  <c r="W56" i="148"/>
  <c r="W59" i="148" s="1"/>
  <c r="V56" i="148"/>
  <c r="V59" i="148" s="1"/>
  <c r="U56" i="148"/>
  <c r="U59" i="148" s="1"/>
  <c r="T56" i="148"/>
  <c r="T59" i="148" s="1"/>
  <c r="S56" i="148"/>
  <c r="S59" i="148" s="1"/>
  <c r="R56" i="148"/>
  <c r="R59" i="148" s="1"/>
  <c r="P56" i="148"/>
  <c r="P59" i="148" s="1"/>
  <c r="O56" i="148"/>
  <c r="O59" i="148" s="1"/>
  <c r="N56" i="148"/>
  <c r="N59" i="148" s="1"/>
  <c r="M56" i="148"/>
  <c r="L56" i="148"/>
  <c r="L59" i="148" s="1"/>
  <c r="K56" i="148"/>
  <c r="K59" i="148" s="1"/>
  <c r="J56" i="148"/>
  <c r="J59" i="148" s="1"/>
  <c r="I56" i="148"/>
  <c r="I59" i="148" s="1"/>
  <c r="H56" i="148"/>
  <c r="H59" i="148" s="1"/>
  <c r="G56" i="148"/>
  <c r="G59" i="148" s="1"/>
  <c r="F56" i="148"/>
  <c r="F59" i="148" s="1"/>
  <c r="E56" i="148"/>
  <c r="E59" i="148" s="1"/>
  <c r="D56" i="148"/>
  <c r="D59" i="148" s="1"/>
  <c r="AI55" i="148"/>
  <c r="AB56" i="148"/>
  <c r="AB59" i="148" s="1"/>
  <c r="G3791" i="138"/>
  <c r="K3776" i="138"/>
  <c r="G3772" i="138"/>
  <c r="G3777" i="138" s="1"/>
  <c r="H3751" i="138"/>
  <c r="F90" i="149" l="1"/>
  <c r="F92" i="149" s="1"/>
  <c r="G93" i="149" s="1"/>
  <c r="M53" i="149"/>
  <c r="AF53" i="149" s="1"/>
  <c r="H4827" i="138" s="1"/>
  <c r="L4822" i="138" s="1"/>
  <c r="L4828" i="138" s="1"/>
  <c r="L4831" i="138" s="1"/>
  <c r="L4357" i="138"/>
  <c r="L4237" i="138"/>
  <c r="L4128" i="138"/>
  <c r="L4027" i="138"/>
  <c r="G3963" i="138"/>
  <c r="L3841" i="138"/>
  <c r="M59" i="148"/>
  <c r="AF59" i="148" s="1"/>
  <c r="F96" i="148"/>
  <c r="F98" i="148" s="1"/>
  <c r="G99" i="148" s="1"/>
  <c r="L3752" i="138"/>
  <c r="H4605" i="138" l="1"/>
  <c r="L4603" i="138" s="1"/>
  <c r="L4609" i="138" s="1"/>
  <c r="L4612" i="138" s="1"/>
  <c r="H4710" i="138"/>
  <c r="L4706" i="138" s="1"/>
  <c r="L4712" i="138" s="1"/>
  <c r="L4715" i="138" s="1"/>
  <c r="H4510" i="138"/>
  <c r="L4506" i="138" s="1"/>
  <c r="L4512" i="138" s="1"/>
  <c r="L4515" i="138" s="1"/>
  <c r="H4357" i="138"/>
  <c r="L4355" i="138" s="1"/>
  <c r="L4361" i="138" s="1"/>
  <c r="L4364" i="138" s="1"/>
  <c r="H4426" i="138"/>
  <c r="L4425" i="138" s="1"/>
  <c r="L4431" i="138" s="1"/>
  <c r="L4434" i="138" s="1"/>
  <c r="H4125" i="138"/>
  <c r="L4126" i="138" s="1"/>
  <c r="L4132" i="138" s="1"/>
  <c r="L4135" i="138" s="1"/>
  <c r="H4233" i="138"/>
  <c r="L4235" i="138" s="1"/>
  <c r="L4241" i="138" s="1"/>
  <c r="L4244" i="138" s="1"/>
  <c r="H3934" i="138"/>
  <c r="L3927" i="138" s="1"/>
  <c r="L3933" i="138" s="1"/>
  <c r="L3936" i="138" s="1"/>
  <c r="H4025" i="138"/>
  <c r="L4025" i="138" s="1"/>
  <c r="L4031" i="138" s="1"/>
  <c r="L4034" i="138" s="1"/>
  <c r="H3756" i="138"/>
  <c r="L3750" i="138" s="1"/>
  <c r="L3756" i="138" s="1"/>
  <c r="L3759" i="138" s="1"/>
  <c r="H3846" i="138"/>
  <c r="L3839" i="138" s="1"/>
  <c r="L3845" i="138" s="1"/>
  <c r="L3848" i="138" s="1"/>
  <c r="G3702" i="138" l="1"/>
  <c r="G3662" i="138"/>
  <c r="L3614" i="138" s="1"/>
  <c r="K3647" i="138"/>
  <c r="H3617" i="138"/>
  <c r="M3606" i="138"/>
  <c r="G3667" i="138" l="1"/>
  <c r="I51" i="147" l="1"/>
  <c r="I54" i="147" s="1"/>
  <c r="G3582" i="138"/>
  <c r="G3545" i="138"/>
  <c r="L3507" i="138" s="1"/>
  <c r="K3540" i="138"/>
  <c r="H3506" i="138"/>
  <c r="M3499" i="138"/>
  <c r="G3479" i="138"/>
  <c r="G3444" i="138"/>
  <c r="G3449" i="138" s="1"/>
  <c r="K3439" i="138"/>
  <c r="H3407" i="138"/>
  <c r="M3400" i="138"/>
  <c r="T70" i="147"/>
  <c r="T66" i="147"/>
  <c r="G3550" i="138" l="1"/>
  <c r="L3408" i="138"/>
  <c r="G3374" i="138" l="1"/>
  <c r="K3345" i="138"/>
  <c r="G3346" i="138"/>
  <c r="G3351" i="138" s="1"/>
  <c r="H3316" i="138"/>
  <c r="M3306" i="138"/>
  <c r="K3263" i="138"/>
  <c r="H3237" i="138"/>
  <c r="G3287" i="138"/>
  <c r="G3263" i="138"/>
  <c r="G3268" i="138" s="1"/>
  <c r="M3226" i="138"/>
  <c r="L3314" i="138" l="1"/>
  <c r="L3234" i="138"/>
  <c r="G3209" i="138" l="1"/>
  <c r="H3167" i="138"/>
  <c r="K3192" i="138"/>
  <c r="G3191" i="138"/>
  <c r="G3196" i="138" s="1"/>
  <c r="M3159" i="138"/>
  <c r="AK94" i="147"/>
  <c r="J92" i="147"/>
  <c r="E91" i="147"/>
  <c r="E93" i="147" s="1"/>
  <c r="F86" i="147"/>
  <c r="F85" i="147"/>
  <c r="J83" i="147"/>
  <c r="J91" i="147" s="1"/>
  <c r="G83" i="147"/>
  <c r="G91" i="147" s="1"/>
  <c r="G93" i="147" s="1"/>
  <c r="F83" i="147"/>
  <c r="D83" i="147"/>
  <c r="D91" i="147" s="1"/>
  <c r="D93" i="147" s="1"/>
  <c r="AJ71" i="147"/>
  <c r="N71" i="147"/>
  <c r="Z70" i="147"/>
  <c r="N70" i="147"/>
  <c r="Y68" i="147"/>
  <c r="N67" i="147"/>
  <c r="N65" i="147"/>
  <c r="M65" i="147"/>
  <c r="M73" i="147" s="1"/>
  <c r="L65" i="147"/>
  <c r="L73" i="147" s="1"/>
  <c r="L75" i="147" s="1"/>
  <c r="K65" i="147"/>
  <c r="K73" i="147" s="1"/>
  <c r="K75" i="147" s="1"/>
  <c r="AL64" i="147"/>
  <c r="AC63" i="147"/>
  <c r="AB61" i="147"/>
  <c r="M53" i="147"/>
  <c r="AE51" i="147"/>
  <c r="AE54" i="147" s="1"/>
  <c r="AD51" i="147"/>
  <c r="AD53" i="147" s="1"/>
  <c r="AC51" i="147"/>
  <c r="AC54" i="147" s="1"/>
  <c r="AA51" i="147"/>
  <c r="AA54" i="147" s="1"/>
  <c r="Z51" i="147"/>
  <c r="Z54" i="147" s="1"/>
  <c r="Y51" i="147"/>
  <c r="Y54" i="147" s="1"/>
  <c r="X51" i="147"/>
  <c r="X54" i="147" s="1"/>
  <c r="W51" i="147"/>
  <c r="W54" i="147" s="1"/>
  <c r="V51" i="147"/>
  <c r="V54" i="147" s="1"/>
  <c r="U51" i="147"/>
  <c r="U54" i="147" s="1"/>
  <c r="T51" i="147"/>
  <c r="T54" i="147" s="1"/>
  <c r="S51" i="147"/>
  <c r="S54" i="147" s="1"/>
  <c r="R51" i="147"/>
  <c r="R54" i="147" s="1"/>
  <c r="Q51" i="147"/>
  <c r="Q54" i="147" s="1"/>
  <c r="P51" i="147"/>
  <c r="P54" i="147" s="1"/>
  <c r="O51" i="147"/>
  <c r="O54" i="147" s="1"/>
  <c r="N51" i="147"/>
  <c r="N54" i="147" s="1"/>
  <c r="M51" i="147"/>
  <c r="L51" i="147"/>
  <c r="L54" i="147" s="1"/>
  <c r="K51" i="147"/>
  <c r="K54" i="147" s="1"/>
  <c r="J51" i="147"/>
  <c r="J54" i="147" s="1"/>
  <c r="H51" i="147"/>
  <c r="H54" i="147" s="1"/>
  <c r="G51" i="147"/>
  <c r="G54" i="147" s="1"/>
  <c r="F51" i="147"/>
  <c r="F54" i="147" s="1"/>
  <c r="E51" i="147"/>
  <c r="E54" i="147" s="1"/>
  <c r="D51" i="147"/>
  <c r="D54" i="147" s="1"/>
  <c r="AI50" i="147"/>
  <c r="AB4" i="147"/>
  <c r="AB51" i="147" s="1"/>
  <c r="X46" i="146"/>
  <c r="Z46" i="146"/>
  <c r="G3140" i="138"/>
  <c r="K3106" i="138"/>
  <c r="H3071" i="138"/>
  <c r="G3108" i="138"/>
  <c r="G3113" i="138" s="1"/>
  <c r="M3062" i="138"/>
  <c r="K3009" i="138"/>
  <c r="L3167" i="138" l="1"/>
  <c r="J93" i="147"/>
  <c r="K77" i="147" s="1"/>
  <c r="L77" i="147"/>
  <c r="M54" i="147"/>
  <c r="N73" i="147"/>
  <c r="N76" i="147" s="1"/>
  <c r="F91" i="147"/>
  <c r="F93" i="147" s="1"/>
  <c r="G94" i="147" s="1"/>
  <c r="AB54" i="147"/>
  <c r="L3070" i="138"/>
  <c r="G3039" i="138"/>
  <c r="G3011" i="138"/>
  <c r="G3016" i="138" s="1"/>
  <c r="H2982" i="138"/>
  <c r="M2970" i="138"/>
  <c r="J94" i="147" l="1"/>
  <c r="AF54" i="147"/>
  <c r="L2978" i="138"/>
  <c r="H3511" i="138" l="1"/>
  <c r="L3505" i="138" s="1"/>
  <c r="L3511" i="138" s="1"/>
  <c r="L3514" i="138" s="1"/>
  <c r="H3622" i="138"/>
  <c r="L3612" i="138" s="1"/>
  <c r="L3618" i="138" s="1"/>
  <c r="L3621" i="138" s="1"/>
  <c r="H3321" i="138"/>
  <c r="L3312" i="138" s="1"/>
  <c r="L3318" i="138" s="1"/>
  <c r="L3321" i="138" s="1"/>
  <c r="H3412" i="138"/>
  <c r="L3406" i="138" s="1"/>
  <c r="L3412" i="138" s="1"/>
  <c r="L3415" i="138" s="1"/>
  <c r="H3172" i="138"/>
  <c r="L3165" i="138" s="1"/>
  <c r="L3171" i="138" s="1"/>
  <c r="L3174" i="138" s="1"/>
  <c r="H3242" i="138"/>
  <c r="L3232" i="138" s="1"/>
  <c r="L3238" i="138" s="1"/>
  <c r="L3241" i="138" s="1"/>
  <c r="K2929" i="138"/>
  <c r="G2953" i="138"/>
  <c r="G2930" i="138"/>
  <c r="L2904" i="138" s="1"/>
  <c r="H2903" i="138"/>
  <c r="M2896" i="138"/>
  <c r="G2935" i="138" l="1"/>
  <c r="H2868" i="138" l="1"/>
  <c r="H2880" i="138"/>
  <c r="G2851" i="138"/>
  <c r="G2834" i="138"/>
  <c r="G2839" i="138" s="1"/>
  <c r="K2829" i="138"/>
  <c r="H2811" i="138"/>
  <c r="M2803" i="138"/>
  <c r="AJ86" i="146"/>
  <c r="I84" i="146"/>
  <c r="E83" i="146"/>
  <c r="E85" i="146" s="1"/>
  <c r="F78" i="146"/>
  <c r="F77" i="146"/>
  <c r="I75" i="146"/>
  <c r="I83" i="146" s="1"/>
  <c r="G75" i="146"/>
  <c r="G83" i="146" s="1"/>
  <c r="G85" i="146" s="1"/>
  <c r="F75" i="146"/>
  <c r="D75" i="146"/>
  <c r="D83" i="146" s="1"/>
  <c r="D85" i="146" s="1"/>
  <c r="AI63" i="146"/>
  <c r="M63" i="146"/>
  <c r="Y62" i="146"/>
  <c r="M62" i="146"/>
  <c r="X60" i="146"/>
  <c r="M59" i="146"/>
  <c r="M57" i="146"/>
  <c r="L57" i="146"/>
  <c r="L65" i="146" s="1"/>
  <c r="K57" i="146"/>
  <c r="K65" i="146" s="1"/>
  <c r="K67" i="146" s="1"/>
  <c r="J57" i="146"/>
  <c r="J65" i="146" s="1"/>
  <c r="J67" i="146" s="1"/>
  <c r="AI56" i="146"/>
  <c r="Z55" i="146"/>
  <c r="Y53" i="146"/>
  <c r="L45" i="146"/>
  <c r="AD43" i="146"/>
  <c r="AD46" i="146" s="1"/>
  <c r="AC43" i="146"/>
  <c r="AC45" i="146" s="1"/>
  <c r="AB43" i="146"/>
  <c r="AB46" i="146" s="1"/>
  <c r="Z43" i="146"/>
  <c r="Y43" i="146"/>
  <c r="Y46" i="146" s="1"/>
  <c r="X43" i="146"/>
  <c r="W43" i="146"/>
  <c r="W46" i="146" s="1"/>
  <c r="V43" i="146"/>
  <c r="V46" i="146" s="1"/>
  <c r="U43" i="146"/>
  <c r="U46" i="146" s="1"/>
  <c r="T43" i="146"/>
  <c r="T46" i="146" s="1"/>
  <c r="S43" i="146"/>
  <c r="S46" i="146" s="1"/>
  <c r="Q43" i="146"/>
  <c r="Q46" i="146" s="1"/>
  <c r="P43" i="146"/>
  <c r="P46" i="146" s="1"/>
  <c r="O43" i="146"/>
  <c r="O46" i="146" s="1"/>
  <c r="N43" i="146"/>
  <c r="N46" i="146" s="1"/>
  <c r="M43" i="146"/>
  <c r="M46" i="146" s="1"/>
  <c r="L43" i="146"/>
  <c r="K43" i="146"/>
  <c r="K46" i="146" s="1"/>
  <c r="J43" i="146"/>
  <c r="J46" i="146" s="1"/>
  <c r="I43" i="146"/>
  <c r="I46" i="146" s="1"/>
  <c r="H43" i="146"/>
  <c r="H46" i="146" s="1"/>
  <c r="G43" i="146"/>
  <c r="G46" i="146" s="1"/>
  <c r="F43" i="146"/>
  <c r="F46" i="146" s="1"/>
  <c r="E43" i="146"/>
  <c r="E46" i="146" s="1"/>
  <c r="D43" i="146"/>
  <c r="D46" i="146" s="1"/>
  <c r="AH42" i="146"/>
  <c r="AA4" i="146"/>
  <c r="AA43" i="146" s="1"/>
  <c r="R43" i="146"/>
  <c r="R46" i="146" s="1"/>
  <c r="G2780" i="138"/>
  <c r="G2764" i="138"/>
  <c r="L2743" i="138" s="1"/>
  <c r="K2761" i="138"/>
  <c r="H2743" i="138"/>
  <c r="M2735" i="138"/>
  <c r="L2811" i="138" l="1"/>
  <c r="L46" i="146"/>
  <c r="M65" i="146"/>
  <c r="M68" i="146" s="1"/>
  <c r="I85" i="146"/>
  <c r="J69" i="146" s="1"/>
  <c r="F83" i="146"/>
  <c r="F85" i="146" s="1"/>
  <c r="G86" i="146" s="1"/>
  <c r="K69" i="146"/>
  <c r="AA45" i="146"/>
  <c r="AA46" i="146" s="1"/>
  <c r="I86" i="146"/>
  <c r="G2769" i="138"/>
  <c r="AE46" i="146" l="1"/>
  <c r="H3076" i="138" s="1"/>
  <c r="L3068" i="138" s="1"/>
  <c r="L3074" i="138" s="1"/>
  <c r="L3077" i="138" s="1"/>
  <c r="H2908" i="138" l="1"/>
  <c r="L2902" i="138" s="1"/>
  <c r="L2906" i="138" s="1"/>
  <c r="L2909" i="138" s="1"/>
  <c r="H2987" i="138"/>
  <c r="L2976" i="138" s="1"/>
  <c r="L2982" i="138" s="1"/>
  <c r="L2985" i="138" s="1"/>
  <c r="H2748" i="138"/>
  <c r="L2741" i="138" s="1"/>
  <c r="L2745" i="138" s="1"/>
  <c r="L2748" i="138" s="1"/>
  <c r="H2816" i="138"/>
  <c r="L2809" i="138" s="1"/>
  <c r="L2813" i="138" s="1"/>
  <c r="L2816" i="138" s="1"/>
  <c r="G2681" i="138"/>
  <c r="G2686" i="138" s="1"/>
  <c r="L2672" i="138"/>
  <c r="P2632" i="138" l="1"/>
  <c r="G2712" i="138"/>
  <c r="H2632" i="138"/>
  <c r="M2625" i="138"/>
  <c r="G2603" i="138"/>
  <c r="L2569" i="138"/>
  <c r="G2573" i="138"/>
  <c r="L2533" i="138" s="1"/>
  <c r="H2532" i="138"/>
  <c r="M2525" i="138"/>
  <c r="G2473" i="138"/>
  <c r="G2478" i="138" s="1"/>
  <c r="L2475" i="138"/>
  <c r="G2500" i="138"/>
  <c r="H2439" i="138"/>
  <c r="M2431" i="138"/>
  <c r="Z62" i="145"/>
  <c r="X67" i="145"/>
  <c r="Y60" i="145"/>
  <c r="Y69" i="145"/>
  <c r="L2386" i="138"/>
  <c r="G2407" i="138"/>
  <c r="G2382" i="138"/>
  <c r="G2387" i="138" s="1"/>
  <c r="H2353" i="138"/>
  <c r="M2344" i="138"/>
  <c r="L2633" i="138" l="1"/>
  <c r="G2578" i="138"/>
  <c r="L2439" i="138"/>
  <c r="L2352" i="138"/>
  <c r="L2310" i="138" l="1"/>
  <c r="G2304" i="138"/>
  <c r="G2309" i="138" s="1"/>
  <c r="G2323" i="138"/>
  <c r="H2280" i="138"/>
  <c r="M2272" i="138"/>
  <c r="L2280" i="138" l="1"/>
  <c r="L2236" i="138" l="1"/>
  <c r="G2250" i="138"/>
  <c r="G2232" i="138"/>
  <c r="G2237" i="138" s="1"/>
  <c r="H2208" i="138"/>
  <c r="M2200" i="138"/>
  <c r="AJ93" i="145"/>
  <c r="I91" i="145"/>
  <c r="E90" i="145"/>
  <c r="E92" i="145" s="1"/>
  <c r="F85" i="145"/>
  <c r="F84" i="145"/>
  <c r="I82" i="145"/>
  <c r="I90" i="145" s="1"/>
  <c r="G82" i="145"/>
  <c r="G90" i="145" s="1"/>
  <c r="G92" i="145" s="1"/>
  <c r="F82" i="145"/>
  <c r="D82" i="145"/>
  <c r="D90" i="145" s="1"/>
  <c r="D92" i="145" s="1"/>
  <c r="AI70" i="145"/>
  <c r="M70" i="145"/>
  <c r="M69" i="145"/>
  <c r="M66" i="145"/>
  <c r="M64" i="145"/>
  <c r="L64" i="145"/>
  <c r="L72" i="145" s="1"/>
  <c r="K64" i="145"/>
  <c r="K72" i="145" s="1"/>
  <c r="K74" i="145" s="1"/>
  <c r="J64" i="145"/>
  <c r="J72" i="145" s="1"/>
  <c r="J74" i="145" s="1"/>
  <c r="AI63" i="145"/>
  <c r="L52" i="145"/>
  <c r="AD50" i="145"/>
  <c r="AD53" i="145" s="1"/>
  <c r="AC50" i="145"/>
  <c r="AC52" i="145" s="1"/>
  <c r="Z50" i="145"/>
  <c r="Y50" i="145"/>
  <c r="Y53" i="145" s="1"/>
  <c r="X50" i="145"/>
  <c r="X53" i="145" s="1"/>
  <c r="W50" i="145"/>
  <c r="W53" i="145" s="1"/>
  <c r="V53" i="145"/>
  <c r="U50" i="145"/>
  <c r="U53" i="145" s="1"/>
  <c r="T50" i="145"/>
  <c r="T53" i="145" s="1"/>
  <c r="S50" i="145"/>
  <c r="S53" i="145" s="1"/>
  <c r="P50" i="145"/>
  <c r="P53" i="145" s="1"/>
  <c r="O50" i="145"/>
  <c r="O53" i="145" s="1"/>
  <c r="N50" i="145"/>
  <c r="N53" i="145" s="1"/>
  <c r="M50" i="145"/>
  <c r="M53" i="145" s="1"/>
  <c r="L50" i="145"/>
  <c r="K50" i="145"/>
  <c r="K53" i="145" s="1"/>
  <c r="J50" i="145"/>
  <c r="J53" i="145" s="1"/>
  <c r="I50" i="145"/>
  <c r="I53" i="145" s="1"/>
  <c r="H50" i="145"/>
  <c r="H53" i="145" s="1"/>
  <c r="G50" i="145"/>
  <c r="G53" i="145" s="1"/>
  <c r="F50" i="145"/>
  <c r="F53" i="145" s="1"/>
  <c r="E50" i="145"/>
  <c r="E53" i="145" s="1"/>
  <c r="D50" i="145"/>
  <c r="D53" i="145" s="1"/>
  <c r="AH49" i="145"/>
  <c r="AB4" i="145"/>
  <c r="AB50" i="145" s="1"/>
  <c r="AA4" i="145"/>
  <c r="AA50" i="145" s="1"/>
  <c r="R4" i="145"/>
  <c r="R50" i="145" s="1"/>
  <c r="R53" i="145" s="1"/>
  <c r="Q4" i="145"/>
  <c r="Q50" i="145" s="1"/>
  <c r="Q53" i="145" s="1"/>
  <c r="L2132" i="138"/>
  <c r="G2177" i="138"/>
  <c r="G2147" i="138"/>
  <c r="G2152" i="138" s="1"/>
  <c r="H2098" i="138"/>
  <c r="M2096" i="138"/>
  <c r="I1860" i="138"/>
  <c r="L53" i="145" l="1"/>
  <c r="M72" i="145"/>
  <c r="M75" i="145" s="1"/>
  <c r="I92" i="145"/>
  <c r="I93" i="145" s="1"/>
  <c r="F90" i="145"/>
  <c r="F92" i="145" s="1"/>
  <c r="G93" i="145" s="1"/>
  <c r="L2208" i="138"/>
  <c r="AB53" i="145"/>
  <c r="K76" i="145"/>
  <c r="AA52" i="145"/>
  <c r="AA53" i="145" s="1"/>
  <c r="L2104" i="138"/>
  <c r="J76" i="145" l="1"/>
  <c r="AE53" i="145"/>
  <c r="H2213" i="138"/>
  <c r="L2206" i="138" s="1"/>
  <c r="L2210" i="138" s="1"/>
  <c r="L2213" i="138" s="1"/>
  <c r="H2285" i="138"/>
  <c r="L2278" i="138" s="1"/>
  <c r="L2282" i="138" s="1"/>
  <c r="L2285" i="138" s="1"/>
  <c r="L2038" i="138"/>
  <c r="G2043" i="138"/>
  <c r="G2048" i="138" s="1"/>
  <c r="G2070" i="138"/>
  <c r="H2007" i="138"/>
  <c r="M2004" i="138"/>
  <c r="H2537" i="138" l="1"/>
  <c r="L2531" i="138" s="1"/>
  <c r="L2535" i="138" s="1"/>
  <c r="L2538" i="138" s="1"/>
  <c r="H2634" i="138"/>
  <c r="H2637" i="138" s="1"/>
  <c r="L2631" i="138" s="1"/>
  <c r="L2635" i="138" s="1"/>
  <c r="L2638" i="138" s="1"/>
  <c r="H2358" i="138"/>
  <c r="L2350" i="138" s="1"/>
  <c r="L2354" i="138" s="1"/>
  <c r="L2357" i="138" s="1"/>
  <c r="H2444" i="138"/>
  <c r="L2437" i="138" s="1"/>
  <c r="L2441" i="138" s="1"/>
  <c r="L2444" i="138" s="1"/>
  <c r="L2012" i="138"/>
  <c r="G1978" i="138" l="1"/>
  <c r="O1919" i="138"/>
  <c r="M1974" i="138"/>
  <c r="L1952" i="138"/>
  <c r="G1954" i="138"/>
  <c r="G1959" i="138" s="1"/>
  <c r="M1920" i="138"/>
  <c r="H1923" i="138"/>
  <c r="G1895" i="138"/>
  <c r="G1875" i="138"/>
  <c r="L1854" i="138" s="1"/>
  <c r="L1878" i="138"/>
  <c r="M1846" i="138"/>
  <c r="H1845" i="138"/>
  <c r="L1748" i="138"/>
  <c r="L1928" i="138" l="1"/>
  <c r="G1880" i="138"/>
  <c r="G1812" i="138" l="1"/>
  <c r="G1793" i="138"/>
  <c r="L1800" i="138"/>
  <c r="AJ84" i="143" l="1"/>
  <c r="G83" i="143"/>
  <c r="E83" i="143"/>
  <c r="D83" i="143"/>
  <c r="I82" i="143"/>
  <c r="G81" i="143"/>
  <c r="E81" i="143"/>
  <c r="D81" i="143"/>
  <c r="F76" i="143"/>
  <c r="F75" i="143"/>
  <c r="F81" i="143" s="1"/>
  <c r="F83" i="143" s="1"/>
  <c r="I73" i="143"/>
  <c r="I81" i="143" s="1"/>
  <c r="I83" i="143" s="1"/>
  <c r="G73" i="143"/>
  <c r="F73" i="143"/>
  <c r="D73" i="143"/>
  <c r="AI61" i="143"/>
  <c r="M61" i="143"/>
  <c r="M60" i="143"/>
  <c r="M57" i="143"/>
  <c r="M55" i="143"/>
  <c r="M63" i="143" s="1"/>
  <c r="L55" i="143"/>
  <c r="L63" i="143" s="1"/>
  <c r="K55" i="143"/>
  <c r="K63" i="143" s="1"/>
  <c r="K65" i="143" s="1"/>
  <c r="J55" i="143"/>
  <c r="J63" i="143" s="1"/>
  <c r="J65" i="143" s="1"/>
  <c r="AI54" i="143"/>
  <c r="AD44" i="143"/>
  <c r="L44" i="143"/>
  <c r="L43" i="143"/>
  <c r="AD41" i="143"/>
  <c r="AC41" i="143"/>
  <c r="AC43" i="143" s="1"/>
  <c r="AB41" i="143"/>
  <c r="AA41" i="143"/>
  <c r="Z41" i="143"/>
  <c r="Y41" i="143"/>
  <c r="Y44" i="143" s="1"/>
  <c r="X41" i="143"/>
  <c r="X44" i="143" s="1"/>
  <c r="W41" i="143"/>
  <c r="W44" i="143" s="1"/>
  <c r="V41" i="143"/>
  <c r="V44" i="143" s="1"/>
  <c r="U41" i="143"/>
  <c r="U44" i="143" s="1"/>
  <c r="T41" i="143"/>
  <c r="T44" i="143" s="1"/>
  <c r="S41" i="143"/>
  <c r="S44" i="143" s="1"/>
  <c r="P41" i="143"/>
  <c r="P44" i="143" s="1"/>
  <c r="O41" i="143"/>
  <c r="O44" i="143" s="1"/>
  <c r="N41" i="143"/>
  <c r="N44" i="143" s="1"/>
  <c r="M41" i="143"/>
  <c r="M44" i="143" s="1"/>
  <c r="L41" i="143"/>
  <c r="K41" i="143"/>
  <c r="K44" i="143" s="1"/>
  <c r="J41" i="143"/>
  <c r="J44" i="143" s="1"/>
  <c r="I41" i="143"/>
  <c r="I44" i="143" s="1"/>
  <c r="H41" i="143"/>
  <c r="H44" i="143" s="1"/>
  <c r="G41" i="143"/>
  <c r="G44" i="143" s="1"/>
  <c r="F41" i="143"/>
  <c r="F44" i="143" s="1"/>
  <c r="E41" i="143"/>
  <c r="E44" i="143" s="1"/>
  <c r="D41" i="143"/>
  <c r="D44" i="143" s="1"/>
  <c r="AH40" i="143"/>
  <c r="AB4" i="143"/>
  <c r="AA4" i="143"/>
  <c r="R4" i="143"/>
  <c r="R41" i="143" s="1"/>
  <c r="R44" i="143" s="1"/>
  <c r="Q4" i="143"/>
  <c r="Q41" i="143" s="1"/>
  <c r="Q44" i="143" s="1"/>
  <c r="G1798" i="138"/>
  <c r="M1768" i="138"/>
  <c r="H1767" i="138"/>
  <c r="L1679" i="138"/>
  <c r="G1738" i="138"/>
  <c r="H1631" i="138" s="1"/>
  <c r="H1637" i="138" s="1"/>
  <c r="G1683" i="138"/>
  <c r="G1688" i="138" s="1"/>
  <c r="M1636" i="138"/>
  <c r="M66" i="143" l="1"/>
  <c r="G84" i="143"/>
  <c r="K67" i="143"/>
  <c r="I84" i="143"/>
  <c r="J67" i="143"/>
  <c r="AA43" i="143"/>
  <c r="AA44" i="143" s="1"/>
  <c r="AB43" i="143"/>
  <c r="AB44" i="143" s="1"/>
  <c r="L1776" i="138"/>
  <c r="L1644" i="138"/>
  <c r="AE44" i="143" l="1"/>
  <c r="H2103" i="138" s="1"/>
  <c r="L2102" i="138" s="1"/>
  <c r="L2106" i="138" s="1"/>
  <c r="L2109" i="138" s="1"/>
  <c r="G1612" i="138"/>
  <c r="H1519" i="138" s="1"/>
  <c r="H1526" i="138" s="1"/>
  <c r="G1565" i="138"/>
  <c r="G1570" i="138" s="1"/>
  <c r="L1556" i="138"/>
  <c r="M1521" i="138"/>
  <c r="G1497" i="138"/>
  <c r="L1446" i="138"/>
  <c r="G1454" i="138"/>
  <c r="G1459" i="138" s="1"/>
  <c r="M1413" i="138"/>
  <c r="H1415" i="138"/>
  <c r="G1385" i="138"/>
  <c r="G1354" i="138"/>
  <c r="G1359" i="138" s="1"/>
  <c r="M1325" i="138"/>
  <c r="H1320" i="138"/>
  <c r="H1928" i="138" l="1"/>
  <c r="L1926" i="138" s="1"/>
  <c r="L1930" i="138" s="1"/>
  <c r="L1933" i="138" s="1"/>
  <c r="H2012" i="138"/>
  <c r="L2010" i="138" s="1"/>
  <c r="L2014" i="138" s="1"/>
  <c r="L2017" i="138" s="1"/>
  <c r="H1772" i="138"/>
  <c r="L1774" i="138" s="1"/>
  <c r="L1778" i="138" s="1"/>
  <c r="L1781" i="138" s="1"/>
  <c r="H1850" i="138"/>
  <c r="L1852" i="138" s="1"/>
  <c r="L1856" i="138" s="1"/>
  <c r="L1859" i="138" s="1"/>
  <c r="L1529" i="138"/>
  <c r="L1421" i="138"/>
  <c r="L1333" i="138"/>
  <c r="M1247" i="138" l="1"/>
  <c r="L1251" i="138" l="1"/>
  <c r="G1296" i="138" l="1"/>
  <c r="G1275" i="138"/>
  <c r="G1280" i="138" s="1"/>
  <c r="H1245" i="138"/>
  <c r="G1217" i="138"/>
  <c r="M1217" i="138"/>
  <c r="M1186" i="138"/>
  <c r="H1177" i="138"/>
  <c r="AJ84" i="142"/>
  <c r="I82" i="142"/>
  <c r="E81" i="142"/>
  <c r="E83" i="142" s="1"/>
  <c r="F76" i="142"/>
  <c r="F75" i="142"/>
  <c r="I73" i="142"/>
  <c r="I81" i="142" s="1"/>
  <c r="G73" i="142"/>
  <c r="G81" i="142" s="1"/>
  <c r="G83" i="142" s="1"/>
  <c r="F73" i="142"/>
  <c r="D73" i="142"/>
  <c r="D81" i="142" s="1"/>
  <c r="D83" i="142" s="1"/>
  <c r="AI61" i="142"/>
  <c r="M61" i="142"/>
  <c r="M60" i="142"/>
  <c r="M57" i="142"/>
  <c r="M55" i="142"/>
  <c r="L55" i="142"/>
  <c r="L63" i="142" s="1"/>
  <c r="K55" i="142"/>
  <c r="K63" i="142" s="1"/>
  <c r="K65" i="142" s="1"/>
  <c r="J55" i="142"/>
  <c r="J63" i="142" s="1"/>
  <c r="J65" i="142" s="1"/>
  <c r="AI54" i="142"/>
  <c r="L43" i="142"/>
  <c r="AD41" i="142"/>
  <c r="AD44" i="142" s="1"/>
  <c r="AC41" i="142"/>
  <c r="AC43" i="142" s="1"/>
  <c r="Z41" i="142"/>
  <c r="Y41" i="142"/>
  <c r="Y44" i="142" s="1"/>
  <c r="X41" i="142"/>
  <c r="X44" i="142" s="1"/>
  <c r="V44" i="142"/>
  <c r="U41" i="142"/>
  <c r="U44" i="142" s="1"/>
  <c r="T41" i="142"/>
  <c r="T44" i="142" s="1"/>
  <c r="P41" i="142"/>
  <c r="O41" i="142"/>
  <c r="O44" i="142" s="1"/>
  <c r="N41" i="142"/>
  <c r="N44" i="142" s="1"/>
  <c r="M41" i="142"/>
  <c r="M44" i="142" s="1"/>
  <c r="L41" i="142"/>
  <c r="K41" i="142"/>
  <c r="K44" i="142" s="1"/>
  <c r="J41" i="142"/>
  <c r="J44" i="142" s="1"/>
  <c r="I41" i="142"/>
  <c r="I44" i="142" s="1"/>
  <c r="H41" i="142"/>
  <c r="H44" i="142" s="1"/>
  <c r="G41" i="142"/>
  <c r="G44" i="142" s="1"/>
  <c r="F41" i="142"/>
  <c r="F44" i="142" s="1"/>
  <c r="E41" i="142"/>
  <c r="E44" i="142" s="1"/>
  <c r="D41" i="142"/>
  <c r="D44" i="142" s="1"/>
  <c r="AH40" i="142"/>
  <c r="AB4" i="142"/>
  <c r="AB41" i="142" s="1"/>
  <c r="AA4" i="142"/>
  <c r="AA41" i="142" s="1"/>
  <c r="W41" i="142"/>
  <c r="W44" i="142" s="1"/>
  <c r="S4" i="142"/>
  <c r="S41" i="142" s="1"/>
  <c r="R4" i="142"/>
  <c r="R41" i="142" s="1"/>
  <c r="R44" i="142" s="1"/>
  <c r="Q4" i="142"/>
  <c r="Q41" i="142" s="1"/>
  <c r="Q44" i="142" s="1"/>
  <c r="G1201" i="138"/>
  <c r="G1206" i="138" s="1"/>
  <c r="L1255" i="138" l="1"/>
  <c r="M63" i="142"/>
  <c r="M66" i="142" s="1"/>
  <c r="I83" i="142"/>
  <c r="I84" i="142" s="1"/>
  <c r="L44" i="142"/>
  <c r="F81" i="142"/>
  <c r="F83" i="142" s="1"/>
  <c r="G84" i="142" s="1"/>
  <c r="S44" i="142"/>
  <c r="K67" i="142"/>
  <c r="AA43" i="142"/>
  <c r="AA44" i="142" s="1"/>
  <c r="AB43" i="142"/>
  <c r="AB44" i="142" s="1"/>
  <c r="P44" i="142"/>
  <c r="AE44" i="142" s="1"/>
  <c r="L1194" i="138"/>
  <c r="J67" i="142" l="1"/>
  <c r="H1531" i="138" l="1"/>
  <c r="L1527" i="138" s="1"/>
  <c r="L1531" i="138" s="1"/>
  <c r="L1534" i="138" s="1"/>
  <c r="H1642" i="138"/>
  <c r="L1642" i="138" s="1"/>
  <c r="L1646" i="138" s="1"/>
  <c r="L1649" i="138" s="1"/>
  <c r="H1325" i="138"/>
  <c r="L1331" i="138" s="1"/>
  <c r="L1335" i="138" s="1"/>
  <c r="L1338" i="138" s="1"/>
  <c r="H1420" i="138"/>
  <c r="L1419" i="138" s="1"/>
  <c r="L1423" i="138" s="1"/>
  <c r="L1426" i="138" s="1"/>
  <c r="H1182" i="138"/>
  <c r="L1192" i="138" s="1"/>
  <c r="L1196" i="138" s="1"/>
  <c r="L1199" i="138" s="1"/>
  <c r="H1250" i="138"/>
  <c r="L1253" i="138" s="1"/>
  <c r="L1257" i="138" s="1"/>
  <c r="L1260" i="138" s="1"/>
  <c r="G1123" i="138"/>
  <c r="G1128" i="138" s="1"/>
  <c r="M1085" i="138"/>
  <c r="H1079" i="138"/>
  <c r="G1147" i="138"/>
  <c r="G1055" i="138"/>
  <c r="H995" i="138"/>
  <c r="G1031" i="138"/>
  <c r="G1036" i="138" s="1"/>
  <c r="M998" i="138"/>
  <c r="M941" i="138"/>
  <c r="G969" i="138"/>
  <c r="G974" i="138" s="1"/>
  <c r="H939" i="138"/>
  <c r="L1093" i="138" l="1"/>
  <c r="L1006" i="138"/>
  <c r="L949" i="138"/>
  <c r="G914" i="138" l="1"/>
  <c r="G919" i="138" s="1"/>
  <c r="H889" i="138"/>
  <c r="M890" i="138"/>
  <c r="AJ99" i="141"/>
  <c r="I97" i="141"/>
  <c r="E96" i="141"/>
  <c r="E98" i="141" s="1"/>
  <c r="AI76" i="141"/>
  <c r="M76" i="141"/>
  <c r="M75" i="141"/>
  <c r="F91" i="141"/>
  <c r="M72" i="141"/>
  <c r="F90" i="141"/>
  <c r="M70" i="141"/>
  <c r="L70" i="141"/>
  <c r="L78" i="141" s="1"/>
  <c r="K70" i="141"/>
  <c r="K78" i="141" s="1"/>
  <c r="K80" i="141" s="1"/>
  <c r="J70" i="141"/>
  <c r="J78" i="141" s="1"/>
  <c r="J80" i="141" s="1"/>
  <c r="I88" i="141"/>
  <c r="I96" i="141" s="1"/>
  <c r="G88" i="141"/>
  <c r="G96" i="141" s="1"/>
  <c r="G98" i="141" s="1"/>
  <c r="F88" i="141"/>
  <c r="D88" i="141"/>
  <c r="D96" i="141" s="1"/>
  <c r="D98" i="141" s="1"/>
  <c r="AI69" i="141"/>
  <c r="L58" i="141"/>
  <c r="AD56" i="141"/>
  <c r="AD59" i="141" s="1"/>
  <c r="AC56" i="141"/>
  <c r="AC58" i="141" s="1"/>
  <c r="Z56" i="141"/>
  <c r="Y56" i="141"/>
  <c r="Y59" i="141" s="1"/>
  <c r="X56" i="141"/>
  <c r="X59" i="141" s="1"/>
  <c r="V56" i="141"/>
  <c r="V59" i="141" s="1"/>
  <c r="U56" i="141"/>
  <c r="U59" i="141" s="1"/>
  <c r="T56" i="141"/>
  <c r="T59" i="141" s="1"/>
  <c r="P56" i="141"/>
  <c r="N56" i="141"/>
  <c r="N59" i="141" s="1"/>
  <c r="M56" i="141"/>
  <c r="M59" i="141" s="1"/>
  <c r="L56" i="141"/>
  <c r="K56" i="141"/>
  <c r="K59" i="141" s="1"/>
  <c r="J56" i="141"/>
  <c r="J59" i="141" s="1"/>
  <c r="I56" i="141"/>
  <c r="I59" i="141" s="1"/>
  <c r="H56" i="141"/>
  <c r="H59" i="141" s="1"/>
  <c r="G56" i="141"/>
  <c r="G59" i="141" s="1"/>
  <c r="F56" i="141"/>
  <c r="F59" i="141" s="1"/>
  <c r="D56" i="141"/>
  <c r="D59" i="141" s="1"/>
  <c r="AH55" i="141"/>
  <c r="AB4" i="141"/>
  <c r="AB56" i="141" s="1"/>
  <c r="AA4" i="141"/>
  <c r="AA56" i="141" s="1"/>
  <c r="W4" i="141"/>
  <c r="W56" i="141" s="1"/>
  <c r="W59" i="141" s="1"/>
  <c r="S4" i="141"/>
  <c r="S56" i="141" s="1"/>
  <c r="R4" i="141"/>
  <c r="R56" i="141" s="1"/>
  <c r="Q4" i="141"/>
  <c r="Q56" i="141" s="1"/>
  <c r="Q59" i="141" s="1"/>
  <c r="O56" i="141"/>
  <c r="O59" i="141" s="1"/>
  <c r="E56" i="141"/>
  <c r="E59" i="141" s="1"/>
  <c r="G863" i="138"/>
  <c r="L853" i="138" s="1"/>
  <c r="M841" i="138"/>
  <c r="H840" i="138"/>
  <c r="L902" i="138" l="1"/>
  <c r="L59" i="141"/>
  <c r="I98" i="141"/>
  <c r="I99" i="141" s="1"/>
  <c r="M78" i="141"/>
  <c r="M81" i="141" s="1"/>
  <c r="F96" i="141"/>
  <c r="F98" i="141" s="1"/>
  <c r="G99" i="141" s="1"/>
  <c r="K82" i="141"/>
  <c r="AB58" i="141"/>
  <c r="AB59" i="141" s="1"/>
  <c r="AA58" i="141"/>
  <c r="AA59" i="141" s="1"/>
  <c r="R59" i="141"/>
  <c r="P58" i="141"/>
  <c r="P59" i="141" s="1"/>
  <c r="S58" i="141"/>
  <c r="S59" i="141" s="1"/>
  <c r="J82" i="141" l="1"/>
  <c r="AE59" i="141"/>
  <c r="H1000" i="138" l="1"/>
  <c r="L1004" i="138" s="1"/>
  <c r="L1008" i="138" s="1"/>
  <c r="L1011" i="138" s="1"/>
  <c r="H1084" i="138"/>
  <c r="L1091" i="138" s="1"/>
  <c r="L1095" i="138" s="1"/>
  <c r="L1098" i="138" s="1"/>
  <c r="H945" i="138"/>
  <c r="L947" i="138" s="1"/>
  <c r="L951" i="138" s="1"/>
  <c r="L954" i="138" s="1"/>
  <c r="H846" i="138"/>
  <c r="L851" i="138" s="1"/>
  <c r="L855" i="138" s="1"/>
  <c r="L858" i="138" s="1"/>
  <c r="H895" i="138"/>
  <c r="L900" i="138" s="1"/>
  <c r="L904" i="138" s="1"/>
  <c r="L907" i="138" s="1"/>
  <c r="G815" i="138"/>
  <c r="L789" i="138" s="1"/>
  <c r="H776" i="138"/>
  <c r="M777" i="138"/>
  <c r="H53" i="140"/>
  <c r="H56" i="140" s="1"/>
  <c r="G751" i="138"/>
  <c r="L729" i="138" s="1"/>
  <c r="H718" i="138"/>
  <c r="M717" i="138"/>
  <c r="G698" i="138" l="1"/>
  <c r="L678" i="138" s="1"/>
  <c r="M666" i="138"/>
  <c r="H668" i="138"/>
  <c r="G650" i="138"/>
  <c r="L635" i="138" s="1"/>
  <c r="M623" i="138"/>
  <c r="H623" i="138"/>
  <c r="G601" i="138" l="1"/>
  <c r="L589" i="138" s="1"/>
  <c r="M577" i="138"/>
  <c r="H567" i="138"/>
  <c r="H577" i="138" s="1"/>
  <c r="G549" i="138"/>
  <c r="L540" i="138" s="1"/>
  <c r="M528" i="138"/>
  <c r="H518" i="138"/>
  <c r="AJ92" i="140"/>
  <c r="I90" i="140"/>
  <c r="E89" i="140"/>
  <c r="E91" i="140" s="1"/>
  <c r="AI87" i="140"/>
  <c r="M87" i="140"/>
  <c r="M86" i="140"/>
  <c r="F84" i="140"/>
  <c r="M83" i="140"/>
  <c r="F83" i="140"/>
  <c r="M81" i="140"/>
  <c r="L81" i="140"/>
  <c r="L89" i="140" s="1"/>
  <c r="K81" i="140"/>
  <c r="K89" i="140" s="1"/>
  <c r="K91" i="140" s="1"/>
  <c r="J81" i="140"/>
  <c r="J89" i="140" s="1"/>
  <c r="J91" i="140" s="1"/>
  <c r="I81" i="140"/>
  <c r="I89" i="140" s="1"/>
  <c r="G81" i="140"/>
  <c r="G89" i="140" s="1"/>
  <c r="G91" i="140" s="1"/>
  <c r="F81" i="140"/>
  <c r="D81" i="140"/>
  <c r="D89" i="140" s="1"/>
  <c r="D91" i="140" s="1"/>
  <c r="AI80" i="140"/>
  <c r="T66" i="140"/>
  <c r="L55" i="140"/>
  <c r="AD53" i="140"/>
  <c r="AD56" i="140" s="1"/>
  <c r="AC53" i="140"/>
  <c r="AC55" i="140" s="1"/>
  <c r="Z53" i="140"/>
  <c r="Y53" i="140"/>
  <c r="Y56" i="140" s="1"/>
  <c r="X53" i="140"/>
  <c r="X56" i="140" s="1"/>
  <c r="V53" i="140"/>
  <c r="V56" i="140" s="1"/>
  <c r="U53" i="140"/>
  <c r="U56" i="140" s="1"/>
  <c r="T53" i="140"/>
  <c r="T56" i="140" s="1"/>
  <c r="P53" i="140"/>
  <c r="P55" i="140" s="1"/>
  <c r="N53" i="140"/>
  <c r="N56" i="140" s="1"/>
  <c r="M53" i="140"/>
  <c r="M56" i="140" s="1"/>
  <c r="L53" i="140"/>
  <c r="K53" i="140"/>
  <c r="K56" i="140" s="1"/>
  <c r="J53" i="140"/>
  <c r="I53" i="140"/>
  <c r="I56" i="140" s="1"/>
  <c r="G53" i="140"/>
  <c r="G56" i="140" s="1"/>
  <c r="F53" i="140"/>
  <c r="F56" i="140" s="1"/>
  <c r="D53" i="140"/>
  <c r="D56" i="140" s="1"/>
  <c r="AH52" i="140"/>
  <c r="AH44" i="140"/>
  <c r="AI39" i="140"/>
  <c r="AB4" i="140"/>
  <c r="AB53" i="140" s="1"/>
  <c r="AA4" i="140"/>
  <c r="AA53" i="140" s="1"/>
  <c r="W4" i="140"/>
  <c r="W53" i="140" s="1"/>
  <c r="W56" i="140" s="1"/>
  <c r="S4" i="140"/>
  <c r="S53" i="140" s="1"/>
  <c r="R4" i="140"/>
  <c r="R53" i="140" s="1"/>
  <c r="Q4" i="140"/>
  <c r="Q53" i="140" s="1"/>
  <c r="Q56" i="140" s="1"/>
  <c r="O4" i="140"/>
  <c r="O53" i="140" s="1"/>
  <c r="O56" i="140" s="1"/>
  <c r="Q68" i="140" s="1"/>
  <c r="E4" i="140"/>
  <c r="E53" i="140" s="1"/>
  <c r="E56" i="140" s="1"/>
  <c r="M462" i="138"/>
  <c r="H459" i="138"/>
  <c r="O486" i="138" s="1"/>
  <c r="H453" i="138"/>
  <c r="G504" i="138"/>
  <c r="L474" i="138" s="1"/>
  <c r="I91" i="140" l="1"/>
  <c r="I92" i="140" s="1"/>
  <c r="M89" i="140"/>
  <c r="M92" i="140" s="1"/>
  <c r="F89" i="140"/>
  <c r="F91" i="140" s="1"/>
  <c r="G92" i="140" s="1"/>
  <c r="L56" i="140"/>
  <c r="H463" i="138"/>
  <c r="H528" i="138"/>
  <c r="R55" i="140"/>
  <c r="R56" i="140" s="1"/>
  <c r="K93" i="140"/>
  <c r="S55" i="140"/>
  <c r="S56" i="140" s="1"/>
  <c r="AA55" i="140"/>
  <c r="AA56" i="140" s="1"/>
  <c r="AB55" i="140"/>
  <c r="AB56" i="140" s="1"/>
  <c r="P56" i="140"/>
  <c r="J56" i="140"/>
  <c r="G437" i="138"/>
  <c r="L410" i="138" s="1"/>
  <c r="N441" i="138"/>
  <c r="M398" i="138"/>
  <c r="H398" i="138"/>
  <c r="G374" i="138"/>
  <c r="L354" i="138" s="1"/>
  <c r="H342" i="138"/>
  <c r="M342" i="138"/>
  <c r="AF48" i="139"/>
  <c r="AH37" i="139"/>
  <c r="J93" i="140" l="1"/>
  <c r="AE56" i="140"/>
  <c r="AG42" i="139"/>
  <c r="G316" i="138"/>
  <c r="L304" i="138" s="1"/>
  <c r="H290" i="138"/>
  <c r="M284" i="138"/>
  <c r="M292" i="138" s="1"/>
  <c r="G270" i="138"/>
  <c r="L257" i="138" s="1"/>
  <c r="H244" i="138"/>
  <c r="M238" i="138"/>
  <c r="M245" i="138" s="1"/>
  <c r="H724" i="138" l="1"/>
  <c r="L727" i="138" s="1"/>
  <c r="L731" i="138" s="1"/>
  <c r="L734" i="138" s="1"/>
  <c r="H779" i="138"/>
  <c r="H782" i="138" s="1"/>
  <c r="L787" i="138" s="1"/>
  <c r="L791" i="138" s="1"/>
  <c r="L794" i="138" s="1"/>
  <c r="H629" i="138"/>
  <c r="L633" i="138" s="1"/>
  <c r="L637" i="138" s="1"/>
  <c r="L640" i="138" s="1"/>
  <c r="H674" i="138"/>
  <c r="L676" i="138" s="1"/>
  <c r="L680" i="138" s="1"/>
  <c r="L683" i="138" s="1"/>
  <c r="H534" i="138"/>
  <c r="L538" i="138" s="1"/>
  <c r="L542" i="138" s="1"/>
  <c r="L545" i="138" s="1"/>
  <c r="H583" i="138"/>
  <c r="L587" i="138" s="1"/>
  <c r="L591" i="138" s="1"/>
  <c r="L594" i="138" s="1"/>
  <c r="AI104" i="139"/>
  <c r="H102" i="139"/>
  <c r="E101" i="139"/>
  <c r="E103" i="139" s="1"/>
  <c r="AH99" i="139"/>
  <c r="L99" i="139"/>
  <c r="L98" i="139"/>
  <c r="F96" i="139"/>
  <c r="L95" i="139"/>
  <c r="F95" i="139"/>
  <c r="L93" i="139"/>
  <c r="K93" i="139"/>
  <c r="K101" i="139" s="1"/>
  <c r="J93" i="139"/>
  <c r="J101" i="139" s="1"/>
  <c r="J103" i="139" s="1"/>
  <c r="I93" i="139"/>
  <c r="I101" i="139" s="1"/>
  <c r="I103" i="139" s="1"/>
  <c r="H93" i="139"/>
  <c r="H101" i="139" s="1"/>
  <c r="G93" i="139"/>
  <c r="G101" i="139" s="1"/>
  <c r="G103" i="139" s="1"/>
  <c r="F93" i="139"/>
  <c r="D93" i="139"/>
  <c r="D101" i="139" s="1"/>
  <c r="D103" i="139" s="1"/>
  <c r="AH92" i="139"/>
  <c r="S78" i="139"/>
  <c r="K67" i="139"/>
  <c r="AC65" i="139"/>
  <c r="AC68" i="139" s="1"/>
  <c r="AB65" i="139"/>
  <c r="AB67" i="139" s="1"/>
  <c r="Y65" i="139"/>
  <c r="X65" i="139"/>
  <c r="X68" i="139" s="1"/>
  <c r="W65" i="139"/>
  <c r="W68" i="139" s="1"/>
  <c r="U65" i="139"/>
  <c r="U68" i="139" s="1"/>
  <c r="T65" i="139"/>
  <c r="T68" i="139" s="1"/>
  <c r="S65" i="139"/>
  <c r="S68" i="139" s="1"/>
  <c r="O65" i="139"/>
  <c r="M65" i="139"/>
  <c r="M68" i="139" s="1"/>
  <c r="L65" i="139"/>
  <c r="K65" i="139"/>
  <c r="J65" i="139"/>
  <c r="J68" i="139" s="1"/>
  <c r="I65" i="139"/>
  <c r="I67" i="139" s="1"/>
  <c r="H65" i="139"/>
  <c r="H68" i="139" s="1"/>
  <c r="G65" i="139"/>
  <c r="G68" i="139" s="1"/>
  <c r="D65" i="139"/>
  <c r="D68" i="139" s="1"/>
  <c r="AG64" i="139"/>
  <c r="AA4" i="139"/>
  <c r="AA65" i="139" s="1"/>
  <c r="Z4" i="139"/>
  <c r="Z65" i="139" s="1"/>
  <c r="V4" i="139"/>
  <c r="V65" i="139" s="1"/>
  <c r="V68" i="139" s="1"/>
  <c r="R4" i="139"/>
  <c r="R65" i="139" s="1"/>
  <c r="Q4" i="139"/>
  <c r="Q65" i="139" s="1"/>
  <c r="Q67" i="139" s="1"/>
  <c r="P4" i="139"/>
  <c r="P65" i="139" s="1"/>
  <c r="P68" i="139" s="1"/>
  <c r="N4" i="139"/>
  <c r="N65" i="139" s="1"/>
  <c r="N68" i="139" s="1"/>
  <c r="P80" i="139" s="1"/>
  <c r="F65" i="139"/>
  <c r="F68" i="139" s="1"/>
  <c r="E4" i="139"/>
  <c r="E65" i="139" s="1"/>
  <c r="E68" i="139" s="1"/>
  <c r="G221" i="138"/>
  <c r="L210" i="138" s="1"/>
  <c r="H198" i="138"/>
  <c r="M192" i="138"/>
  <c r="M198" i="138" s="1"/>
  <c r="AH69" i="137"/>
  <c r="AG82" i="137"/>
  <c r="G173" i="138"/>
  <c r="H138" i="138"/>
  <c r="M132" i="138"/>
  <c r="M138" i="138" s="1"/>
  <c r="G119" i="138"/>
  <c r="H94" i="138"/>
  <c r="M91" i="138"/>
  <c r="M95" i="138" s="1"/>
  <c r="G75" i="138"/>
  <c r="M50" i="138"/>
  <c r="M52" i="138" s="1"/>
  <c r="S96" i="137"/>
  <c r="H53" i="138"/>
  <c r="L68" i="139" l="1"/>
  <c r="H103" i="139"/>
  <c r="I105" i="139" s="1"/>
  <c r="L101" i="139"/>
  <c r="L104" i="139" s="1"/>
  <c r="K68" i="139"/>
  <c r="F101" i="139"/>
  <c r="F103" i="139" s="1"/>
  <c r="G104" i="139" s="1"/>
  <c r="AA67" i="139"/>
  <c r="AA68" i="139" s="1"/>
  <c r="Z67" i="139"/>
  <c r="Z68" i="139" s="1"/>
  <c r="J105" i="139"/>
  <c r="R67" i="139"/>
  <c r="R68" i="139" s="1"/>
  <c r="I68" i="139"/>
  <c r="Q68" i="139"/>
  <c r="O67" i="139"/>
  <c r="O68" i="139" s="1"/>
  <c r="O9" i="138"/>
  <c r="O12" i="138" s="1"/>
  <c r="H12" i="138"/>
  <c r="G31" i="138"/>
  <c r="H104" i="139" l="1"/>
  <c r="AD68" i="139"/>
  <c r="V4" i="137"/>
  <c r="AB83" i="137"/>
  <c r="Y83" i="137"/>
  <c r="H404" i="138" l="1"/>
  <c r="L408" i="138" s="1"/>
  <c r="H469" i="138"/>
  <c r="H296" i="138"/>
  <c r="L302" i="138" s="1"/>
  <c r="L306" i="138" s="1"/>
  <c r="L309" i="138" s="1"/>
  <c r="H348" i="138"/>
  <c r="L352" i="138" s="1"/>
  <c r="L356" i="138" s="1"/>
  <c r="L359" i="138" s="1"/>
  <c r="H204" i="138"/>
  <c r="L208" i="138" s="1"/>
  <c r="L212" i="138" s="1"/>
  <c r="L215" i="138" s="1"/>
  <c r="H250" i="138"/>
  <c r="L255" i="138" s="1"/>
  <c r="L259" i="138" s="1"/>
  <c r="L262" i="138" s="1"/>
  <c r="D4" i="135"/>
  <c r="L412" i="138" l="1"/>
  <c r="L415" i="138" s="1"/>
  <c r="L472" i="138"/>
  <c r="L476" i="138" s="1"/>
  <c r="L479" i="138" s="1"/>
  <c r="AI122" i="137"/>
  <c r="H120" i="137"/>
  <c r="E119" i="137"/>
  <c r="E121" i="137" s="1"/>
  <c r="AH117" i="137"/>
  <c r="L117" i="137"/>
  <c r="L116" i="137"/>
  <c r="F114" i="137"/>
  <c r="L113" i="137"/>
  <c r="F113" i="137"/>
  <c r="L111" i="137"/>
  <c r="K111" i="137"/>
  <c r="K119" i="137" s="1"/>
  <c r="J111" i="137"/>
  <c r="J119" i="137" s="1"/>
  <c r="J121" i="137" s="1"/>
  <c r="I111" i="137"/>
  <c r="I119" i="137" s="1"/>
  <c r="I121" i="137" s="1"/>
  <c r="H111" i="137"/>
  <c r="H119" i="137" s="1"/>
  <c r="G111" i="137"/>
  <c r="G119" i="137" s="1"/>
  <c r="G121" i="137" s="1"/>
  <c r="F111" i="137"/>
  <c r="D111" i="137"/>
  <c r="D119" i="137" s="1"/>
  <c r="D121" i="137" s="1"/>
  <c r="AH110" i="137"/>
  <c r="L85" i="137"/>
  <c r="K85" i="137"/>
  <c r="AC83" i="137"/>
  <c r="AC86" i="137" s="1"/>
  <c r="AB85" i="137"/>
  <c r="X83" i="137"/>
  <c r="X86" i="137" s="1"/>
  <c r="U83" i="137"/>
  <c r="U86" i="137" s="1"/>
  <c r="S83" i="137"/>
  <c r="S86" i="137" s="1"/>
  <c r="O83" i="137"/>
  <c r="O85" i="137" s="1"/>
  <c r="M83" i="137"/>
  <c r="M86" i="137" s="1"/>
  <c r="L83" i="137"/>
  <c r="K83" i="137"/>
  <c r="J83" i="137"/>
  <c r="J86" i="137" s="1"/>
  <c r="I83" i="137"/>
  <c r="H83" i="137"/>
  <c r="H86" i="137" s="1"/>
  <c r="G83" i="137"/>
  <c r="G86" i="137" s="1"/>
  <c r="D83" i="137"/>
  <c r="D86" i="137" s="1"/>
  <c r="AA4" i="137"/>
  <c r="AA83" i="137" s="1"/>
  <c r="Z4" i="137"/>
  <c r="Z83" i="137" s="1"/>
  <c r="W4" i="137"/>
  <c r="W83" i="137" s="1"/>
  <c r="W86" i="137" s="1"/>
  <c r="V83" i="137"/>
  <c r="V86" i="137" s="1"/>
  <c r="T83" i="137"/>
  <c r="T86" i="137" s="1"/>
  <c r="R4" i="137"/>
  <c r="R83" i="137" s="1"/>
  <c r="Q4" i="137"/>
  <c r="Q83" i="137" s="1"/>
  <c r="Q85" i="137" s="1"/>
  <c r="P4" i="137"/>
  <c r="P83" i="137" s="1"/>
  <c r="P86" i="137" s="1"/>
  <c r="N4" i="137"/>
  <c r="N83" i="137" s="1"/>
  <c r="F4" i="137"/>
  <c r="F83" i="137" s="1"/>
  <c r="F86" i="137" s="1"/>
  <c r="E4" i="137"/>
  <c r="E83" i="137" s="1"/>
  <c r="E86" i="137" s="1"/>
  <c r="M68" i="136"/>
  <c r="M65" i="136"/>
  <c r="AG42" i="136"/>
  <c r="X65" i="136"/>
  <c r="X68" i="136" s="1"/>
  <c r="H121" i="137" l="1"/>
  <c r="I123" i="137" s="1"/>
  <c r="K86" i="137"/>
  <c r="L86" i="137"/>
  <c r="F119" i="137"/>
  <c r="F121" i="137" s="1"/>
  <c r="G122" i="137" s="1"/>
  <c r="L119" i="137"/>
  <c r="L122" i="137" s="1"/>
  <c r="O86" i="137"/>
  <c r="Q86" i="137"/>
  <c r="AA85" i="137"/>
  <c r="AA86" i="137" s="1"/>
  <c r="R85" i="137"/>
  <c r="R86" i="137" s="1"/>
  <c r="N86" i="137"/>
  <c r="P98" i="137" s="1"/>
  <c r="J123" i="137"/>
  <c r="Z85" i="137"/>
  <c r="Z86" i="137" s="1"/>
  <c r="I85" i="137"/>
  <c r="I86" i="137" s="1"/>
  <c r="L65" i="136"/>
  <c r="L67" i="136"/>
  <c r="K67" i="136"/>
  <c r="H65" i="136"/>
  <c r="H68" i="136" s="1"/>
  <c r="D65" i="136"/>
  <c r="D68" i="136" s="1"/>
  <c r="AJ90" i="136"/>
  <c r="AI85" i="136"/>
  <c r="H54" i="135"/>
  <c r="H122" i="137" l="1"/>
  <c r="AD86" i="137"/>
  <c r="H59" i="138"/>
  <c r="L62" i="138" s="1"/>
  <c r="L69" i="138" s="1"/>
  <c r="L73" i="138" s="1"/>
  <c r="H18" i="138"/>
  <c r="H88" i="136"/>
  <c r="E87" i="136"/>
  <c r="E89" i="136" s="1"/>
  <c r="L85" i="136"/>
  <c r="L84" i="136"/>
  <c r="F82" i="136"/>
  <c r="L81" i="136"/>
  <c r="F81" i="136"/>
  <c r="L79" i="136"/>
  <c r="K79" i="136"/>
  <c r="K87" i="136" s="1"/>
  <c r="J79" i="136"/>
  <c r="J87" i="136" s="1"/>
  <c r="J89" i="136" s="1"/>
  <c r="I79" i="136"/>
  <c r="I87" i="136" s="1"/>
  <c r="I89" i="136" s="1"/>
  <c r="H79" i="136"/>
  <c r="H87" i="136" s="1"/>
  <c r="G79" i="136"/>
  <c r="G87" i="136" s="1"/>
  <c r="G89" i="136" s="1"/>
  <c r="F79" i="136"/>
  <c r="D79" i="136"/>
  <c r="D87" i="136" s="1"/>
  <c r="D89" i="136" s="1"/>
  <c r="AI78" i="136"/>
  <c r="AB65" i="136"/>
  <c r="U65" i="136"/>
  <c r="U68" i="136" s="1"/>
  <c r="S65" i="136"/>
  <c r="S68" i="136" s="1"/>
  <c r="O65" i="136"/>
  <c r="L68" i="136"/>
  <c r="K65" i="136"/>
  <c r="K68" i="136" s="1"/>
  <c r="J65" i="136"/>
  <c r="J68" i="136" s="1"/>
  <c r="I65" i="136"/>
  <c r="G65" i="136"/>
  <c r="G68" i="136" s="1"/>
  <c r="AD65" i="136"/>
  <c r="AD68" i="136" s="1"/>
  <c r="AC4" i="136"/>
  <c r="AC65" i="136" s="1"/>
  <c r="AA4" i="136"/>
  <c r="AA65" i="136" s="1"/>
  <c r="Z4" i="136"/>
  <c r="Z65" i="136" s="1"/>
  <c r="Y4" i="136"/>
  <c r="Y65" i="136" s="1"/>
  <c r="W4" i="136"/>
  <c r="W65" i="136" s="1"/>
  <c r="W68" i="136" s="1"/>
  <c r="V4" i="136"/>
  <c r="V65" i="136" s="1"/>
  <c r="V68" i="136" s="1"/>
  <c r="T4" i="136"/>
  <c r="T65" i="136" s="1"/>
  <c r="T68" i="136" s="1"/>
  <c r="R4" i="136"/>
  <c r="R65" i="136" s="1"/>
  <c r="Q4" i="136"/>
  <c r="Q65" i="136" s="1"/>
  <c r="P4" i="136"/>
  <c r="P65" i="136" s="1"/>
  <c r="P68" i="136" s="1"/>
  <c r="N4" i="136"/>
  <c r="N65" i="136" s="1"/>
  <c r="F4" i="136"/>
  <c r="F65" i="136" s="1"/>
  <c r="F68" i="136" s="1"/>
  <c r="E4" i="136"/>
  <c r="E65" i="136" s="1"/>
  <c r="E68" i="136" s="1"/>
  <c r="J54" i="135"/>
  <c r="J56" i="135" s="1"/>
  <c r="AD45" i="135"/>
  <c r="N54" i="135"/>
  <c r="N56" i="135" s="1"/>
  <c r="AG67" i="135"/>
  <c r="J26" i="134"/>
  <c r="H77" i="135"/>
  <c r="E76" i="135"/>
  <c r="E78" i="135" s="1"/>
  <c r="L74" i="135"/>
  <c r="L73" i="135"/>
  <c r="F71" i="135"/>
  <c r="L70" i="135"/>
  <c r="F70" i="135"/>
  <c r="L68" i="135"/>
  <c r="K68" i="135"/>
  <c r="K76" i="135" s="1"/>
  <c r="J68" i="135"/>
  <c r="J76" i="135" s="1"/>
  <c r="J78" i="135" s="1"/>
  <c r="I68" i="135"/>
  <c r="I76" i="135" s="1"/>
  <c r="I78" i="135" s="1"/>
  <c r="H68" i="135"/>
  <c r="H76" i="135" s="1"/>
  <c r="G68" i="135"/>
  <c r="G76" i="135" s="1"/>
  <c r="G78" i="135" s="1"/>
  <c r="F68" i="135"/>
  <c r="D68" i="135"/>
  <c r="D76" i="135" s="1"/>
  <c r="D78" i="135" s="1"/>
  <c r="Z54" i="135"/>
  <c r="Z56" i="135" s="1"/>
  <c r="R54" i="135"/>
  <c r="R56" i="135" s="1"/>
  <c r="K54" i="135"/>
  <c r="K56" i="135" s="1"/>
  <c r="AB4" i="135"/>
  <c r="AB54" i="135" s="1"/>
  <c r="AB56" i="135" s="1"/>
  <c r="AA4" i="135"/>
  <c r="AA54" i="135" s="1"/>
  <c r="AA56" i="135" s="1"/>
  <c r="Y4" i="135"/>
  <c r="Y54" i="135" s="1"/>
  <c r="Y56" i="135" s="1"/>
  <c r="X4" i="135"/>
  <c r="X54" i="135" s="1"/>
  <c r="X56" i="135" s="1"/>
  <c r="W4" i="135"/>
  <c r="W54" i="135" s="1"/>
  <c r="W56" i="135" s="1"/>
  <c r="V4" i="135"/>
  <c r="V54" i="135" s="1"/>
  <c r="V56" i="135" s="1"/>
  <c r="U4" i="135"/>
  <c r="U54" i="135" s="1"/>
  <c r="U56" i="135" s="1"/>
  <c r="T56" i="135"/>
  <c r="S4" i="135"/>
  <c r="S54" i="135" s="1"/>
  <c r="S56" i="135" s="1"/>
  <c r="Q4" i="135"/>
  <c r="Q54" i="135" s="1"/>
  <c r="Q56" i="135" s="1"/>
  <c r="P4" i="135"/>
  <c r="P54" i="135" s="1"/>
  <c r="P56" i="135" s="1"/>
  <c r="O4" i="135"/>
  <c r="O54" i="135" s="1"/>
  <c r="O56" i="135" s="1"/>
  <c r="M4" i="135"/>
  <c r="M54" i="135" s="1"/>
  <c r="M56" i="135" s="1"/>
  <c r="L54" i="135"/>
  <c r="L56" i="135" s="1"/>
  <c r="I54" i="135"/>
  <c r="I56" i="135" s="1"/>
  <c r="H56" i="135"/>
  <c r="G54" i="135"/>
  <c r="G56" i="135" s="1"/>
  <c r="F4" i="135"/>
  <c r="F54" i="135" s="1"/>
  <c r="F56" i="135" s="1"/>
  <c r="E4" i="135"/>
  <c r="E54" i="135" s="1"/>
  <c r="E56" i="135" s="1"/>
  <c r="D54" i="135"/>
  <c r="D56" i="135" s="1"/>
  <c r="R32" i="134"/>
  <c r="R31" i="134"/>
  <c r="H100" i="138" l="1"/>
  <c r="L105" i="138" s="1"/>
  <c r="L115" i="138" s="1"/>
  <c r="L119" i="138" s="1"/>
  <c r="H144" i="138"/>
  <c r="L148" i="138" s="1"/>
  <c r="L152" i="138" s="1"/>
  <c r="L155" i="138" s="1"/>
  <c r="L22" i="138"/>
  <c r="L29" i="138" s="1"/>
  <c r="AE68" i="136"/>
  <c r="AA67" i="136"/>
  <c r="O67" i="136"/>
  <c r="O68" i="136"/>
  <c r="Y67" i="136"/>
  <c r="Y68" i="136"/>
  <c r="AC67" i="136"/>
  <c r="AC68" i="136" s="1"/>
  <c r="N67" i="136"/>
  <c r="N68" i="136" s="1"/>
  <c r="R67" i="136"/>
  <c r="R68" i="136" s="1"/>
  <c r="Q67" i="136"/>
  <c r="Q68" i="136" s="1"/>
  <c r="AB67" i="136"/>
  <c r="AB68" i="136" s="1"/>
  <c r="Z67" i="136"/>
  <c r="Z68" i="136" s="1"/>
  <c r="I67" i="136"/>
  <c r="I68" i="136" s="1"/>
  <c r="F87" i="136"/>
  <c r="F89" i="136" s="1"/>
  <c r="G90" i="136" s="1"/>
  <c r="H89" i="136"/>
  <c r="I91" i="136" s="1"/>
  <c r="J91" i="136"/>
  <c r="L87" i="136"/>
  <c r="L90" i="136" s="1"/>
  <c r="H78" i="135"/>
  <c r="I80" i="135" s="1"/>
  <c r="F76" i="135"/>
  <c r="F78" i="135" s="1"/>
  <c r="G79" i="135" s="1"/>
  <c r="L76" i="135"/>
  <c r="L79" i="135" s="1"/>
  <c r="J80" i="135"/>
  <c r="AB57" i="135"/>
  <c r="R33" i="134"/>
  <c r="R34" i="134" s="1"/>
  <c r="N21" i="134"/>
  <c r="J32" i="134"/>
  <c r="J31" i="134"/>
  <c r="J33" i="134" s="1"/>
  <c r="J34" i="134" s="1"/>
  <c r="G18" i="134"/>
  <c r="G17" i="134"/>
  <c r="H90" i="136" l="1"/>
  <c r="H79" i="135"/>
  <c r="L40" i="134"/>
  <c r="L46" i="134"/>
  <c r="L45" i="134"/>
  <c r="L42" i="134"/>
  <c r="H49" i="134"/>
  <c r="E48" i="134"/>
  <c r="E50" i="134" s="1"/>
  <c r="F43" i="134"/>
  <c r="F42" i="134"/>
  <c r="K40" i="134"/>
  <c r="K48" i="134" s="1"/>
  <c r="J40" i="134"/>
  <c r="J48" i="134" s="1"/>
  <c r="J50" i="134" s="1"/>
  <c r="I40" i="134"/>
  <c r="I48" i="134" s="1"/>
  <c r="I50" i="134" s="1"/>
  <c r="H40" i="134"/>
  <c r="H48" i="134" s="1"/>
  <c r="G40" i="134"/>
  <c r="G48" i="134" s="1"/>
  <c r="G50" i="134" s="1"/>
  <c r="F40" i="134"/>
  <c r="D40" i="134"/>
  <c r="D48" i="134" s="1"/>
  <c r="D50" i="134" s="1"/>
  <c r="H50" i="134" l="1"/>
  <c r="I52" i="134" s="1"/>
  <c r="F48" i="134"/>
  <c r="F50" i="134" s="1"/>
  <c r="G51" i="134" s="1"/>
  <c r="J52" i="134"/>
  <c r="L48" i="134"/>
  <c r="L51" i="134" s="1"/>
  <c r="J17" i="133"/>
  <c r="G21" i="133"/>
  <c r="H51" i="134" l="1"/>
  <c r="O37" i="133"/>
  <c r="T17" i="133" l="1"/>
  <c r="T30" i="132"/>
  <c r="T29" i="132"/>
  <c r="H47" i="133"/>
  <c r="E46" i="133"/>
  <c r="E48" i="133" s="1"/>
  <c r="F42" i="133"/>
  <c r="F41" i="133"/>
  <c r="K39" i="133"/>
  <c r="K46" i="133" s="1"/>
  <c r="J39" i="133"/>
  <c r="J46" i="133" s="1"/>
  <c r="J48" i="133" s="1"/>
  <c r="I39" i="133"/>
  <c r="I46" i="133" s="1"/>
  <c r="I48" i="133" s="1"/>
  <c r="H39" i="133"/>
  <c r="H46" i="133" s="1"/>
  <c r="G39" i="133"/>
  <c r="G46" i="133" s="1"/>
  <c r="G48" i="133" s="1"/>
  <c r="F39" i="133"/>
  <c r="D39" i="133"/>
  <c r="D46" i="133" s="1"/>
  <c r="D48" i="133" s="1"/>
  <c r="H48" i="133" l="1"/>
  <c r="I50" i="133" s="1"/>
  <c r="T31" i="132"/>
  <c r="T32" i="132" s="1"/>
  <c r="F46" i="133"/>
  <c r="F48" i="133" s="1"/>
  <c r="G49" i="133" s="1"/>
  <c r="J50" i="133"/>
  <c r="K38" i="132"/>
  <c r="K45" i="132" s="1"/>
  <c r="H49" i="133" l="1"/>
  <c r="R20" i="132"/>
  <c r="R19" i="132"/>
  <c r="J19" i="132"/>
  <c r="D17" i="132"/>
  <c r="J38" i="132" l="1"/>
  <c r="J45" i="132" s="1"/>
  <c r="J47" i="132" s="1"/>
  <c r="H46" i="132"/>
  <c r="E45" i="132"/>
  <c r="E47" i="132" s="1"/>
  <c r="F41" i="132"/>
  <c r="F40" i="132"/>
  <c r="I38" i="132"/>
  <c r="I45" i="132" s="1"/>
  <c r="I47" i="132" s="1"/>
  <c r="H38" i="132"/>
  <c r="H45" i="132" s="1"/>
  <c r="H47" i="132" s="1"/>
  <c r="G38" i="132"/>
  <c r="G45" i="132" s="1"/>
  <c r="G47" i="132" s="1"/>
  <c r="F38" i="132"/>
  <c r="D38" i="132"/>
  <c r="D45" i="132" s="1"/>
  <c r="D47" i="132" s="1"/>
  <c r="F45" i="132" l="1"/>
  <c r="F47" i="132" s="1"/>
  <c r="I49" i="132"/>
  <c r="H48" i="132"/>
  <c r="J49" i="132"/>
  <c r="G48" i="132"/>
  <c r="T29" i="131"/>
  <c r="T28" i="131"/>
  <c r="D21" i="131"/>
  <c r="T30" i="131" l="1"/>
  <c r="T31" i="131" s="1"/>
  <c r="J37" i="131"/>
  <c r="J20" i="131"/>
  <c r="D19" i="131"/>
  <c r="J19" i="131"/>
  <c r="M18" i="131"/>
  <c r="O32" i="131"/>
  <c r="O31" i="131"/>
  <c r="N16" i="131" l="1"/>
  <c r="H45" i="131" l="1"/>
  <c r="E44" i="131"/>
  <c r="E46" i="131" s="1"/>
  <c r="F40" i="131"/>
  <c r="F39" i="131"/>
  <c r="J44" i="131"/>
  <c r="J46" i="131" s="1"/>
  <c r="I37" i="131"/>
  <c r="I44" i="131" s="1"/>
  <c r="I46" i="131" s="1"/>
  <c r="H37" i="131"/>
  <c r="H44" i="131" s="1"/>
  <c r="G37" i="131"/>
  <c r="G44" i="131" s="1"/>
  <c r="G46" i="131" s="1"/>
  <c r="F37" i="131"/>
  <c r="D37" i="131"/>
  <c r="D44" i="131" s="1"/>
  <c r="D46" i="131" s="1"/>
  <c r="O35" i="131"/>
  <c r="H46" i="131" l="1"/>
  <c r="I48" i="131" s="1"/>
  <c r="F44" i="131"/>
  <c r="F46" i="131" s="1"/>
  <c r="G47" i="131" s="1"/>
  <c r="J48" i="131"/>
  <c r="H47" i="131"/>
  <c r="O29" i="130"/>
  <c r="J18" i="130" l="1"/>
  <c r="M17" i="130"/>
  <c r="O35" i="130" l="1"/>
  <c r="O33" i="129" l="1"/>
  <c r="J18" i="128" l="1"/>
  <c r="J16" i="128"/>
  <c r="J15" i="128"/>
  <c r="H15" i="127" l="1"/>
  <c r="J14" i="126" l="1"/>
  <c r="R15" i="125" l="1"/>
  <c r="S30" i="125" l="1"/>
  <c r="R30" i="125"/>
  <c r="Q29" i="125"/>
  <c r="R29" i="125" s="1"/>
  <c r="R31" i="125" s="1"/>
  <c r="R33" i="125" l="1"/>
  <c r="R36" i="125"/>
  <c r="S29" i="125"/>
  <c r="S31" i="125" s="1"/>
  <c r="T31" i="125" s="1"/>
  <c r="R34" i="125" l="1"/>
  <c r="M36" i="125"/>
  <c r="M38" i="125" s="1"/>
  <c r="L29" i="125"/>
  <c r="L36" i="125" s="1"/>
  <c r="L38" i="125" s="1"/>
  <c r="M40" i="125" l="1"/>
  <c r="J14" i="125"/>
  <c r="J27" i="125" l="1"/>
  <c r="D22" i="124" l="1"/>
  <c r="T21" i="124"/>
  <c r="N21" i="124"/>
  <c r="J31" i="124"/>
  <c r="D18" i="124" l="1"/>
  <c r="R20" i="123" l="1"/>
  <c r="D19" i="123"/>
  <c r="L18" i="123"/>
  <c r="I35" i="122" l="1"/>
  <c r="I42" i="122" s="1"/>
  <c r="I43" i="122"/>
  <c r="I44" i="122" l="1"/>
  <c r="Q25" i="122"/>
  <c r="M23" i="122" l="1"/>
  <c r="D21" i="122"/>
  <c r="D20" i="122"/>
  <c r="D21" i="121" l="1"/>
  <c r="N30" i="121" l="1"/>
  <c r="N31" i="121"/>
  <c r="N20" i="121"/>
  <c r="J19" i="121"/>
  <c r="N32" i="121" l="1"/>
  <c r="N33" i="121" s="1"/>
  <c r="N37" i="121"/>
  <c r="N36" i="121"/>
  <c r="N38" i="121" l="1"/>
  <c r="N39" i="121" s="1"/>
  <c r="R33" i="121"/>
  <c r="R32" i="121"/>
  <c r="M16" i="121"/>
  <c r="N16" i="121"/>
  <c r="R34" i="121" l="1"/>
  <c r="R35" i="121" s="1"/>
  <c r="Y20" i="120" l="1"/>
  <c r="T32" i="120"/>
  <c r="T33" i="120" s="1"/>
  <c r="D16" i="120" l="1"/>
  <c r="T21" i="119" l="1"/>
  <c r="Z21" i="119"/>
  <c r="D21" i="119"/>
  <c r="Z31" i="119" l="1"/>
  <c r="Z30" i="119"/>
  <c r="Z32" i="119" s="1"/>
  <c r="Z33" i="119" s="1"/>
  <c r="M17" i="119" l="1"/>
  <c r="D16" i="119"/>
  <c r="N16" i="119"/>
  <c r="E4" i="119" l="1"/>
  <c r="E26" i="119" s="1"/>
  <c r="E4" i="120" s="1"/>
  <c r="E26" i="120" s="1"/>
  <c r="F4" i="119"/>
  <c r="F26" i="119" s="1"/>
  <c r="F4" i="120" s="1"/>
  <c r="F26" i="120" s="1"/>
  <c r="G4" i="119"/>
  <c r="G26" i="119" s="1"/>
  <c r="G4" i="120" s="1"/>
  <c r="G26" i="120" s="1"/>
  <c r="H4" i="119"/>
  <c r="H26" i="119" s="1"/>
  <c r="H4" i="120" s="1"/>
  <c r="H26" i="120" s="1"/>
  <c r="I4" i="119"/>
  <c r="I26" i="119" s="1"/>
  <c r="I4" i="120" s="1"/>
  <c r="I26" i="120" s="1"/>
  <c r="J4" i="119"/>
  <c r="J26" i="119" s="1"/>
  <c r="K4" i="119"/>
  <c r="K26" i="119" s="1"/>
  <c r="L4" i="119"/>
  <c r="L26" i="119" s="1"/>
  <c r="L4" i="120" s="1"/>
  <c r="L26" i="120" s="1"/>
  <c r="M4" i="119"/>
  <c r="M26" i="119" s="1"/>
  <c r="M4" i="120" s="1"/>
  <c r="M26" i="120" s="1"/>
  <c r="N4" i="119"/>
  <c r="N26" i="119" s="1"/>
  <c r="N4" i="120" s="1"/>
  <c r="N26" i="120" s="1"/>
  <c r="O4" i="119"/>
  <c r="O26" i="119" s="1"/>
  <c r="O4" i="120" s="1"/>
  <c r="O26" i="120" s="1"/>
  <c r="P4" i="119"/>
  <c r="P26" i="119" s="1"/>
  <c r="P4" i="120" s="1"/>
  <c r="P26" i="120" s="1"/>
  <c r="Q4" i="119"/>
  <c r="Q26" i="119" s="1"/>
  <c r="Q4" i="120" s="1"/>
  <c r="Q26" i="120" s="1"/>
  <c r="R4" i="119"/>
  <c r="R26" i="119" s="1"/>
  <c r="R4" i="120" s="1"/>
  <c r="R26" i="120" s="1"/>
  <c r="S4" i="119"/>
  <c r="S26" i="119" s="1"/>
  <c r="S4" i="120" s="1"/>
  <c r="S26" i="120" s="1"/>
  <c r="T4" i="119"/>
  <c r="T26" i="119" s="1"/>
  <c r="U4" i="119"/>
  <c r="U26" i="119" s="1"/>
  <c r="U4" i="120" s="1"/>
  <c r="U26" i="120" s="1"/>
  <c r="V4" i="119"/>
  <c r="V26" i="119" s="1"/>
  <c r="V4" i="120" s="1"/>
  <c r="V26" i="120" s="1"/>
  <c r="W4" i="119"/>
  <c r="W26" i="119" s="1"/>
  <c r="W4" i="120" s="1"/>
  <c r="W26" i="120" s="1"/>
  <c r="X4" i="119"/>
  <c r="X26" i="119" s="1"/>
  <c r="X4" i="120" s="1"/>
  <c r="X26" i="120" s="1"/>
  <c r="Y4" i="119"/>
  <c r="Y26" i="119" s="1"/>
  <c r="Y4" i="120" s="1"/>
  <c r="Y26" i="120" s="1"/>
  <c r="Z4" i="119"/>
  <c r="Z26" i="119" s="1"/>
  <c r="AA4" i="119"/>
  <c r="AA26" i="119" s="1"/>
  <c r="AA4" i="120" s="1"/>
  <c r="AA26" i="120" s="1"/>
  <c r="AB4" i="119"/>
  <c r="AB26" i="119" s="1"/>
  <c r="AB4" i="120" s="1"/>
  <c r="AB26" i="120" s="1"/>
  <c r="D4" i="119"/>
  <c r="D26" i="119" s="1"/>
  <c r="V28" i="120" l="1"/>
  <c r="V4" i="121"/>
  <c r="V26" i="121" s="1"/>
  <c r="AB28" i="120"/>
  <c r="AB4" i="121"/>
  <c r="AB26" i="121" s="1"/>
  <c r="X28" i="120"/>
  <c r="X4" i="121"/>
  <c r="X26" i="121" s="1"/>
  <c r="P28" i="120"/>
  <c r="P4" i="121"/>
  <c r="P26" i="121" s="1"/>
  <c r="L28" i="120"/>
  <c r="L4" i="121"/>
  <c r="L26" i="121" s="1"/>
  <c r="H28" i="120"/>
  <c r="H4" i="121"/>
  <c r="H26" i="121" s="1"/>
  <c r="R28" i="120"/>
  <c r="R4" i="121"/>
  <c r="R26" i="121" s="1"/>
  <c r="AA28" i="120"/>
  <c r="AA4" i="121"/>
  <c r="AA26" i="121" s="1"/>
  <c r="W28" i="120"/>
  <c r="W4" i="121"/>
  <c r="W26" i="121" s="1"/>
  <c r="S28" i="120"/>
  <c r="S4" i="121"/>
  <c r="S26" i="121" s="1"/>
  <c r="O28" i="120"/>
  <c r="O4" i="121"/>
  <c r="O26" i="121" s="1"/>
  <c r="G28" i="120"/>
  <c r="G4" i="121"/>
  <c r="G26" i="121" s="1"/>
  <c r="N28" i="120"/>
  <c r="N4" i="121"/>
  <c r="N26" i="121" s="1"/>
  <c r="F28" i="120"/>
  <c r="F4" i="121"/>
  <c r="F26" i="121" s="1"/>
  <c r="Y28" i="120"/>
  <c r="Y4" i="121"/>
  <c r="Y26" i="121" s="1"/>
  <c r="U28" i="120"/>
  <c r="U4" i="121"/>
  <c r="U26" i="121" s="1"/>
  <c r="Q28" i="120"/>
  <c r="Q4" i="121"/>
  <c r="Q26" i="121" s="1"/>
  <c r="M28" i="120"/>
  <c r="M4" i="121"/>
  <c r="M26" i="121" s="1"/>
  <c r="I28" i="120"/>
  <c r="I4" i="121"/>
  <c r="I26" i="121" s="1"/>
  <c r="E28" i="120"/>
  <c r="E4" i="121"/>
  <c r="E26" i="121" s="1"/>
  <c r="K28" i="119"/>
  <c r="K4" i="120"/>
  <c r="K26" i="120" s="1"/>
  <c r="D28" i="119"/>
  <c r="D4" i="120"/>
  <c r="D26" i="120" s="1"/>
  <c r="T28" i="119"/>
  <c r="T4" i="120"/>
  <c r="T26" i="120" s="1"/>
  <c r="Z28" i="119"/>
  <c r="Z4" i="120"/>
  <c r="Z26" i="120" s="1"/>
  <c r="J28" i="119"/>
  <c r="J4" i="120"/>
  <c r="J26" i="120" s="1"/>
  <c r="O28" i="119"/>
  <c r="AA28" i="119"/>
  <c r="H28" i="119"/>
  <c r="P28" i="119"/>
  <c r="AB28" i="119"/>
  <c r="S28" i="119"/>
  <c r="W28" i="119"/>
  <c r="L28" i="119"/>
  <c r="X28" i="119"/>
  <c r="G28" i="119"/>
  <c r="F28" i="119"/>
  <c r="N28" i="119"/>
  <c r="R28" i="119"/>
  <c r="V28" i="119"/>
  <c r="E28" i="119"/>
  <c r="I28" i="119"/>
  <c r="M28" i="119"/>
  <c r="Q28" i="119"/>
  <c r="U28" i="119"/>
  <c r="Y28" i="119"/>
  <c r="M28" i="121" l="1"/>
  <c r="M4" i="122"/>
  <c r="M29" i="122" s="1"/>
  <c r="F28" i="121"/>
  <c r="F4" i="122"/>
  <c r="F29" i="122" s="1"/>
  <c r="S28" i="121"/>
  <c r="S4" i="122"/>
  <c r="S29" i="122" s="1"/>
  <c r="H28" i="121"/>
  <c r="H4" i="122"/>
  <c r="H29" i="122" s="1"/>
  <c r="AB28" i="121"/>
  <c r="AB4" i="122"/>
  <c r="AB29" i="122" s="1"/>
  <c r="E28" i="121"/>
  <c r="E4" i="122"/>
  <c r="E29" i="122" s="1"/>
  <c r="U28" i="121"/>
  <c r="U4" i="122"/>
  <c r="U29" i="122" s="1"/>
  <c r="G28" i="121"/>
  <c r="G4" i="122"/>
  <c r="G29" i="122" s="1"/>
  <c r="AA28" i="121"/>
  <c r="AA4" i="122"/>
  <c r="AA29" i="122" s="1"/>
  <c r="P28" i="121"/>
  <c r="P4" i="122"/>
  <c r="P29" i="122" s="1"/>
  <c r="Q28" i="121"/>
  <c r="Q4" i="122"/>
  <c r="Q29" i="122" s="1"/>
  <c r="Y28" i="121"/>
  <c r="Y4" i="122"/>
  <c r="Y29" i="122" s="1"/>
  <c r="O28" i="121"/>
  <c r="O4" i="122"/>
  <c r="O29" i="122" s="1"/>
  <c r="W28" i="121"/>
  <c r="W4" i="122"/>
  <c r="W29" i="122" s="1"/>
  <c r="R28" i="121"/>
  <c r="R4" i="122"/>
  <c r="R29" i="122" s="1"/>
  <c r="L28" i="121"/>
  <c r="L4" i="122"/>
  <c r="L29" i="122" s="1"/>
  <c r="V28" i="121"/>
  <c r="V4" i="122"/>
  <c r="V29" i="122" s="1"/>
  <c r="I28" i="121"/>
  <c r="I4" i="122"/>
  <c r="I29" i="122" s="1"/>
  <c r="N28" i="121"/>
  <c r="N4" i="122"/>
  <c r="N29" i="122" s="1"/>
  <c r="X28" i="121"/>
  <c r="X4" i="122"/>
  <c r="X29" i="122" s="1"/>
  <c r="J28" i="120"/>
  <c r="J4" i="121"/>
  <c r="J26" i="121" s="1"/>
  <c r="Z28" i="120"/>
  <c r="Z4" i="121"/>
  <c r="Z26" i="121" s="1"/>
  <c r="K28" i="120"/>
  <c r="K4" i="121"/>
  <c r="K26" i="121" s="1"/>
  <c r="D28" i="120"/>
  <c r="D4" i="121"/>
  <c r="D26" i="121" s="1"/>
  <c r="T28" i="120"/>
  <c r="T4" i="121"/>
  <c r="T26" i="121" s="1"/>
  <c r="AB29" i="119"/>
  <c r="X31" i="122" l="1"/>
  <c r="X4" i="123"/>
  <c r="X29" i="123" s="1"/>
  <c r="I31" i="122"/>
  <c r="I4" i="123"/>
  <c r="I29" i="123" s="1"/>
  <c r="L31" i="122"/>
  <c r="L4" i="123"/>
  <c r="L29" i="123" s="1"/>
  <c r="W31" i="122"/>
  <c r="W4" i="123"/>
  <c r="W29" i="123" s="1"/>
  <c r="Y31" i="122"/>
  <c r="Y4" i="123"/>
  <c r="Y29" i="123" s="1"/>
  <c r="P31" i="122"/>
  <c r="P4" i="123"/>
  <c r="P29" i="123" s="1"/>
  <c r="G31" i="122"/>
  <c r="G4" i="123"/>
  <c r="G29" i="123" s="1"/>
  <c r="E31" i="122"/>
  <c r="E4" i="123"/>
  <c r="E29" i="123" s="1"/>
  <c r="H31" i="122"/>
  <c r="H4" i="123"/>
  <c r="H29" i="123" s="1"/>
  <c r="F31" i="122"/>
  <c r="F4" i="123"/>
  <c r="F29" i="123" s="1"/>
  <c r="R31" i="122"/>
  <c r="R4" i="123"/>
  <c r="R29" i="123" s="1"/>
  <c r="Q31" i="122"/>
  <c r="Q4" i="123"/>
  <c r="Q29" i="123" s="1"/>
  <c r="AB31" i="122"/>
  <c r="AB4" i="123"/>
  <c r="AB29" i="123" s="1"/>
  <c r="M31" i="122"/>
  <c r="M4" i="123"/>
  <c r="M29" i="123" s="1"/>
  <c r="N31" i="122"/>
  <c r="N4" i="123"/>
  <c r="N29" i="123" s="1"/>
  <c r="V31" i="122"/>
  <c r="V4" i="123"/>
  <c r="V29" i="123" s="1"/>
  <c r="O31" i="122"/>
  <c r="O4" i="123"/>
  <c r="O29" i="123" s="1"/>
  <c r="AA31" i="122"/>
  <c r="AA4" i="123"/>
  <c r="AA29" i="123" s="1"/>
  <c r="U31" i="122"/>
  <c r="U4" i="123"/>
  <c r="U29" i="123" s="1"/>
  <c r="S31" i="122"/>
  <c r="S4" i="123"/>
  <c r="S29" i="123" s="1"/>
  <c r="AB29" i="120"/>
  <c r="Z28" i="121"/>
  <c r="Z4" i="122"/>
  <c r="Z29" i="122" s="1"/>
  <c r="K28" i="121"/>
  <c r="K4" i="122"/>
  <c r="K29" i="122" s="1"/>
  <c r="D28" i="121"/>
  <c r="D4" i="122"/>
  <c r="D29" i="122" s="1"/>
  <c r="T28" i="121"/>
  <c r="T4" i="122"/>
  <c r="T29" i="122" s="1"/>
  <c r="J28" i="121"/>
  <c r="J4" i="122"/>
  <c r="J29" i="122" s="1"/>
  <c r="Z16" i="118"/>
  <c r="S31" i="123" l="1"/>
  <c r="S4" i="124"/>
  <c r="S27" i="124" s="1"/>
  <c r="V31" i="123"/>
  <c r="V4" i="124"/>
  <c r="V27" i="124" s="1"/>
  <c r="Q31" i="123"/>
  <c r="Q4" i="124"/>
  <c r="Q27" i="124" s="1"/>
  <c r="F31" i="123"/>
  <c r="F4" i="124"/>
  <c r="F27" i="124" s="1"/>
  <c r="P31" i="123"/>
  <c r="P4" i="124"/>
  <c r="P27" i="124" s="1"/>
  <c r="W31" i="123"/>
  <c r="W4" i="124"/>
  <c r="W27" i="124" s="1"/>
  <c r="I31" i="123"/>
  <c r="I4" i="124"/>
  <c r="I27" i="124" s="1"/>
  <c r="U31" i="123"/>
  <c r="U4" i="124"/>
  <c r="U27" i="124" s="1"/>
  <c r="AA31" i="123"/>
  <c r="AA4" i="124"/>
  <c r="AA27" i="124" s="1"/>
  <c r="M31" i="123"/>
  <c r="M4" i="124"/>
  <c r="M27" i="124" s="1"/>
  <c r="E31" i="123"/>
  <c r="E4" i="124"/>
  <c r="E27" i="124" s="1"/>
  <c r="O31" i="123"/>
  <c r="O4" i="124"/>
  <c r="O27" i="124" s="1"/>
  <c r="AB31" i="123"/>
  <c r="AB4" i="124"/>
  <c r="AB27" i="124" s="1"/>
  <c r="H31" i="123"/>
  <c r="H4" i="124"/>
  <c r="H27" i="124" s="1"/>
  <c r="X31" i="123"/>
  <c r="X4" i="124"/>
  <c r="X27" i="124" s="1"/>
  <c r="N31" i="123"/>
  <c r="N4" i="124"/>
  <c r="N27" i="124" s="1"/>
  <c r="R31" i="123"/>
  <c r="R4" i="124"/>
  <c r="R27" i="124" s="1"/>
  <c r="G31" i="123"/>
  <c r="G4" i="124"/>
  <c r="G27" i="124" s="1"/>
  <c r="Y31" i="123"/>
  <c r="Y4" i="124"/>
  <c r="Y27" i="124" s="1"/>
  <c r="L31" i="123"/>
  <c r="L4" i="124"/>
  <c r="L27" i="124" s="1"/>
  <c r="D31" i="122"/>
  <c r="D4" i="123"/>
  <c r="D29" i="123" s="1"/>
  <c r="J31" i="122"/>
  <c r="J4" i="123"/>
  <c r="J29" i="123" s="1"/>
  <c r="Z31" i="122"/>
  <c r="Z4" i="123"/>
  <c r="Z29" i="123" s="1"/>
  <c r="AB29" i="121"/>
  <c r="T31" i="122"/>
  <c r="T4" i="123"/>
  <c r="T29" i="123" s="1"/>
  <c r="K31" i="122"/>
  <c r="K4" i="123"/>
  <c r="K29" i="123" s="1"/>
  <c r="M18" i="118"/>
  <c r="J17" i="118"/>
  <c r="N29" i="124" l="1"/>
  <c r="N4" i="125"/>
  <c r="N23" i="125" s="1"/>
  <c r="H29" i="124"/>
  <c r="H4" i="125"/>
  <c r="H23" i="125" s="1"/>
  <c r="M29" i="124"/>
  <c r="M4" i="125"/>
  <c r="M23" i="125" s="1"/>
  <c r="U29" i="124"/>
  <c r="U4" i="125"/>
  <c r="U23" i="125" s="1"/>
  <c r="W29" i="124"/>
  <c r="W4" i="125"/>
  <c r="W23" i="125" s="1"/>
  <c r="F29" i="124"/>
  <c r="F4" i="125"/>
  <c r="F23" i="125" s="1"/>
  <c r="V29" i="124"/>
  <c r="V4" i="125"/>
  <c r="V23" i="125" s="1"/>
  <c r="L29" i="124"/>
  <c r="L4" i="125"/>
  <c r="L23" i="125" s="1"/>
  <c r="O29" i="124"/>
  <c r="O4" i="125"/>
  <c r="O23" i="125" s="1"/>
  <c r="G29" i="124"/>
  <c r="G4" i="125"/>
  <c r="G23" i="125" s="1"/>
  <c r="Y29" i="124"/>
  <c r="Y4" i="125"/>
  <c r="Y23" i="125" s="1"/>
  <c r="X29" i="124"/>
  <c r="X4" i="125"/>
  <c r="X23" i="125" s="1"/>
  <c r="E29" i="124"/>
  <c r="E4" i="125"/>
  <c r="E23" i="125" s="1"/>
  <c r="AA29" i="124"/>
  <c r="AA4" i="125"/>
  <c r="AA23" i="125" s="1"/>
  <c r="P29" i="124"/>
  <c r="P4" i="125"/>
  <c r="P23" i="125" s="1"/>
  <c r="Q29" i="124"/>
  <c r="Q4" i="125"/>
  <c r="Q23" i="125" s="1"/>
  <c r="S29" i="124"/>
  <c r="S4" i="125"/>
  <c r="S23" i="125" s="1"/>
  <c r="R29" i="124"/>
  <c r="R4" i="125"/>
  <c r="R23" i="125" s="1"/>
  <c r="AB29" i="124"/>
  <c r="AB4" i="125"/>
  <c r="AB23" i="125" s="1"/>
  <c r="I29" i="124"/>
  <c r="I4" i="125"/>
  <c r="I23" i="125" s="1"/>
  <c r="J31" i="123"/>
  <c r="J4" i="124"/>
  <c r="J27" i="124" s="1"/>
  <c r="K31" i="123"/>
  <c r="K4" i="124"/>
  <c r="K27" i="124" s="1"/>
  <c r="AB32" i="122"/>
  <c r="D31" i="123"/>
  <c r="D4" i="124"/>
  <c r="D27" i="124" s="1"/>
  <c r="Z31" i="123"/>
  <c r="Z4" i="124"/>
  <c r="Z27" i="124" s="1"/>
  <c r="T31" i="123"/>
  <c r="T4" i="124"/>
  <c r="T27" i="124" s="1"/>
  <c r="J15" i="118"/>
  <c r="H25" i="125" l="1"/>
  <c r="H4" i="126"/>
  <c r="H23" i="126" s="1"/>
  <c r="I25" i="125"/>
  <c r="I4" i="126"/>
  <c r="I23" i="126" s="1"/>
  <c r="R25" i="125"/>
  <c r="R4" i="126"/>
  <c r="R23" i="126" s="1"/>
  <c r="Q25" i="125"/>
  <c r="Q4" i="126"/>
  <c r="Q23" i="126" s="1"/>
  <c r="AA25" i="125"/>
  <c r="AA4" i="126"/>
  <c r="AA23" i="126" s="1"/>
  <c r="X25" i="125"/>
  <c r="X4" i="126"/>
  <c r="X23" i="126" s="1"/>
  <c r="G25" i="125"/>
  <c r="G4" i="126"/>
  <c r="G23" i="126" s="1"/>
  <c r="L25" i="125"/>
  <c r="L4" i="126"/>
  <c r="L23" i="126" s="1"/>
  <c r="F25" i="125"/>
  <c r="F4" i="126"/>
  <c r="F23" i="126" s="1"/>
  <c r="U25" i="125"/>
  <c r="U4" i="126"/>
  <c r="U23" i="126" s="1"/>
  <c r="AB25" i="125"/>
  <c r="AB4" i="126"/>
  <c r="AB23" i="126" s="1"/>
  <c r="S25" i="125"/>
  <c r="S4" i="126"/>
  <c r="S23" i="126" s="1"/>
  <c r="P25" i="125"/>
  <c r="P4" i="126"/>
  <c r="P23" i="126" s="1"/>
  <c r="Y25" i="125"/>
  <c r="Y4" i="126"/>
  <c r="Y23" i="126" s="1"/>
  <c r="O25" i="125"/>
  <c r="O4" i="126"/>
  <c r="O23" i="126" s="1"/>
  <c r="V25" i="125"/>
  <c r="V4" i="126"/>
  <c r="V23" i="126" s="1"/>
  <c r="W25" i="125"/>
  <c r="W4" i="126"/>
  <c r="W23" i="126" s="1"/>
  <c r="N25" i="125"/>
  <c r="N4" i="126"/>
  <c r="N23" i="126" s="1"/>
  <c r="E25" i="125"/>
  <c r="E4" i="126"/>
  <c r="E23" i="126" s="1"/>
  <c r="M25" i="125"/>
  <c r="M4" i="126"/>
  <c r="K29" i="124"/>
  <c r="K4" i="125"/>
  <c r="K23" i="125" s="1"/>
  <c r="T29" i="124"/>
  <c r="T4" i="125"/>
  <c r="T23" i="125" s="1"/>
  <c r="D29" i="124"/>
  <c r="D4" i="125"/>
  <c r="D23" i="125" s="1"/>
  <c r="J29" i="124"/>
  <c r="J4" i="125"/>
  <c r="J23" i="125" s="1"/>
  <c r="Z29" i="124"/>
  <c r="Z4" i="125"/>
  <c r="Z23" i="125" s="1"/>
  <c r="AB32" i="123"/>
  <c r="J20" i="117"/>
  <c r="D18" i="117"/>
  <c r="T7" i="117"/>
  <c r="AB30" i="124" l="1"/>
  <c r="E25" i="126"/>
  <c r="E4" i="127"/>
  <c r="E22" i="127" s="1"/>
  <c r="O25" i="126"/>
  <c r="O4" i="127"/>
  <c r="O22" i="127" s="1"/>
  <c r="AB25" i="126"/>
  <c r="AB4" i="127"/>
  <c r="AB22" i="127" s="1"/>
  <c r="F25" i="126"/>
  <c r="F4" i="127"/>
  <c r="F22" i="127" s="1"/>
  <c r="G25" i="126"/>
  <c r="G4" i="127"/>
  <c r="G22" i="127" s="1"/>
  <c r="R25" i="126"/>
  <c r="R4" i="127"/>
  <c r="R22" i="127" s="1"/>
  <c r="H25" i="126"/>
  <c r="H4" i="127"/>
  <c r="H22" i="127" s="1"/>
  <c r="W25" i="126"/>
  <c r="W4" i="127"/>
  <c r="W22" i="127" s="1"/>
  <c r="P25" i="126"/>
  <c r="P4" i="127"/>
  <c r="P22" i="127" s="1"/>
  <c r="AA25" i="126"/>
  <c r="AA4" i="127"/>
  <c r="AA22" i="127" s="1"/>
  <c r="M23" i="126"/>
  <c r="M4" i="127" s="1"/>
  <c r="M22" i="127" s="1"/>
  <c r="N4" i="127"/>
  <c r="N22" i="127" s="1"/>
  <c r="N25" i="126"/>
  <c r="V25" i="126"/>
  <c r="V4" i="127"/>
  <c r="V22" i="127" s="1"/>
  <c r="Y25" i="126"/>
  <c r="Y4" i="127"/>
  <c r="Y22" i="127" s="1"/>
  <c r="S25" i="126"/>
  <c r="S4" i="127"/>
  <c r="S22" i="127" s="1"/>
  <c r="U25" i="126"/>
  <c r="U4" i="127"/>
  <c r="U22" i="127" s="1"/>
  <c r="L25" i="126"/>
  <c r="L4" i="127"/>
  <c r="L22" i="127" s="1"/>
  <c r="X25" i="126"/>
  <c r="X4" i="127"/>
  <c r="X22" i="127" s="1"/>
  <c r="Q25" i="126"/>
  <c r="Q4" i="127"/>
  <c r="Q22" i="127" s="1"/>
  <c r="I25" i="126"/>
  <c r="I4" i="127"/>
  <c r="I22" i="127" s="1"/>
  <c r="D25" i="125"/>
  <c r="D4" i="126"/>
  <c r="D23" i="126" s="1"/>
  <c r="J25" i="125"/>
  <c r="J4" i="126"/>
  <c r="J23" i="126" s="1"/>
  <c r="K25" i="125"/>
  <c r="K4" i="126"/>
  <c r="K23" i="126" s="1"/>
  <c r="T25" i="125"/>
  <c r="T4" i="126"/>
  <c r="T23" i="126" s="1"/>
  <c r="Z25" i="125"/>
  <c r="Z4" i="126"/>
  <c r="Z23" i="126" s="1"/>
  <c r="R30" i="117"/>
  <c r="R31" i="117" s="1"/>
  <c r="O17" i="117"/>
  <c r="N17" i="117"/>
  <c r="M31" i="117"/>
  <c r="M30" i="117"/>
  <c r="D16" i="117"/>
  <c r="T13" i="117"/>
  <c r="R13" i="117"/>
  <c r="J13" i="117"/>
  <c r="AA24" i="127" l="1"/>
  <c r="AA4" i="128"/>
  <c r="AA23" i="128" s="1"/>
  <c r="W24" i="127"/>
  <c r="W4" i="128"/>
  <c r="W23" i="128" s="1"/>
  <c r="R24" i="127"/>
  <c r="R4" i="128"/>
  <c r="R23" i="128" s="1"/>
  <c r="F24" i="127"/>
  <c r="F4" i="128"/>
  <c r="F23" i="128" s="1"/>
  <c r="O24" i="127"/>
  <c r="O4" i="128"/>
  <c r="O23" i="128" s="1"/>
  <c r="Q24" i="127"/>
  <c r="Q4" i="128"/>
  <c r="Q23" i="128" s="1"/>
  <c r="I24" i="127"/>
  <c r="I4" i="128"/>
  <c r="I23" i="128" s="1"/>
  <c r="X24" i="127"/>
  <c r="X4" i="128"/>
  <c r="X23" i="128" s="1"/>
  <c r="U24" i="127"/>
  <c r="U4" i="128"/>
  <c r="U23" i="128" s="1"/>
  <c r="Y24" i="127"/>
  <c r="Y4" i="128"/>
  <c r="Y23" i="128" s="1"/>
  <c r="N24" i="127"/>
  <c r="N4" i="128"/>
  <c r="N23" i="128" s="1"/>
  <c r="P24" i="127"/>
  <c r="P4" i="128"/>
  <c r="P23" i="128" s="1"/>
  <c r="H24" i="127"/>
  <c r="H4" i="128"/>
  <c r="H23" i="128" s="1"/>
  <c r="G24" i="127"/>
  <c r="G4" i="128"/>
  <c r="G23" i="128" s="1"/>
  <c r="AB24" i="127"/>
  <c r="AB4" i="128"/>
  <c r="AB23" i="128" s="1"/>
  <c r="E24" i="127"/>
  <c r="E4" i="128"/>
  <c r="E23" i="128" s="1"/>
  <c r="L24" i="127"/>
  <c r="L4" i="128"/>
  <c r="L23" i="128" s="1"/>
  <c r="S24" i="127"/>
  <c r="S4" i="128"/>
  <c r="S23" i="128" s="1"/>
  <c r="V24" i="127"/>
  <c r="V4" i="128"/>
  <c r="V23" i="128" s="1"/>
  <c r="M24" i="127"/>
  <c r="M4" i="128"/>
  <c r="M23" i="128" s="1"/>
  <c r="AB26" i="125"/>
  <c r="D25" i="126"/>
  <c r="D4" i="127"/>
  <c r="D22" i="127" s="1"/>
  <c r="Z25" i="126"/>
  <c r="Z4" i="127"/>
  <c r="Z22" i="127" s="1"/>
  <c r="K25" i="126"/>
  <c r="K4" i="127"/>
  <c r="K22" i="127" s="1"/>
  <c r="M25" i="126"/>
  <c r="T25" i="126"/>
  <c r="T4" i="127"/>
  <c r="T22" i="127" s="1"/>
  <c r="J25" i="126"/>
  <c r="J4" i="127"/>
  <c r="J22" i="127" s="1"/>
  <c r="M32" i="117"/>
  <c r="M33" i="117" s="1"/>
  <c r="R15" i="116"/>
  <c r="D14" i="116"/>
  <c r="L25" i="128" l="1"/>
  <c r="L4" i="129"/>
  <c r="L21" i="129" s="1"/>
  <c r="AB25" i="128"/>
  <c r="AB4" i="129"/>
  <c r="AB21" i="129" s="1"/>
  <c r="H25" i="128"/>
  <c r="H4" i="129"/>
  <c r="H21" i="129" s="1"/>
  <c r="N25" i="128"/>
  <c r="N4" i="129"/>
  <c r="N21" i="129" s="1"/>
  <c r="U25" i="128"/>
  <c r="U4" i="129"/>
  <c r="U21" i="129" s="1"/>
  <c r="I25" i="128"/>
  <c r="I4" i="129"/>
  <c r="I21" i="129" s="1"/>
  <c r="O25" i="128"/>
  <c r="O4" i="129"/>
  <c r="O21" i="129" s="1"/>
  <c r="R25" i="128"/>
  <c r="R4" i="129"/>
  <c r="R21" i="129" s="1"/>
  <c r="AA25" i="128"/>
  <c r="AA4" i="129"/>
  <c r="AA21" i="129" s="1"/>
  <c r="V25" i="128"/>
  <c r="V4" i="129"/>
  <c r="V21" i="129" s="1"/>
  <c r="M25" i="128"/>
  <c r="M4" i="129"/>
  <c r="M21" i="129" s="1"/>
  <c r="S25" i="128"/>
  <c r="S4" i="129"/>
  <c r="S21" i="129" s="1"/>
  <c r="E25" i="128"/>
  <c r="E4" i="129"/>
  <c r="E21" i="129" s="1"/>
  <c r="G25" i="128"/>
  <c r="G4" i="129"/>
  <c r="G21" i="129" s="1"/>
  <c r="P25" i="128"/>
  <c r="P4" i="129"/>
  <c r="P21" i="129" s="1"/>
  <c r="Y25" i="128"/>
  <c r="Y4" i="129"/>
  <c r="Y21" i="129" s="1"/>
  <c r="X25" i="128"/>
  <c r="X4" i="129"/>
  <c r="X21" i="129" s="1"/>
  <c r="Q25" i="128"/>
  <c r="Q4" i="129"/>
  <c r="Q21" i="129" s="1"/>
  <c r="F25" i="128"/>
  <c r="F4" i="129"/>
  <c r="F21" i="129" s="1"/>
  <c r="W25" i="128"/>
  <c r="W4" i="129"/>
  <c r="W21" i="129" s="1"/>
  <c r="J24" i="127"/>
  <c r="J4" i="128"/>
  <c r="J23" i="128" s="1"/>
  <c r="AB26" i="126"/>
  <c r="K24" i="127"/>
  <c r="K4" i="128"/>
  <c r="K23" i="128" s="1"/>
  <c r="D24" i="127"/>
  <c r="D4" i="128"/>
  <c r="D23" i="128" s="1"/>
  <c r="T24" i="127"/>
  <c r="T4" i="128"/>
  <c r="T23" i="128" s="1"/>
  <c r="Z24" i="127"/>
  <c r="Z4" i="128"/>
  <c r="Z23" i="128" s="1"/>
  <c r="T21" i="115"/>
  <c r="W23" i="129" l="1"/>
  <c r="W4" i="130"/>
  <c r="W23" i="130" s="1"/>
  <c r="G23" i="129"/>
  <c r="G4" i="130"/>
  <c r="G23" i="130" s="1"/>
  <c r="V23" i="129"/>
  <c r="V4" i="130"/>
  <c r="V23" i="130" s="1"/>
  <c r="N23" i="129"/>
  <c r="N4" i="130"/>
  <c r="N23" i="130" s="1"/>
  <c r="AB23" i="129"/>
  <c r="AB4" i="130"/>
  <c r="AB23" i="130" s="1"/>
  <c r="Q23" i="129"/>
  <c r="Q4" i="130"/>
  <c r="Q23" i="130" s="1"/>
  <c r="S23" i="129"/>
  <c r="S4" i="130"/>
  <c r="S23" i="130" s="1"/>
  <c r="R23" i="129"/>
  <c r="R4" i="130"/>
  <c r="R23" i="130" s="1"/>
  <c r="F23" i="129"/>
  <c r="F4" i="130"/>
  <c r="F23" i="130" s="1"/>
  <c r="X23" i="129"/>
  <c r="X4" i="130"/>
  <c r="X23" i="130" s="1"/>
  <c r="P23" i="129"/>
  <c r="P4" i="130"/>
  <c r="P23" i="130" s="1"/>
  <c r="E23" i="129"/>
  <c r="E4" i="130"/>
  <c r="E23" i="130" s="1"/>
  <c r="M23" i="129"/>
  <c r="M4" i="130"/>
  <c r="M23" i="130" s="1"/>
  <c r="AA23" i="129"/>
  <c r="AA4" i="130"/>
  <c r="AA23" i="130" s="1"/>
  <c r="O23" i="129"/>
  <c r="O4" i="130"/>
  <c r="O23" i="130" s="1"/>
  <c r="U23" i="129"/>
  <c r="U4" i="130"/>
  <c r="U23" i="130" s="1"/>
  <c r="H23" i="129"/>
  <c r="H4" i="130"/>
  <c r="H23" i="130" s="1"/>
  <c r="L23" i="129"/>
  <c r="L4" i="130"/>
  <c r="L23" i="130" s="1"/>
  <c r="Y23" i="129"/>
  <c r="Y4" i="130"/>
  <c r="Y23" i="130" s="1"/>
  <c r="I23" i="129"/>
  <c r="I4" i="130"/>
  <c r="I23" i="130" s="1"/>
  <c r="Z25" i="128"/>
  <c r="Z4" i="129"/>
  <c r="Z21" i="129" s="1"/>
  <c r="D25" i="128"/>
  <c r="D4" i="129"/>
  <c r="D21" i="129" s="1"/>
  <c r="AB25" i="127"/>
  <c r="T25" i="128"/>
  <c r="T4" i="129"/>
  <c r="T21" i="129" s="1"/>
  <c r="J25" i="128"/>
  <c r="J4" i="129"/>
  <c r="J21" i="129" s="1"/>
  <c r="K25" i="128"/>
  <c r="K4" i="129"/>
  <c r="K21" i="129" s="1"/>
  <c r="T19" i="115"/>
  <c r="I25" i="130" l="1"/>
  <c r="I4" i="131"/>
  <c r="I23" i="131" s="1"/>
  <c r="U25" i="130"/>
  <c r="U4" i="131"/>
  <c r="U23" i="131" s="1"/>
  <c r="AA25" i="130"/>
  <c r="AA4" i="131"/>
  <c r="AA23" i="131" s="1"/>
  <c r="X25" i="130"/>
  <c r="X4" i="131"/>
  <c r="X23" i="131" s="1"/>
  <c r="R25" i="130"/>
  <c r="R4" i="131"/>
  <c r="R23" i="131" s="1"/>
  <c r="Q25" i="130"/>
  <c r="Q4" i="131"/>
  <c r="Q23" i="131" s="1"/>
  <c r="N25" i="130"/>
  <c r="N4" i="131"/>
  <c r="N23" i="131" s="1"/>
  <c r="G25" i="130"/>
  <c r="G4" i="131"/>
  <c r="G23" i="131" s="1"/>
  <c r="L25" i="130"/>
  <c r="L4" i="131"/>
  <c r="L23" i="131" s="1"/>
  <c r="E25" i="130"/>
  <c r="E4" i="131"/>
  <c r="E23" i="131" s="1"/>
  <c r="O25" i="130"/>
  <c r="O4" i="131"/>
  <c r="O23" i="131" s="1"/>
  <c r="V25" i="130"/>
  <c r="V4" i="131"/>
  <c r="V23" i="131" s="1"/>
  <c r="Y25" i="130"/>
  <c r="Y4" i="131"/>
  <c r="Y23" i="131" s="1"/>
  <c r="H25" i="130"/>
  <c r="H4" i="131"/>
  <c r="H23" i="131" s="1"/>
  <c r="M25" i="130"/>
  <c r="M4" i="131"/>
  <c r="M23" i="131" s="1"/>
  <c r="P25" i="130"/>
  <c r="P4" i="131"/>
  <c r="P23" i="131" s="1"/>
  <c r="F25" i="130"/>
  <c r="F4" i="131"/>
  <c r="F23" i="131" s="1"/>
  <c r="S25" i="130"/>
  <c r="S4" i="131"/>
  <c r="S23" i="131" s="1"/>
  <c r="AB25" i="130"/>
  <c r="AB4" i="131"/>
  <c r="AB23" i="131" s="1"/>
  <c r="W25" i="130"/>
  <c r="W4" i="131"/>
  <c r="W23" i="131" s="1"/>
  <c r="D23" i="129"/>
  <c r="D4" i="130"/>
  <c r="D23" i="130" s="1"/>
  <c r="K23" i="129"/>
  <c r="K4" i="130"/>
  <c r="K23" i="130" s="1"/>
  <c r="T23" i="129"/>
  <c r="T4" i="130"/>
  <c r="T23" i="130" s="1"/>
  <c r="Z23" i="129"/>
  <c r="Z4" i="130"/>
  <c r="Z23" i="130" s="1"/>
  <c r="J23" i="129"/>
  <c r="J4" i="130"/>
  <c r="J23" i="130" s="1"/>
  <c r="AB26" i="128"/>
  <c r="U32" i="114"/>
  <c r="AB24" i="129" l="1"/>
  <c r="W25" i="131"/>
  <c r="W4" i="132"/>
  <c r="W24" i="132" s="1"/>
  <c r="S25" i="131"/>
  <c r="S4" i="132"/>
  <c r="S24" i="132" s="1"/>
  <c r="H25" i="131"/>
  <c r="H4" i="132"/>
  <c r="H24" i="132" s="1"/>
  <c r="V25" i="131"/>
  <c r="V4" i="132"/>
  <c r="V24" i="132" s="1"/>
  <c r="E25" i="131"/>
  <c r="E4" i="132"/>
  <c r="E24" i="132" s="1"/>
  <c r="G25" i="131"/>
  <c r="G4" i="132"/>
  <c r="G24" i="132" s="1"/>
  <c r="Q25" i="131"/>
  <c r="Q4" i="132"/>
  <c r="Q24" i="132" s="1"/>
  <c r="X25" i="131"/>
  <c r="X4" i="132"/>
  <c r="X24" i="132" s="1"/>
  <c r="U25" i="131"/>
  <c r="U4" i="132"/>
  <c r="U24" i="132" s="1"/>
  <c r="P25" i="131"/>
  <c r="P4" i="132"/>
  <c r="P24" i="132" s="1"/>
  <c r="F25" i="131"/>
  <c r="F4" i="132"/>
  <c r="F24" i="132" s="1"/>
  <c r="M25" i="131"/>
  <c r="M4" i="132"/>
  <c r="M24" i="132" s="1"/>
  <c r="O25" i="131"/>
  <c r="O4" i="132"/>
  <c r="O24" i="132" s="1"/>
  <c r="L25" i="131"/>
  <c r="L4" i="132"/>
  <c r="L24" i="132" s="1"/>
  <c r="R25" i="131"/>
  <c r="R4" i="132"/>
  <c r="R24" i="132" s="1"/>
  <c r="AA25" i="131"/>
  <c r="AA4" i="132"/>
  <c r="AA24" i="132" s="1"/>
  <c r="I25" i="131"/>
  <c r="I4" i="132"/>
  <c r="I24" i="132" s="1"/>
  <c r="AB25" i="131"/>
  <c r="AB4" i="132"/>
  <c r="AB24" i="132" s="1"/>
  <c r="Y25" i="131"/>
  <c r="Y4" i="132"/>
  <c r="Y24" i="132" s="1"/>
  <c r="N25" i="131"/>
  <c r="N4" i="132"/>
  <c r="N24" i="132" s="1"/>
  <c r="T25" i="130"/>
  <c r="T4" i="131"/>
  <c r="T23" i="131" s="1"/>
  <c r="K25" i="130"/>
  <c r="K4" i="131"/>
  <c r="K23" i="131" s="1"/>
  <c r="J25" i="130"/>
  <c r="J4" i="131"/>
  <c r="J23" i="131" s="1"/>
  <c r="Z25" i="130"/>
  <c r="Z4" i="131"/>
  <c r="Z23" i="131" s="1"/>
  <c r="D25" i="130"/>
  <c r="D4" i="131"/>
  <c r="D23" i="131" s="1"/>
  <c r="K22" i="114"/>
  <c r="AA26" i="132" l="1"/>
  <c r="AA4" i="133"/>
  <c r="AA25" i="133" s="1"/>
  <c r="P26" i="132"/>
  <c r="P4" i="133"/>
  <c r="P25" i="133" s="1"/>
  <c r="G26" i="132"/>
  <c r="G4" i="133"/>
  <c r="G25" i="133" s="1"/>
  <c r="S26" i="132"/>
  <c r="S4" i="133"/>
  <c r="S25" i="133" s="1"/>
  <c r="AB26" i="132"/>
  <c r="AB4" i="133"/>
  <c r="AB25" i="133" s="1"/>
  <c r="M26" i="132"/>
  <c r="M4" i="133"/>
  <c r="M25" i="133" s="1"/>
  <c r="X26" i="132"/>
  <c r="X4" i="133"/>
  <c r="X25" i="133" s="1"/>
  <c r="V26" i="132"/>
  <c r="V4" i="133"/>
  <c r="V25" i="133" s="1"/>
  <c r="N26" i="132"/>
  <c r="N4" i="133"/>
  <c r="N25" i="133" s="1"/>
  <c r="I26" i="132"/>
  <c r="I4" i="133"/>
  <c r="I25" i="133" s="1"/>
  <c r="O26" i="132"/>
  <c r="O4" i="133"/>
  <c r="O25" i="133" s="1"/>
  <c r="U26" i="132"/>
  <c r="U4" i="133"/>
  <c r="U25" i="133" s="1"/>
  <c r="Q26" i="132"/>
  <c r="Q4" i="133"/>
  <c r="Q25" i="133" s="1"/>
  <c r="E26" i="132"/>
  <c r="E4" i="133"/>
  <c r="E25" i="133" s="1"/>
  <c r="W26" i="132"/>
  <c r="W4" i="133"/>
  <c r="W25" i="133" s="1"/>
  <c r="L26" i="132"/>
  <c r="L4" i="133"/>
  <c r="L25" i="133" s="1"/>
  <c r="Y26" i="132"/>
  <c r="Y4" i="133"/>
  <c r="Y25" i="133" s="1"/>
  <c r="R26" i="132"/>
  <c r="R4" i="133"/>
  <c r="R25" i="133" s="1"/>
  <c r="F26" i="132"/>
  <c r="F4" i="133"/>
  <c r="F25" i="133" s="1"/>
  <c r="H26" i="132"/>
  <c r="H4" i="133"/>
  <c r="H25" i="133" s="1"/>
  <c r="AB26" i="130"/>
  <c r="Z25" i="131"/>
  <c r="Z4" i="132"/>
  <c r="Z24" i="132" s="1"/>
  <c r="K25" i="131"/>
  <c r="K4" i="132"/>
  <c r="K24" i="132" s="1"/>
  <c r="J25" i="131"/>
  <c r="J4" i="132"/>
  <c r="J24" i="132" s="1"/>
  <c r="D25" i="131"/>
  <c r="D4" i="132"/>
  <c r="D24" i="132" s="1"/>
  <c r="T25" i="131"/>
  <c r="T4" i="132"/>
  <c r="T24" i="132" s="1"/>
  <c r="R21" i="114"/>
  <c r="R32" i="114"/>
  <c r="R31" i="114"/>
  <c r="L34" i="114"/>
  <c r="L33" i="114"/>
  <c r="H27" i="133" l="1"/>
  <c r="H4" i="134"/>
  <c r="H26" i="134" s="1"/>
  <c r="H28" i="134" s="1"/>
  <c r="R27" i="133"/>
  <c r="R4" i="134"/>
  <c r="R26" i="134" s="1"/>
  <c r="R28" i="134" s="1"/>
  <c r="L27" i="133"/>
  <c r="L4" i="134"/>
  <c r="L26" i="134" s="1"/>
  <c r="L28" i="134" s="1"/>
  <c r="U27" i="133"/>
  <c r="U4" i="134"/>
  <c r="U26" i="134" s="1"/>
  <c r="U28" i="134" s="1"/>
  <c r="I27" i="133"/>
  <c r="I4" i="134"/>
  <c r="I26" i="134" s="1"/>
  <c r="I28" i="134" s="1"/>
  <c r="V27" i="133"/>
  <c r="V4" i="134"/>
  <c r="V26" i="134" s="1"/>
  <c r="V28" i="134" s="1"/>
  <c r="M27" i="133"/>
  <c r="M4" i="134"/>
  <c r="M26" i="134" s="1"/>
  <c r="M28" i="134" s="1"/>
  <c r="S27" i="133"/>
  <c r="S4" i="134"/>
  <c r="S26" i="134" s="1"/>
  <c r="S28" i="134" s="1"/>
  <c r="P27" i="133"/>
  <c r="P4" i="134"/>
  <c r="P26" i="134" s="1"/>
  <c r="P28" i="134" s="1"/>
  <c r="E27" i="133"/>
  <c r="E4" i="134"/>
  <c r="E26" i="134" s="1"/>
  <c r="E28" i="134" s="1"/>
  <c r="Y27" i="133"/>
  <c r="Y4" i="134"/>
  <c r="Y26" i="134" s="1"/>
  <c r="Y28" i="134" s="1"/>
  <c r="W27" i="133"/>
  <c r="W4" i="134"/>
  <c r="W26" i="134" s="1"/>
  <c r="W28" i="134" s="1"/>
  <c r="Q27" i="133"/>
  <c r="Q4" i="134"/>
  <c r="Q26" i="134" s="1"/>
  <c r="Q28" i="134" s="1"/>
  <c r="O27" i="133"/>
  <c r="O4" i="134"/>
  <c r="O26" i="134" s="1"/>
  <c r="O28" i="134" s="1"/>
  <c r="N27" i="133"/>
  <c r="N4" i="134"/>
  <c r="N26" i="134" s="1"/>
  <c r="N28" i="134" s="1"/>
  <c r="X27" i="133"/>
  <c r="X4" i="134"/>
  <c r="X26" i="134" s="1"/>
  <c r="X28" i="134" s="1"/>
  <c r="AB27" i="133"/>
  <c r="AB4" i="134"/>
  <c r="AB26" i="134" s="1"/>
  <c r="AB28" i="134" s="1"/>
  <c r="G27" i="133"/>
  <c r="G4" i="134"/>
  <c r="G26" i="134" s="1"/>
  <c r="G28" i="134" s="1"/>
  <c r="AA27" i="133"/>
  <c r="AA4" i="134"/>
  <c r="AA26" i="134" s="1"/>
  <c r="AA28" i="134" s="1"/>
  <c r="F27" i="133"/>
  <c r="F4" i="134"/>
  <c r="F26" i="134" s="1"/>
  <c r="F28" i="134" s="1"/>
  <c r="T26" i="132"/>
  <c r="T4" i="133"/>
  <c r="T25" i="133" s="1"/>
  <c r="J26" i="132"/>
  <c r="J4" i="133"/>
  <c r="J25" i="133" s="1"/>
  <c r="Z26" i="132"/>
  <c r="Z4" i="133"/>
  <c r="Z25" i="133" s="1"/>
  <c r="AB26" i="131"/>
  <c r="D26" i="132"/>
  <c r="D4" i="133"/>
  <c r="D25" i="133" s="1"/>
  <c r="K26" i="132"/>
  <c r="K4" i="133"/>
  <c r="K25" i="133" s="1"/>
  <c r="R33" i="114"/>
  <c r="R34" i="114" s="1"/>
  <c r="L35" i="114"/>
  <c r="J17" i="114"/>
  <c r="AB27" i="132" l="1"/>
  <c r="Z27" i="133"/>
  <c r="Z4" i="134"/>
  <c r="Z26" i="134" s="1"/>
  <c r="Z28" i="134" s="1"/>
  <c r="T27" i="133"/>
  <c r="T4" i="134"/>
  <c r="T26" i="134" s="1"/>
  <c r="T28" i="134" s="1"/>
  <c r="D27" i="133"/>
  <c r="D4" i="134"/>
  <c r="D26" i="134" s="1"/>
  <c r="D28" i="134" s="1"/>
  <c r="K27" i="133"/>
  <c r="K4" i="134"/>
  <c r="K26" i="134" s="1"/>
  <c r="K28" i="134" s="1"/>
  <c r="J27" i="133"/>
  <c r="J4" i="134"/>
  <c r="J28" i="134" s="1"/>
  <c r="D32" i="113"/>
  <c r="D31" i="113"/>
  <c r="M31" i="113"/>
  <c r="M30" i="113"/>
  <c r="AB28" i="133" l="1"/>
  <c r="AB29" i="134"/>
  <c r="M32" i="113"/>
  <c r="M33" i="113" s="1"/>
  <c r="D33" i="113"/>
  <c r="D34" i="113" s="1"/>
  <c r="P34" i="113" l="1"/>
  <c r="P33" i="113"/>
  <c r="T17" i="113"/>
  <c r="R17" i="113"/>
  <c r="P35" i="113" l="1"/>
  <c r="N19" i="112" l="1"/>
  <c r="X15" i="112" l="1"/>
  <c r="X14" i="112"/>
  <c r="O33" i="112" l="1"/>
  <c r="O32" i="112"/>
  <c r="O34" i="112" l="1"/>
  <c r="O38" i="111"/>
  <c r="O37" i="111"/>
  <c r="T26" i="111"/>
  <c r="O39" i="111" l="1"/>
  <c r="T23" i="111"/>
  <c r="T21" i="111"/>
  <c r="X24" i="111"/>
  <c r="D23" i="111"/>
  <c r="J23" i="111"/>
  <c r="Y24" i="110" l="1"/>
  <c r="Y23" i="110"/>
  <c r="T21" i="110" l="1"/>
  <c r="Y21" i="110"/>
  <c r="T21" i="109" l="1"/>
  <c r="J21" i="109"/>
  <c r="Y17" i="109" l="1"/>
  <c r="Y19" i="108" l="1"/>
  <c r="Y18" i="108"/>
  <c r="N17" i="108" l="1"/>
  <c r="R32" i="108"/>
  <c r="N19" i="107" l="1"/>
  <c r="M16" i="107" l="1"/>
  <c r="R31" i="107" l="1"/>
  <c r="X20" i="106" l="1"/>
  <c r="Y17" i="106" l="1"/>
  <c r="R31" i="106" l="1"/>
  <c r="D16" i="106"/>
  <c r="D15" i="106"/>
  <c r="Y14" i="106"/>
  <c r="Y17" i="105" l="1"/>
  <c r="N15" i="105"/>
  <c r="X13" i="105"/>
  <c r="N17" i="104" l="1"/>
  <c r="D16" i="104"/>
  <c r="T15" i="104" l="1"/>
  <c r="D15" i="104"/>
  <c r="N15" i="104"/>
  <c r="X36" i="103" l="1"/>
  <c r="X35" i="103"/>
  <c r="X37" i="103" s="1"/>
  <c r="X38" i="103" s="1"/>
  <c r="Y17" i="103" l="1"/>
  <c r="D21" i="102" l="1"/>
  <c r="D20" i="102"/>
  <c r="K38" i="102" l="1"/>
  <c r="K37" i="102"/>
  <c r="K36" i="102"/>
  <c r="N33" i="102"/>
  <c r="D32" i="102"/>
  <c r="D31" i="102"/>
  <c r="L37" i="102" l="1"/>
  <c r="N37" i="102" s="1"/>
  <c r="N38" i="102" s="1"/>
  <c r="D33" i="102"/>
  <c r="D34" i="102" s="1"/>
  <c r="D32" i="100"/>
  <c r="D31" i="100"/>
  <c r="L38" i="102" l="1"/>
  <c r="P37" i="102"/>
  <c r="D33" i="100"/>
  <c r="D34" i="100" s="1"/>
  <c r="K38" i="100"/>
  <c r="K37" i="100"/>
  <c r="K36" i="100"/>
  <c r="L37" i="100" l="1"/>
  <c r="P37" i="100" s="1"/>
  <c r="L38" i="100" l="1"/>
  <c r="N37" i="100"/>
  <c r="N38" i="100" s="1"/>
  <c r="D16" i="100"/>
  <c r="N33" i="100" l="1"/>
  <c r="D19" i="99" l="1"/>
  <c r="D18" i="99" l="1"/>
  <c r="N18" i="99"/>
  <c r="N33" i="99"/>
  <c r="D17" i="99" l="1"/>
  <c r="M17" i="99"/>
  <c r="N17" i="99"/>
  <c r="D16" i="99"/>
  <c r="AB32" i="98" l="1"/>
  <c r="AB31" i="98"/>
  <c r="N20" i="98"/>
  <c r="AB33" i="98" l="1"/>
  <c r="AB34" i="98" s="1"/>
  <c r="N32" i="98"/>
  <c r="N31" i="98"/>
  <c r="AA18" i="98"/>
  <c r="Y20" i="98"/>
  <c r="N33" i="98" l="1"/>
  <c r="N34" i="98" s="1"/>
  <c r="H32" i="98"/>
  <c r="Y18" i="98" l="1"/>
  <c r="R17" i="98"/>
  <c r="D17" i="98"/>
  <c r="D18" i="97" l="1"/>
  <c r="D15" i="97" l="1"/>
  <c r="R20" i="96" l="1"/>
  <c r="D30" i="95" l="1"/>
  <c r="E4" i="96"/>
  <c r="F4" i="96"/>
  <c r="G4" i="96"/>
  <c r="G26" i="96" s="1"/>
  <c r="G4" i="97" s="1"/>
  <c r="G26" i="97" s="1"/>
  <c r="H4" i="96"/>
  <c r="H26" i="96" s="1"/>
  <c r="I4" i="96"/>
  <c r="I26" i="96" s="1"/>
  <c r="I4" i="97" s="1"/>
  <c r="I26" i="97" s="1"/>
  <c r="J4" i="96"/>
  <c r="J26" i="96" s="1"/>
  <c r="J4" i="97" s="1"/>
  <c r="J26" i="97" s="1"/>
  <c r="K4" i="96"/>
  <c r="K26" i="96" s="1"/>
  <c r="K4" i="97" s="1"/>
  <c r="K26" i="97" s="1"/>
  <c r="L4" i="96"/>
  <c r="L26" i="96" s="1"/>
  <c r="L4" i="97" s="1"/>
  <c r="L26" i="97" s="1"/>
  <c r="N4" i="96"/>
  <c r="N26" i="96" s="1"/>
  <c r="N4" i="97" s="1"/>
  <c r="N26" i="97" s="1"/>
  <c r="O4" i="96"/>
  <c r="P4" i="96"/>
  <c r="P26" i="96" s="1"/>
  <c r="P4" i="97" s="1"/>
  <c r="P26" i="97" s="1"/>
  <c r="Q4" i="96"/>
  <c r="Q26" i="96" s="1"/>
  <c r="Q4" i="97" s="1"/>
  <c r="Q26" i="97" s="1"/>
  <c r="R4" i="96"/>
  <c r="R26" i="96" s="1"/>
  <c r="R4" i="97" s="1"/>
  <c r="R26" i="97" s="1"/>
  <c r="S4" i="96"/>
  <c r="S26" i="96" s="1"/>
  <c r="S4" i="97" s="1"/>
  <c r="S26" i="97" s="1"/>
  <c r="T4" i="96"/>
  <c r="T26" i="96" s="1"/>
  <c r="T4" i="97" s="1"/>
  <c r="T26" i="97" s="1"/>
  <c r="U4" i="96"/>
  <c r="U26" i="96" s="1"/>
  <c r="U4" i="97" s="1"/>
  <c r="U26" i="97" s="1"/>
  <c r="V4" i="96"/>
  <c r="V26" i="96" s="1"/>
  <c r="V4" i="97" s="1"/>
  <c r="V26" i="97" s="1"/>
  <c r="W4" i="96"/>
  <c r="W26" i="96" s="1"/>
  <c r="W4" i="97" s="1"/>
  <c r="W26" i="97" s="1"/>
  <c r="X4" i="96"/>
  <c r="X26" i="96" s="1"/>
  <c r="Y4" i="96"/>
  <c r="Y26" i="96" s="1"/>
  <c r="Y4" i="97" s="1"/>
  <c r="Y26" i="97" s="1"/>
  <c r="Z4" i="96"/>
  <c r="Z26" i="96" s="1"/>
  <c r="Z4" i="97" s="1"/>
  <c r="Z26" i="97" s="1"/>
  <c r="AA4" i="96"/>
  <c r="AA26" i="96" s="1"/>
  <c r="AA4" i="97" s="1"/>
  <c r="AA26" i="97" s="1"/>
  <c r="AB4" i="96"/>
  <c r="AB26" i="96" s="1"/>
  <c r="D4" i="96"/>
  <c r="D26" i="96" s="1"/>
  <c r="F26" i="96"/>
  <c r="F4" i="97" s="1"/>
  <c r="F26" i="97" s="1"/>
  <c r="E26" i="96"/>
  <c r="E4" i="97" s="1"/>
  <c r="E26" i="97" s="1"/>
  <c r="G28" i="96" l="1"/>
  <c r="L28" i="97"/>
  <c r="L4" i="98"/>
  <c r="L26" i="98" s="1"/>
  <c r="H4" i="97"/>
  <c r="H26" i="97" s="1"/>
  <c r="H28" i="96"/>
  <c r="N4" i="98"/>
  <c r="N26" i="98" s="1"/>
  <c r="N28" i="97"/>
  <c r="AB28" i="96"/>
  <c r="AB4" i="97"/>
  <c r="AB26" i="97" s="1"/>
  <c r="T28" i="97"/>
  <c r="T4" i="98"/>
  <c r="T26" i="98" s="1"/>
  <c r="J28" i="97"/>
  <c r="J4" i="98"/>
  <c r="J26" i="98" s="1"/>
  <c r="Y28" i="97"/>
  <c r="Y4" i="98"/>
  <c r="Y26" i="98" s="1"/>
  <c r="S28" i="97"/>
  <c r="S4" i="98"/>
  <c r="S26" i="98" s="1"/>
  <c r="G28" i="97"/>
  <c r="G4" i="98"/>
  <c r="G26" i="98" s="1"/>
  <c r="W28" i="96"/>
  <c r="R28" i="97"/>
  <c r="R4" i="98"/>
  <c r="R26" i="98" s="1"/>
  <c r="Z28" i="97"/>
  <c r="Z4" i="98"/>
  <c r="Z26" i="98" s="1"/>
  <c r="I28" i="97"/>
  <c r="I4" i="98"/>
  <c r="I26" i="98" s="1"/>
  <c r="V28" i="97"/>
  <c r="V4" i="98"/>
  <c r="V26" i="98" s="1"/>
  <c r="X28" i="96"/>
  <c r="X4" i="97"/>
  <c r="X26" i="97" s="1"/>
  <c r="P28" i="97"/>
  <c r="P4" i="98"/>
  <c r="P26" i="98" s="1"/>
  <c r="E28" i="97"/>
  <c r="E4" i="98"/>
  <c r="E26" i="98" s="1"/>
  <c r="Q28" i="97"/>
  <c r="Q4" i="98"/>
  <c r="Q26" i="98" s="1"/>
  <c r="AA28" i="97"/>
  <c r="AA4" i="98"/>
  <c r="AA26" i="98" s="1"/>
  <c r="W28" i="97"/>
  <c r="W4" i="98"/>
  <c r="W26" i="98" s="1"/>
  <c r="K28" i="97"/>
  <c r="K4" i="98"/>
  <c r="K26" i="98" s="1"/>
  <c r="F28" i="97"/>
  <c r="F4" i="98"/>
  <c r="F26" i="98" s="1"/>
  <c r="U28" i="97"/>
  <c r="U4" i="98"/>
  <c r="U26" i="98" s="1"/>
  <c r="D28" i="96"/>
  <c r="D4" i="97"/>
  <c r="D26" i="97" s="1"/>
  <c r="O26" i="96"/>
  <c r="E28" i="96"/>
  <c r="U28" i="96"/>
  <c r="F28" i="96"/>
  <c r="N28" i="96"/>
  <c r="Z28" i="96"/>
  <c r="AA28" i="96"/>
  <c r="I28" i="96"/>
  <c r="Q28" i="96"/>
  <c r="Y28" i="96"/>
  <c r="J28" i="96"/>
  <c r="R28" i="96"/>
  <c r="V28" i="96"/>
  <c r="K28" i="96"/>
  <c r="S28" i="96"/>
  <c r="L28" i="96"/>
  <c r="P28" i="96"/>
  <c r="T28" i="96"/>
  <c r="M30" i="95"/>
  <c r="M4" i="96" s="1"/>
  <c r="M26" i="96" s="1"/>
  <c r="F28" i="98" l="1"/>
  <c r="F4" i="99"/>
  <c r="F26" i="99" s="1"/>
  <c r="W28" i="98"/>
  <c r="W4" i="99"/>
  <c r="W26" i="99" s="1"/>
  <c r="Q28" i="98"/>
  <c r="Q4" i="99"/>
  <c r="Q26" i="99" s="1"/>
  <c r="P28" i="98"/>
  <c r="P4" i="99"/>
  <c r="P26" i="99" s="1"/>
  <c r="V28" i="98"/>
  <c r="V4" i="99"/>
  <c r="V26" i="99" s="1"/>
  <c r="Z28" i="98"/>
  <c r="Z4" i="99"/>
  <c r="Z26" i="99" s="1"/>
  <c r="G28" i="98"/>
  <c r="G4" i="99"/>
  <c r="G26" i="99" s="1"/>
  <c r="Y28" i="98"/>
  <c r="Y4" i="99"/>
  <c r="Y26" i="99" s="1"/>
  <c r="T28" i="98"/>
  <c r="T4" i="99"/>
  <c r="T26" i="99" s="1"/>
  <c r="L28" i="98"/>
  <c r="L4" i="99"/>
  <c r="L26" i="99" s="1"/>
  <c r="K28" i="98"/>
  <c r="K4" i="99"/>
  <c r="K26" i="99" s="1"/>
  <c r="E28" i="98"/>
  <c r="E4" i="99"/>
  <c r="E26" i="99" s="1"/>
  <c r="I28" i="98"/>
  <c r="I4" i="99"/>
  <c r="I26" i="99" s="1"/>
  <c r="R28" i="98"/>
  <c r="R4" i="99"/>
  <c r="R26" i="99" s="1"/>
  <c r="N28" i="98"/>
  <c r="N4" i="99"/>
  <c r="N26" i="99" s="1"/>
  <c r="U28" i="98"/>
  <c r="U4" i="99"/>
  <c r="U26" i="99" s="1"/>
  <c r="AA28" i="98"/>
  <c r="AA4" i="99"/>
  <c r="AA26" i="99" s="1"/>
  <c r="S28" i="98"/>
  <c r="S4" i="99"/>
  <c r="S26" i="99" s="1"/>
  <c r="J28" i="98"/>
  <c r="J4" i="99"/>
  <c r="J26" i="99" s="1"/>
  <c r="AB28" i="97"/>
  <c r="AB4" i="98"/>
  <c r="AB26" i="98" s="1"/>
  <c r="M4" i="97"/>
  <c r="M26" i="97" s="1"/>
  <c r="M28" i="96"/>
  <c r="D28" i="97"/>
  <c r="D4" i="98"/>
  <c r="D26" i="98" s="1"/>
  <c r="H28" i="97"/>
  <c r="H4" i="98"/>
  <c r="H26" i="98" s="1"/>
  <c r="O28" i="96"/>
  <c r="O4" i="97"/>
  <c r="O26" i="97" s="1"/>
  <c r="X28" i="97"/>
  <c r="X4" i="98"/>
  <c r="X26" i="98" s="1"/>
  <c r="S28" i="99" l="1"/>
  <c r="S4" i="100"/>
  <c r="S26" i="100" s="1"/>
  <c r="R28" i="99"/>
  <c r="R4" i="100"/>
  <c r="R26" i="100" s="1"/>
  <c r="L28" i="99"/>
  <c r="L4" i="100"/>
  <c r="L26" i="100" s="1"/>
  <c r="Z28" i="99"/>
  <c r="Z4" i="100"/>
  <c r="Z26" i="100" s="1"/>
  <c r="W28" i="99"/>
  <c r="W4" i="100"/>
  <c r="W26" i="100" s="1"/>
  <c r="U28" i="99"/>
  <c r="U4" i="100"/>
  <c r="U26" i="100" s="1"/>
  <c r="E28" i="99"/>
  <c r="E4" i="100"/>
  <c r="E26" i="100" s="1"/>
  <c r="Y28" i="99"/>
  <c r="Y4" i="100"/>
  <c r="Y26" i="100" s="1"/>
  <c r="P28" i="99"/>
  <c r="P4" i="100"/>
  <c r="P26" i="100" s="1"/>
  <c r="AA28" i="99"/>
  <c r="AA4" i="100"/>
  <c r="AA26" i="100" s="1"/>
  <c r="I28" i="99"/>
  <c r="I4" i="100"/>
  <c r="I26" i="100" s="1"/>
  <c r="T28" i="99"/>
  <c r="T4" i="100"/>
  <c r="T26" i="100" s="1"/>
  <c r="V28" i="99"/>
  <c r="V4" i="100"/>
  <c r="V26" i="100" s="1"/>
  <c r="F28" i="99"/>
  <c r="F4" i="100"/>
  <c r="F26" i="100" s="1"/>
  <c r="J28" i="99"/>
  <c r="J4" i="100"/>
  <c r="J26" i="100" s="1"/>
  <c r="N28" i="99"/>
  <c r="N4" i="100"/>
  <c r="N26" i="100" s="1"/>
  <c r="K28" i="99"/>
  <c r="K4" i="100"/>
  <c r="K26" i="100" s="1"/>
  <c r="G28" i="99"/>
  <c r="G4" i="100"/>
  <c r="G26" i="100" s="1"/>
  <c r="Q28" i="99"/>
  <c r="Q4" i="100"/>
  <c r="Q26" i="100" s="1"/>
  <c r="D28" i="98"/>
  <c r="D4" i="99"/>
  <c r="D26" i="99" s="1"/>
  <c r="X28" i="98"/>
  <c r="X4" i="99"/>
  <c r="X26" i="99" s="1"/>
  <c r="AB28" i="98"/>
  <c r="AB4" i="99"/>
  <c r="AB26" i="99" s="1"/>
  <c r="H28" i="98"/>
  <c r="H4" i="99"/>
  <c r="H26" i="99" s="1"/>
  <c r="AB29" i="96"/>
  <c r="M4" i="98"/>
  <c r="M26" i="98" s="1"/>
  <c r="M28" i="97"/>
  <c r="O28" i="97"/>
  <c r="O4" i="98"/>
  <c r="O26" i="98" s="1"/>
  <c r="AB29" i="97" l="1"/>
  <c r="AB28" i="99"/>
  <c r="AB4" i="100"/>
  <c r="AB26" i="100" s="1"/>
  <c r="D28" i="99"/>
  <c r="D4" i="100"/>
  <c r="D26" i="100" s="1"/>
  <c r="G28" i="100"/>
  <c r="G4" i="102"/>
  <c r="G26" i="102" s="1"/>
  <c r="N4" i="102"/>
  <c r="N26" i="102" s="1"/>
  <c r="N28" i="100"/>
  <c r="F28" i="100"/>
  <c r="F4" i="102"/>
  <c r="F26" i="102" s="1"/>
  <c r="T28" i="100"/>
  <c r="T4" i="102"/>
  <c r="T26" i="102" s="1"/>
  <c r="AA28" i="100"/>
  <c r="AA4" i="102"/>
  <c r="AA26" i="102" s="1"/>
  <c r="Y28" i="100"/>
  <c r="Y4" i="102"/>
  <c r="Y26" i="102" s="1"/>
  <c r="U28" i="100"/>
  <c r="U4" i="102"/>
  <c r="U26" i="102" s="1"/>
  <c r="Z28" i="100"/>
  <c r="Z4" i="102"/>
  <c r="Z26" i="102" s="1"/>
  <c r="R28" i="100"/>
  <c r="R4" i="102"/>
  <c r="R26" i="102" s="1"/>
  <c r="X28" i="99"/>
  <c r="X4" i="100"/>
  <c r="X26" i="100" s="1"/>
  <c r="K28" i="100"/>
  <c r="K4" i="102"/>
  <c r="K26" i="102" s="1"/>
  <c r="V28" i="100"/>
  <c r="V4" i="102"/>
  <c r="V26" i="102" s="1"/>
  <c r="I28" i="100"/>
  <c r="I4" i="102"/>
  <c r="I26" i="102" s="1"/>
  <c r="P28" i="100"/>
  <c r="P4" i="102"/>
  <c r="P26" i="102" s="1"/>
  <c r="W28" i="100"/>
  <c r="W4" i="102"/>
  <c r="W26" i="102" s="1"/>
  <c r="L4" i="102"/>
  <c r="L26" i="102" s="1"/>
  <c r="L28" i="100"/>
  <c r="S28" i="100"/>
  <c r="S4" i="102"/>
  <c r="S26" i="102" s="1"/>
  <c r="H28" i="99"/>
  <c r="H4" i="100"/>
  <c r="H26" i="100" s="1"/>
  <c r="Q28" i="100"/>
  <c r="Q4" i="102"/>
  <c r="Q26" i="102" s="1"/>
  <c r="J28" i="100"/>
  <c r="J4" i="102"/>
  <c r="J26" i="102" s="1"/>
  <c r="E28" i="100"/>
  <c r="E4" i="102"/>
  <c r="E26" i="102" s="1"/>
  <c r="M28" i="98"/>
  <c r="M4" i="99"/>
  <c r="M26" i="99" s="1"/>
  <c r="O28" i="98"/>
  <c r="O4" i="99"/>
  <c r="O26" i="99" s="1"/>
  <c r="T18" i="95"/>
  <c r="R16" i="95"/>
  <c r="AB29" i="98" l="1"/>
  <c r="E28" i="102"/>
  <c r="E4" i="103"/>
  <c r="E27" i="103" s="1"/>
  <c r="W28" i="102"/>
  <c r="W4" i="103"/>
  <c r="W27" i="103" s="1"/>
  <c r="K28" i="102"/>
  <c r="K4" i="103"/>
  <c r="K27" i="103" s="1"/>
  <c r="Z28" i="102"/>
  <c r="Z4" i="103"/>
  <c r="Z27" i="103" s="1"/>
  <c r="Y28" i="102"/>
  <c r="Y4" i="103"/>
  <c r="Y27" i="103" s="1"/>
  <c r="T28" i="102"/>
  <c r="T4" i="103"/>
  <c r="T27" i="103" s="1"/>
  <c r="D4" i="102"/>
  <c r="D26" i="102" s="1"/>
  <c r="D28" i="100"/>
  <c r="N28" i="102"/>
  <c r="N4" i="103"/>
  <c r="N27" i="103" s="1"/>
  <c r="Q28" i="102"/>
  <c r="Q4" i="103"/>
  <c r="Q27" i="103" s="1"/>
  <c r="S28" i="102"/>
  <c r="S4" i="103"/>
  <c r="S27" i="103" s="1"/>
  <c r="J28" i="102"/>
  <c r="J4" i="103"/>
  <c r="J27" i="103" s="1"/>
  <c r="P28" i="102"/>
  <c r="P4" i="103"/>
  <c r="P27" i="103" s="1"/>
  <c r="X4" i="102"/>
  <c r="X26" i="102" s="1"/>
  <c r="X28" i="100"/>
  <c r="R28" i="102"/>
  <c r="R4" i="103"/>
  <c r="R27" i="103" s="1"/>
  <c r="AA28" i="102"/>
  <c r="AA4" i="103"/>
  <c r="AA27" i="103" s="1"/>
  <c r="F28" i="102"/>
  <c r="F4" i="103"/>
  <c r="F27" i="103" s="1"/>
  <c r="G28" i="102"/>
  <c r="G4" i="103"/>
  <c r="G27" i="103" s="1"/>
  <c r="AB28" i="100"/>
  <c r="AB4" i="102"/>
  <c r="AB26" i="102" s="1"/>
  <c r="O28" i="99"/>
  <c r="O4" i="100"/>
  <c r="O26" i="100" s="1"/>
  <c r="I28" i="102"/>
  <c r="I4" i="103"/>
  <c r="I27" i="103" s="1"/>
  <c r="M28" i="99"/>
  <c r="M4" i="100"/>
  <c r="M26" i="100" s="1"/>
  <c r="H28" i="100"/>
  <c r="H4" i="102"/>
  <c r="H26" i="102" s="1"/>
  <c r="V28" i="102"/>
  <c r="V4" i="103"/>
  <c r="V27" i="103" s="1"/>
  <c r="U28" i="102"/>
  <c r="U4" i="103"/>
  <c r="U27" i="103" s="1"/>
  <c r="L28" i="102"/>
  <c r="L4" i="103"/>
  <c r="L27" i="103" s="1"/>
  <c r="O15" i="95"/>
  <c r="AB29" i="99" l="1"/>
  <c r="T29" i="103"/>
  <c r="T4" i="104"/>
  <c r="T23" i="104" s="1"/>
  <c r="T33" i="103"/>
  <c r="Z4" i="104"/>
  <c r="Z23" i="104" s="1"/>
  <c r="Z33" i="103"/>
  <c r="Z29" i="103"/>
  <c r="W29" i="103"/>
  <c r="W4" i="104"/>
  <c r="W23" i="104" s="1"/>
  <c r="W33" i="103"/>
  <c r="L29" i="103"/>
  <c r="L4" i="104"/>
  <c r="L23" i="104" s="1"/>
  <c r="L33" i="103"/>
  <c r="V4" i="104"/>
  <c r="V23" i="104" s="1"/>
  <c r="V33" i="103"/>
  <c r="V29" i="103"/>
  <c r="M28" i="100"/>
  <c r="M4" i="102"/>
  <c r="M26" i="102" s="1"/>
  <c r="O28" i="100"/>
  <c r="O4" i="102"/>
  <c r="O26" i="102" s="1"/>
  <c r="G29" i="103"/>
  <c r="G4" i="104"/>
  <c r="G23" i="104" s="1"/>
  <c r="G33" i="103"/>
  <c r="AA29" i="103"/>
  <c r="AA4" i="104"/>
  <c r="AA23" i="104" s="1"/>
  <c r="AA33" i="103"/>
  <c r="J4" i="104"/>
  <c r="J23" i="104" s="1"/>
  <c r="J33" i="103"/>
  <c r="J29" i="103"/>
  <c r="Q29" i="103"/>
  <c r="Q4" i="104"/>
  <c r="Q23" i="104" s="1"/>
  <c r="Q33" i="103"/>
  <c r="X28" i="102"/>
  <c r="X4" i="103"/>
  <c r="X27" i="103" s="1"/>
  <c r="Y4" i="104"/>
  <c r="Y23" i="104" s="1"/>
  <c r="Y29" i="103"/>
  <c r="Y33" i="103"/>
  <c r="K29" i="103"/>
  <c r="K4" i="104"/>
  <c r="K23" i="104" s="1"/>
  <c r="K33" i="103"/>
  <c r="E29" i="103"/>
  <c r="E4" i="104"/>
  <c r="E23" i="104" s="1"/>
  <c r="E33" i="103"/>
  <c r="U29" i="103"/>
  <c r="U4" i="104"/>
  <c r="U23" i="104" s="1"/>
  <c r="U33" i="103"/>
  <c r="H28" i="102"/>
  <c r="H4" i="103"/>
  <c r="H27" i="103" s="1"/>
  <c r="I29" i="103"/>
  <c r="I4" i="104"/>
  <c r="I23" i="104" s="1"/>
  <c r="I33" i="103"/>
  <c r="AB28" i="102"/>
  <c r="AB4" i="103"/>
  <c r="AB27" i="103" s="1"/>
  <c r="F4" i="104"/>
  <c r="F23" i="104" s="1"/>
  <c r="F33" i="103"/>
  <c r="F29" i="103"/>
  <c r="R4" i="104"/>
  <c r="R23" i="104" s="1"/>
  <c r="R33" i="103"/>
  <c r="R29" i="103"/>
  <c r="P29" i="103"/>
  <c r="P4" i="104"/>
  <c r="P23" i="104" s="1"/>
  <c r="P33" i="103"/>
  <c r="S29" i="103"/>
  <c r="S4" i="104"/>
  <c r="S23" i="104" s="1"/>
  <c r="S33" i="103"/>
  <c r="N33" i="103"/>
  <c r="N4" i="104"/>
  <c r="N23" i="104" s="1"/>
  <c r="N29" i="103"/>
  <c r="D28" i="102"/>
  <c r="D4" i="103"/>
  <c r="D27" i="103" s="1"/>
  <c r="D19" i="94"/>
  <c r="AB29" i="100" l="1"/>
  <c r="R25" i="104"/>
  <c r="R4" i="105"/>
  <c r="R23" i="105" s="1"/>
  <c r="S25" i="104"/>
  <c r="S4" i="105"/>
  <c r="S23" i="105" s="1"/>
  <c r="AA25" i="104"/>
  <c r="AA4" i="105"/>
  <c r="AA23" i="105" s="1"/>
  <c r="W25" i="104"/>
  <c r="W4" i="105"/>
  <c r="W23" i="105" s="1"/>
  <c r="Z25" i="104"/>
  <c r="Z4" i="105"/>
  <c r="Z23" i="105" s="1"/>
  <c r="N25" i="104"/>
  <c r="N4" i="105"/>
  <c r="N23" i="105" s="1"/>
  <c r="K25" i="104"/>
  <c r="K4" i="105"/>
  <c r="K23" i="105" s="1"/>
  <c r="Y25" i="104"/>
  <c r="Y4" i="105"/>
  <c r="Y23" i="105" s="1"/>
  <c r="L25" i="104"/>
  <c r="L4" i="105"/>
  <c r="L23" i="105" s="1"/>
  <c r="F25" i="104"/>
  <c r="F4" i="105"/>
  <c r="F23" i="105" s="1"/>
  <c r="I25" i="104"/>
  <c r="I4" i="105"/>
  <c r="I23" i="105" s="1"/>
  <c r="E25" i="104"/>
  <c r="E4" i="105"/>
  <c r="E23" i="105" s="1"/>
  <c r="Q25" i="104"/>
  <c r="Q4" i="105"/>
  <c r="Q23" i="105" s="1"/>
  <c r="J25" i="104"/>
  <c r="J4" i="105"/>
  <c r="J23" i="105" s="1"/>
  <c r="T25" i="104"/>
  <c r="T4" i="105"/>
  <c r="T23" i="105" s="1"/>
  <c r="P25" i="104"/>
  <c r="P4" i="105"/>
  <c r="P23" i="105" s="1"/>
  <c r="U25" i="104"/>
  <c r="U4" i="105"/>
  <c r="U23" i="105" s="1"/>
  <c r="G25" i="104"/>
  <c r="G4" i="105"/>
  <c r="G23" i="105" s="1"/>
  <c r="V25" i="104"/>
  <c r="V4" i="105"/>
  <c r="V23" i="105" s="1"/>
  <c r="O28" i="102"/>
  <c r="O4" i="103"/>
  <c r="O27" i="103" s="1"/>
  <c r="AB29" i="103"/>
  <c r="AB4" i="104"/>
  <c r="AB23" i="104" s="1"/>
  <c r="X4" i="104"/>
  <c r="X23" i="104" s="1"/>
  <c r="X29" i="103"/>
  <c r="X33" i="103"/>
  <c r="M28" i="102"/>
  <c r="M4" i="103"/>
  <c r="M27" i="103" s="1"/>
  <c r="D29" i="103"/>
  <c r="D4" i="104"/>
  <c r="D23" i="104" s="1"/>
  <c r="D33" i="103"/>
  <c r="H29" i="103"/>
  <c r="H4" i="104"/>
  <c r="H23" i="104" s="1"/>
  <c r="H33" i="103"/>
  <c r="AB16" i="94"/>
  <c r="AB29" i="102" l="1"/>
  <c r="V25" i="105"/>
  <c r="V4" i="106"/>
  <c r="V24" i="106" s="1"/>
  <c r="T25" i="105"/>
  <c r="T4" i="106"/>
  <c r="T24" i="106" s="1"/>
  <c r="Q25" i="105"/>
  <c r="Q4" i="106"/>
  <c r="Q24" i="106" s="1"/>
  <c r="I25" i="105"/>
  <c r="I4" i="106"/>
  <c r="I24" i="106" s="1"/>
  <c r="K25" i="105"/>
  <c r="K4" i="106"/>
  <c r="K24" i="106" s="1"/>
  <c r="Z25" i="105"/>
  <c r="Z4" i="106"/>
  <c r="Z24" i="106" s="1"/>
  <c r="AA25" i="105"/>
  <c r="AA4" i="106"/>
  <c r="AA24" i="106" s="1"/>
  <c r="R25" i="105"/>
  <c r="R4" i="106"/>
  <c r="R24" i="106" s="1"/>
  <c r="U25" i="105"/>
  <c r="U4" i="106"/>
  <c r="U24" i="106" s="1"/>
  <c r="L25" i="105"/>
  <c r="L4" i="106"/>
  <c r="L24" i="106" s="1"/>
  <c r="G25" i="105"/>
  <c r="G4" i="106"/>
  <c r="G24" i="106" s="1"/>
  <c r="P25" i="105"/>
  <c r="P4" i="106"/>
  <c r="P24" i="106" s="1"/>
  <c r="J25" i="105"/>
  <c r="J4" i="106"/>
  <c r="J24" i="106" s="1"/>
  <c r="E25" i="105"/>
  <c r="E4" i="106"/>
  <c r="E24" i="106" s="1"/>
  <c r="F25" i="105"/>
  <c r="F4" i="106"/>
  <c r="F24" i="106" s="1"/>
  <c r="Y25" i="105"/>
  <c r="Y4" i="106"/>
  <c r="Y24" i="106" s="1"/>
  <c r="N25" i="105"/>
  <c r="N4" i="106"/>
  <c r="N24" i="106" s="1"/>
  <c r="W25" i="105"/>
  <c r="W4" i="106"/>
  <c r="W24" i="106" s="1"/>
  <c r="S25" i="105"/>
  <c r="S4" i="106"/>
  <c r="S24" i="106" s="1"/>
  <c r="X25" i="104"/>
  <c r="X4" i="105"/>
  <c r="X23" i="105" s="1"/>
  <c r="AB25" i="104"/>
  <c r="AB4" i="105"/>
  <c r="AB23" i="105" s="1"/>
  <c r="H25" i="104"/>
  <c r="H4" i="105"/>
  <c r="H23" i="105" s="1"/>
  <c r="D25" i="104"/>
  <c r="D4" i="105"/>
  <c r="D23" i="105" s="1"/>
  <c r="O29" i="103"/>
  <c r="O4" i="104"/>
  <c r="O23" i="104" s="1"/>
  <c r="O33" i="103"/>
  <c r="M29" i="103"/>
  <c r="M4" i="104"/>
  <c r="M23" i="104" s="1"/>
  <c r="M33" i="103"/>
  <c r="D18" i="93"/>
  <c r="E26" i="106" l="1"/>
  <c r="E4" i="107"/>
  <c r="E24" i="107" s="1"/>
  <c r="S26" i="106"/>
  <c r="S4" i="107"/>
  <c r="S24" i="107" s="1"/>
  <c r="F26" i="106"/>
  <c r="F4" i="107"/>
  <c r="F24" i="107" s="1"/>
  <c r="G26" i="106"/>
  <c r="G4" i="107"/>
  <c r="G24" i="107" s="1"/>
  <c r="U26" i="106"/>
  <c r="U4" i="107"/>
  <c r="U24" i="107" s="1"/>
  <c r="K26" i="106"/>
  <c r="K4" i="107"/>
  <c r="K24" i="107" s="1"/>
  <c r="Q26" i="106"/>
  <c r="Q4" i="107"/>
  <c r="Q24" i="107" s="1"/>
  <c r="V26" i="106"/>
  <c r="V4" i="107"/>
  <c r="V24" i="107" s="1"/>
  <c r="N26" i="106"/>
  <c r="N4" i="107"/>
  <c r="N24" i="107" s="1"/>
  <c r="J26" i="106"/>
  <c r="J4" i="107"/>
  <c r="J24" i="107" s="1"/>
  <c r="AA26" i="106"/>
  <c r="AA4" i="107"/>
  <c r="AA24" i="107" s="1"/>
  <c r="W26" i="106"/>
  <c r="W4" i="107"/>
  <c r="W24" i="107" s="1"/>
  <c r="Y26" i="106"/>
  <c r="Y4" i="107"/>
  <c r="Y24" i="107" s="1"/>
  <c r="P26" i="106"/>
  <c r="P4" i="107"/>
  <c r="P24" i="107" s="1"/>
  <c r="L26" i="106"/>
  <c r="L4" i="107"/>
  <c r="L24" i="107" s="1"/>
  <c r="R26" i="106"/>
  <c r="R4" i="107"/>
  <c r="R24" i="107" s="1"/>
  <c r="Z26" i="106"/>
  <c r="Z4" i="107"/>
  <c r="Z24" i="107" s="1"/>
  <c r="I26" i="106"/>
  <c r="I4" i="107"/>
  <c r="I24" i="107" s="1"/>
  <c r="T26" i="106"/>
  <c r="T4" i="107"/>
  <c r="T24" i="107" s="1"/>
  <c r="AB30" i="103"/>
  <c r="AB25" i="105"/>
  <c r="AB4" i="106"/>
  <c r="AB24" i="106" s="1"/>
  <c r="D25" i="105"/>
  <c r="D4" i="106"/>
  <c r="D24" i="106" s="1"/>
  <c r="H25" i="105"/>
  <c r="H4" i="106"/>
  <c r="H24" i="106" s="1"/>
  <c r="X25" i="105"/>
  <c r="X4" i="106"/>
  <c r="X24" i="106" s="1"/>
  <c r="O25" i="104"/>
  <c r="O4" i="105"/>
  <c r="O23" i="105" s="1"/>
  <c r="M25" i="104"/>
  <c r="M4" i="105"/>
  <c r="M23" i="105" s="1"/>
  <c r="I14" i="93"/>
  <c r="AB26" i="104" l="1"/>
  <c r="I26" i="107"/>
  <c r="I4" i="108"/>
  <c r="I25" i="108" s="1"/>
  <c r="R26" i="107"/>
  <c r="R4" i="108"/>
  <c r="R25" i="108" s="1"/>
  <c r="P26" i="107"/>
  <c r="P4" i="108"/>
  <c r="P25" i="108" s="1"/>
  <c r="W26" i="107"/>
  <c r="W4" i="108"/>
  <c r="W25" i="108" s="1"/>
  <c r="J26" i="107"/>
  <c r="J4" i="108"/>
  <c r="J25" i="108" s="1"/>
  <c r="V26" i="107"/>
  <c r="V4" i="108"/>
  <c r="V25" i="108" s="1"/>
  <c r="K26" i="107"/>
  <c r="K4" i="108"/>
  <c r="K25" i="108" s="1"/>
  <c r="G26" i="107"/>
  <c r="G4" i="108"/>
  <c r="G25" i="108" s="1"/>
  <c r="S26" i="107"/>
  <c r="S4" i="108"/>
  <c r="S25" i="108" s="1"/>
  <c r="X4" i="107"/>
  <c r="X24" i="107" s="1"/>
  <c r="X26" i="106"/>
  <c r="H26" i="106"/>
  <c r="H4" i="107"/>
  <c r="H24" i="107" s="1"/>
  <c r="T26" i="107"/>
  <c r="T4" i="108"/>
  <c r="T25" i="108" s="1"/>
  <c r="L26" i="107"/>
  <c r="L4" i="108"/>
  <c r="L25" i="108" s="1"/>
  <c r="AA26" i="107"/>
  <c r="AA4" i="108"/>
  <c r="AA25" i="108" s="1"/>
  <c r="N26" i="107"/>
  <c r="N4" i="108"/>
  <c r="N25" i="108" s="1"/>
  <c r="U26" i="107"/>
  <c r="U4" i="108"/>
  <c r="U25" i="108" s="1"/>
  <c r="F26" i="107"/>
  <c r="F4" i="108"/>
  <c r="F25" i="108" s="1"/>
  <c r="E26" i="107"/>
  <c r="E4" i="108"/>
  <c r="E25" i="108" s="1"/>
  <c r="D26" i="106"/>
  <c r="D4" i="107"/>
  <c r="D24" i="107" s="1"/>
  <c r="AB26" i="106"/>
  <c r="AB4" i="107"/>
  <c r="AB24" i="107" s="1"/>
  <c r="Z26" i="107"/>
  <c r="Z4" i="108"/>
  <c r="Z25" i="108" s="1"/>
  <c r="Y26" i="107"/>
  <c r="Y4" i="108"/>
  <c r="Y25" i="108" s="1"/>
  <c r="Q26" i="107"/>
  <c r="Q4" i="108"/>
  <c r="Q25" i="108" s="1"/>
  <c r="O25" i="105"/>
  <c r="O4" i="106"/>
  <c r="O24" i="106" s="1"/>
  <c r="M25" i="105"/>
  <c r="M4" i="106"/>
  <c r="M24" i="106" s="1"/>
  <c r="R21" i="92"/>
  <c r="X19" i="92"/>
  <c r="Z27" i="108" l="1"/>
  <c r="Z4" i="109"/>
  <c r="Z26" i="109" s="1"/>
  <c r="F27" i="108"/>
  <c r="F4" i="109"/>
  <c r="F26" i="109" s="1"/>
  <c r="K27" i="108"/>
  <c r="K4" i="109"/>
  <c r="K26" i="109" s="1"/>
  <c r="I27" i="108"/>
  <c r="I4" i="109"/>
  <c r="I26" i="109" s="1"/>
  <c r="Q27" i="108"/>
  <c r="Q4" i="109"/>
  <c r="Q26" i="109" s="1"/>
  <c r="N27" i="108"/>
  <c r="N4" i="109"/>
  <c r="N26" i="109" s="1"/>
  <c r="L27" i="108"/>
  <c r="L4" i="109"/>
  <c r="L26" i="109" s="1"/>
  <c r="S27" i="108"/>
  <c r="S4" i="109"/>
  <c r="S26" i="109" s="1"/>
  <c r="J27" i="108"/>
  <c r="J4" i="109"/>
  <c r="J26" i="109" s="1"/>
  <c r="P27" i="108"/>
  <c r="P4" i="109"/>
  <c r="P26" i="109" s="1"/>
  <c r="AB26" i="105"/>
  <c r="Y27" i="108"/>
  <c r="Y4" i="109"/>
  <c r="Y26" i="109" s="1"/>
  <c r="E27" i="108"/>
  <c r="E4" i="109"/>
  <c r="E26" i="109" s="1"/>
  <c r="U27" i="108"/>
  <c r="U4" i="109"/>
  <c r="U26" i="109" s="1"/>
  <c r="AA27" i="108"/>
  <c r="AA4" i="109"/>
  <c r="AA26" i="109" s="1"/>
  <c r="T27" i="108"/>
  <c r="T4" i="109"/>
  <c r="T26" i="109" s="1"/>
  <c r="G27" i="108"/>
  <c r="G4" i="109"/>
  <c r="G26" i="109" s="1"/>
  <c r="V27" i="108"/>
  <c r="V4" i="109"/>
  <c r="V26" i="109" s="1"/>
  <c r="W27" i="108"/>
  <c r="W4" i="109"/>
  <c r="W26" i="109" s="1"/>
  <c r="R27" i="108"/>
  <c r="R4" i="109"/>
  <c r="R26" i="109" s="1"/>
  <c r="M4" i="107"/>
  <c r="M24" i="107" s="1"/>
  <c r="M26" i="106"/>
  <c r="D26" i="107"/>
  <c r="D4" i="108"/>
  <c r="D25" i="108" s="1"/>
  <c r="H26" i="107"/>
  <c r="H4" i="108"/>
  <c r="H25" i="108" s="1"/>
  <c r="AB26" i="107"/>
  <c r="AB4" i="108"/>
  <c r="AB25" i="108" s="1"/>
  <c r="O26" i="106"/>
  <c r="O4" i="107"/>
  <c r="O24" i="107" s="1"/>
  <c r="X4" i="108"/>
  <c r="X25" i="108" s="1"/>
  <c r="X26" i="107"/>
  <c r="P32" i="91"/>
  <c r="P31" i="91"/>
  <c r="P28" i="109" l="1"/>
  <c r="P4" i="110"/>
  <c r="P27" i="110" s="1"/>
  <c r="F28" i="109"/>
  <c r="F4" i="110"/>
  <c r="F27" i="110" s="1"/>
  <c r="D27" i="108"/>
  <c r="D4" i="109"/>
  <c r="D26" i="109" s="1"/>
  <c r="V28" i="109"/>
  <c r="V4" i="110"/>
  <c r="V27" i="110" s="1"/>
  <c r="U28" i="109"/>
  <c r="U4" i="110"/>
  <c r="U27" i="110" s="1"/>
  <c r="Y28" i="109"/>
  <c r="Y4" i="110"/>
  <c r="Y27" i="110" s="1"/>
  <c r="S28" i="109"/>
  <c r="S4" i="110"/>
  <c r="S27" i="110" s="1"/>
  <c r="I28" i="109"/>
  <c r="I4" i="110"/>
  <c r="I27" i="110" s="1"/>
  <c r="AB27" i="108"/>
  <c r="AB4" i="109"/>
  <c r="AB26" i="109" s="1"/>
  <c r="R28" i="109"/>
  <c r="R4" i="110"/>
  <c r="R27" i="110" s="1"/>
  <c r="T28" i="109"/>
  <c r="T4" i="110"/>
  <c r="T27" i="110" s="1"/>
  <c r="X27" i="108"/>
  <c r="X4" i="109"/>
  <c r="X26" i="109" s="1"/>
  <c r="J28" i="109"/>
  <c r="J4" i="110"/>
  <c r="J27" i="110" s="1"/>
  <c r="L28" i="109"/>
  <c r="L4" i="110"/>
  <c r="L27" i="110" s="1"/>
  <c r="Q28" i="109"/>
  <c r="Q4" i="110"/>
  <c r="Q27" i="110" s="1"/>
  <c r="K28" i="109"/>
  <c r="K4" i="110"/>
  <c r="K27" i="110" s="1"/>
  <c r="Z28" i="109"/>
  <c r="Z4" i="110"/>
  <c r="Z27" i="110" s="1"/>
  <c r="N28" i="109"/>
  <c r="N4" i="110"/>
  <c r="N27" i="110" s="1"/>
  <c r="H27" i="108"/>
  <c r="H4" i="109"/>
  <c r="H26" i="109" s="1"/>
  <c r="AB27" i="106"/>
  <c r="W28" i="109"/>
  <c r="W4" i="110"/>
  <c r="W27" i="110" s="1"/>
  <c r="G28" i="109"/>
  <c r="G4" i="110"/>
  <c r="G27" i="110" s="1"/>
  <c r="AA28" i="109"/>
  <c r="AA4" i="110"/>
  <c r="AA27" i="110" s="1"/>
  <c r="E28" i="109"/>
  <c r="E4" i="110"/>
  <c r="E27" i="110" s="1"/>
  <c r="M26" i="107"/>
  <c r="M4" i="108"/>
  <c r="M25" i="108" s="1"/>
  <c r="O26" i="107"/>
  <c r="O4" i="108"/>
  <c r="O25" i="108" s="1"/>
  <c r="P33" i="91"/>
  <c r="P34" i="91" s="1"/>
  <c r="M9" i="91"/>
  <c r="I20" i="91"/>
  <c r="Y20" i="91"/>
  <c r="M18" i="91"/>
  <c r="AB27" i="107" l="1"/>
  <c r="K29" i="110"/>
  <c r="K4" i="111"/>
  <c r="K30" i="111" s="1"/>
  <c r="X28" i="109"/>
  <c r="X4" i="110"/>
  <c r="X27" i="110" s="1"/>
  <c r="I29" i="110"/>
  <c r="I4" i="111"/>
  <c r="I30" i="111" s="1"/>
  <c r="Y29" i="110"/>
  <c r="Y4" i="111"/>
  <c r="Y30" i="111" s="1"/>
  <c r="V29" i="110"/>
  <c r="V4" i="111"/>
  <c r="V30" i="111" s="1"/>
  <c r="F29" i="110"/>
  <c r="F4" i="111"/>
  <c r="F30" i="111" s="1"/>
  <c r="N29" i="110"/>
  <c r="N4" i="111"/>
  <c r="N30" i="111" s="1"/>
  <c r="L29" i="110"/>
  <c r="L4" i="111"/>
  <c r="L30" i="111" s="1"/>
  <c r="R29" i="110"/>
  <c r="R4" i="111"/>
  <c r="R30" i="111" s="1"/>
  <c r="O27" i="108"/>
  <c r="O4" i="109"/>
  <c r="O26" i="109" s="1"/>
  <c r="E29" i="110"/>
  <c r="E4" i="111"/>
  <c r="E30" i="111" s="1"/>
  <c r="G29" i="110"/>
  <c r="G4" i="111"/>
  <c r="G30" i="111" s="1"/>
  <c r="H28" i="109"/>
  <c r="H4" i="110"/>
  <c r="H27" i="110" s="1"/>
  <c r="Q29" i="110"/>
  <c r="Q4" i="111"/>
  <c r="Q30" i="111" s="1"/>
  <c r="J29" i="110"/>
  <c r="J4" i="111"/>
  <c r="J30" i="111" s="1"/>
  <c r="T29" i="110"/>
  <c r="T4" i="111"/>
  <c r="T30" i="111" s="1"/>
  <c r="AB28" i="109"/>
  <c r="AB4" i="110"/>
  <c r="AB27" i="110" s="1"/>
  <c r="S29" i="110"/>
  <c r="S4" i="111"/>
  <c r="S30" i="111" s="1"/>
  <c r="U29" i="110"/>
  <c r="U4" i="111"/>
  <c r="U30" i="111" s="1"/>
  <c r="D4" i="110"/>
  <c r="D27" i="110" s="1"/>
  <c r="D28" i="109"/>
  <c r="P29" i="110"/>
  <c r="P4" i="111"/>
  <c r="P30" i="111" s="1"/>
  <c r="Z29" i="110"/>
  <c r="Z4" i="111"/>
  <c r="Z30" i="111" s="1"/>
  <c r="M27" i="108"/>
  <c r="M4" i="109"/>
  <c r="M26" i="109" s="1"/>
  <c r="AA29" i="110"/>
  <c r="AA4" i="111"/>
  <c r="AA30" i="111" s="1"/>
  <c r="W29" i="110"/>
  <c r="W4" i="111"/>
  <c r="W30" i="111" s="1"/>
  <c r="O39" i="91"/>
  <c r="O38" i="91"/>
  <c r="AB28" i="108" l="1"/>
  <c r="T32" i="111"/>
  <c r="T4" i="112"/>
  <c r="T25" i="112" s="1"/>
  <c r="G32" i="111"/>
  <c r="G4" i="112"/>
  <c r="G25" i="112" s="1"/>
  <c r="L32" i="111"/>
  <c r="L4" i="112"/>
  <c r="L25" i="112" s="1"/>
  <c r="Y32" i="111"/>
  <c r="Y4" i="112"/>
  <c r="Y25" i="112" s="1"/>
  <c r="X29" i="110"/>
  <c r="X4" i="111"/>
  <c r="X30" i="111" s="1"/>
  <c r="AA32" i="111"/>
  <c r="AA4" i="112"/>
  <c r="AA25" i="112" s="1"/>
  <c r="Z32" i="111"/>
  <c r="Z4" i="112"/>
  <c r="Z25" i="112" s="1"/>
  <c r="S32" i="111"/>
  <c r="S4" i="112"/>
  <c r="S25" i="112" s="1"/>
  <c r="Q32" i="111"/>
  <c r="Q4" i="112"/>
  <c r="Q25" i="112" s="1"/>
  <c r="O28" i="109"/>
  <c r="O4" i="110"/>
  <c r="O27" i="110" s="1"/>
  <c r="F32" i="111"/>
  <c r="F4" i="112"/>
  <c r="F25" i="112" s="1"/>
  <c r="D29" i="110"/>
  <c r="D4" i="111"/>
  <c r="D30" i="111" s="1"/>
  <c r="W32" i="111"/>
  <c r="W4" i="112"/>
  <c r="W25" i="112" s="1"/>
  <c r="P32" i="111"/>
  <c r="P4" i="112"/>
  <c r="P25" i="112" s="1"/>
  <c r="AB29" i="110"/>
  <c r="AB4" i="111"/>
  <c r="AB30" i="111" s="1"/>
  <c r="H29" i="110"/>
  <c r="H4" i="111"/>
  <c r="H30" i="111" s="1"/>
  <c r="E32" i="111"/>
  <c r="E4" i="112"/>
  <c r="E25" i="112" s="1"/>
  <c r="N4" i="112"/>
  <c r="N25" i="112" s="1"/>
  <c r="N32" i="111"/>
  <c r="V32" i="111"/>
  <c r="V4" i="112"/>
  <c r="V25" i="112" s="1"/>
  <c r="I32" i="111"/>
  <c r="I4" i="112"/>
  <c r="I25" i="112" s="1"/>
  <c r="K32" i="111"/>
  <c r="K4" i="112"/>
  <c r="K25" i="112" s="1"/>
  <c r="M28" i="109"/>
  <c r="AB29" i="109" s="1"/>
  <c r="M4" i="110"/>
  <c r="M27" i="110" s="1"/>
  <c r="U32" i="111"/>
  <c r="U4" i="112"/>
  <c r="U25" i="112" s="1"/>
  <c r="J32" i="111"/>
  <c r="J4" i="112"/>
  <c r="J25" i="112" s="1"/>
  <c r="R32" i="111"/>
  <c r="R4" i="112"/>
  <c r="R25" i="112" s="1"/>
  <c r="O47" i="91"/>
  <c r="C46" i="91"/>
  <c r="C48" i="91" s="1"/>
  <c r="N33" i="91"/>
  <c r="Y32" i="91"/>
  <c r="N32" i="91"/>
  <c r="Y31" i="91"/>
  <c r="S27" i="112" l="1"/>
  <c r="S4" i="113"/>
  <c r="S26" i="113" s="1"/>
  <c r="AA27" i="112"/>
  <c r="AA4" i="113"/>
  <c r="AA26" i="113" s="1"/>
  <c r="Y27" i="112"/>
  <c r="Y4" i="113"/>
  <c r="Y26" i="113" s="1"/>
  <c r="G27" i="112"/>
  <c r="G4" i="113"/>
  <c r="G26" i="113" s="1"/>
  <c r="J27" i="112"/>
  <c r="J4" i="113"/>
  <c r="J26" i="113" s="1"/>
  <c r="I27" i="112"/>
  <c r="I4" i="113"/>
  <c r="I26" i="113" s="1"/>
  <c r="P27" i="112"/>
  <c r="P4" i="113"/>
  <c r="P26" i="113" s="1"/>
  <c r="N27" i="112"/>
  <c r="N4" i="113"/>
  <c r="N26" i="113" s="1"/>
  <c r="R27" i="112"/>
  <c r="R4" i="113"/>
  <c r="R26" i="113" s="1"/>
  <c r="K27" i="112"/>
  <c r="K4" i="113"/>
  <c r="K26" i="113" s="1"/>
  <c r="E27" i="112"/>
  <c r="E4" i="113"/>
  <c r="E26" i="113" s="1"/>
  <c r="F27" i="112"/>
  <c r="F4" i="113"/>
  <c r="F26" i="113" s="1"/>
  <c r="L27" i="112"/>
  <c r="L4" i="113"/>
  <c r="L26" i="113" s="1"/>
  <c r="U27" i="112"/>
  <c r="U4" i="113"/>
  <c r="U26" i="113" s="1"/>
  <c r="V27" i="112"/>
  <c r="V4" i="113"/>
  <c r="V26" i="113" s="1"/>
  <c r="W27" i="112"/>
  <c r="W4" i="113"/>
  <c r="W26" i="113" s="1"/>
  <c r="Q27" i="112"/>
  <c r="Q4" i="113"/>
  <c r="Q26" i="113" s="1"/>
  <c r="Z27" i="112"/>
  <c r="Z4" i="113"/>
  <c r="Z26" i="113" s="1"/>
  <c r="T27" i="112"/>
  <c r="T4" i="113"/>
  <c r="T26" i="113" s="1"/>
  <c r="M29" i="110"/>
  <c r="M4" i="111"/>
  <c r="M30" i="111" s="1"/>
  <c r="AB32" i="111"/>
  <c r="AB4" i="112"/>
  <c r="AB25" i="112" s="1"/>
  <c r="X32" i="111"/>
  <c r="X4" i="112"/>
  <c r="X25" i="112" s="1"/>
  <c r="H32" i="111"/>
  <c r="H4" i="112"/>
  <c r="H25" i="112" s="1"/>
  <c r="D4" i="112"/>
  <c r="D25" i="112" s="1"/>
  <c r="D32" i="111"/>
  <c r="O29" i="110"/>
  <c r="O4" i="111"/>
  <c r="O30" i="111" s="1"/>
  <c r="Y33" i="91"/>
  <c r="Y34" i="91" s="1"/>
  <c r="N34" i="91"/>
  <c r="N35" i="91" s="1"/>
  <c r="X22" i="90"/>
  <c r="W28" i="113" l="1"/>
  <c r="W4" i="114"/>
  <c r="W27" i="114" s="1"/>
  <c r="U28" i="113"/>
  <c r="U4" i="114"/>
  <c r="U27" i="114" s="1"/>
  <c r="K28" i="113"/>
  <c r="K4" i="114"/>
  <c r="K27" i="114" s="1"/>
  <c r="N28" i="113"/>
  <c r="N4" i="114"/>
  <c r="N27" i="114" s="1"/>
  <c r="I28" i="113"/>
  <c r="I4" i="114"/>
  <c r="I27" i="114" s="1"/>
  <c r="G28" i="113"/>
  <c r="G4" i="114"/>
  <c r="G27" i="114" s="1"/>
  <c r="AA28" i="113"/>
  <c r="AA4" i="114"/>
  <c r="AA27" i="114" s="1"/>
  <c r="Z28" i="113"/>
  <c r="Z4" i="114"/>
  <c r="Z27" i="114" s="1"/>
  <c r="F28" i="113"/>
  <c r="F4" i="114"/>
  <c r="F27" i="114" s="1"/>
  <c r="Q28" i="113"/>
  <c r="Q4" i="114"/>
  <c r="Q27" i="114" s="1"/>
  <c r="L28" i="113"/>
  <c r="L4" i="114"/>
  <c r="L27" i="114" s="1"/>
  <c r="R28" i="113"/>
  <c r="R4" i="114"/>
  <c r="R27" i="114" s="1"/>
  <c r="S28" i="113"/>
  <c r="S4" i="114"/>
  <c r="S27" i="114" s="1"/>
  <c r="T28" i="113"/>
  <c r="T4" i="114"/>
  <c r="T27" i="114" s="1"/>
  <c r="V28" i="113"/>
  <c r="V4" i="114"/>
  <c r="V27" i="114" s="1"/>
  <c r="E28" i="113"/>
  <c r="E4" i="114"/>
  <c r="E27" i="114" s="1"/>
  <c r="P28" i="113"/>
  <c r="P4" i="114"/>
  <c r="P27" i="114" s="1"/>
  <c r="J28" i="113"/>
  <c r="J4" i="114"/>
  <c r="J27" i="114" s="1"/>
  <c r="Y28" i="113"/>
  <c r="Y4" i="114"/>
  <c r="Y27" i="114" s="1"/>
  <c r="X27" i="112"/>
  <c r="X4" i="113"/>
  <c r="X26" i="113" s="1"/>
  <c r="D27" i="112"/>
  <c r="D4" i="113"/>
  <c r="D26" i="113" s="1"/>
  <c r="AB30" i="110"/>
  <c r="AB27" i="112"/>
  <c r="AB4" i="113"/>
  <c r="AB26" i="113" s="1"/>
  <c r="H27" i="112"/>
  <c r="H4" i="113"/>
  <c r="H26" i="113" s="1"/>
  <c r="M32" i="111"/>
  <c r="M4" i="112"/>
  <c r="M25" i="112" s="1"/>
  <c r="O32" i="111"/>
  <c r="O4" i="112"/>
  <c r="O25" i="112" s="1"/>
  <c r="C37" i="91"/>
  <c r="Y33" i="90"/>
  <c r="Y32" i="90"/>
  <c r="Y18" i="90"/>
  <c r="I17" i="90"/>
  <c r="AB17" i="90"/>
  <c r="E29" i="114" l="1"/>
  <c r="E4" i="115"/>
  <c r="E27" i="115" s="1"/>
  <c r="T29" i="114"/>
  <c r="T4" i="115"/>
  <c r="T27" i="115" s="1"/>
  <c r="R29" i="114"/>
  <c r="R4" i="115"/>
  <c r="R27" i="115" s="1"/>
  <c r="Q29" i="114"/>
  <c r="Q4" i="115"/>
  <c r="Q27" i="115" s="1"/>
  <c r="Z29" i="114"/>
  <c r="Z4" i="115"/>
  <c r="Z27" i="115" s="1"/>
  <c r="G29" i="114"/>
  <c r="G4" i="115"/>
  <c r="G27" i="115" s="1"/>
  <c r="N29" i="114"/>
  <c r="N4" i="115"/>
  <c r="N27" i="115" s="1"/>
  <c r="U29" i="114"/>
  <c r="U4" i="115"/>
  <c r="U27" i="115" s="1"/>
  <c r="J29" i="114"/>
  <c r="J4" i="115"/>
  <c r="J27" i="115" s="1"/>
  <c r="Y29" i="114"/>
  <c r="Y4" i="115"/>
  <c r="Y27" i="115" s="1"/>
  <c r="V29" i="114"/>
  <c r="V4" i="115"/>
  <c r="V27" i="115" s="1"/>
  <c r="S29" i="114"/>
  <c r="S4" i="115"/>
  <c r="S27" i="115" s="1"/>
  <c r="F29" i="114"/>
  <c r="F4" i="115"/>
  <c r="F27" i="115" s="1"/>
  <c r="AA29" i="114"/>
  <c r="AA4" i="115"/>
  <c r="AA27" i="115" s="1"/>
  <c r="I29" i="114"/>
  <c r="I4" i="115"/>
  <c r="I27" i="115" s="1"/>
  <c r="K29" i="114"/>
  <c r="K4" i="115"/>
  <c r="K27" i="115" s="1"/>
  <c r="W29" i="114"/>
  <c r="W4" i="115"/>
  <c r="W27" i="115" s="1"/>
  <c r="P29" i="114"/>
  <c r="P4" i="115"/>
  <c r="P27" i="115" s="1"/>
  <c r="L29" i="114"/>
  <c r="L4" i="115"/>
  <c r="L27" i="115" s="1"/>
  <c r="X28" i="113"/>
  <c r="X4" i="114"/>
  <c r="X27" i="114" s="1"/>
  <c r="H28" i="113"/>
  <c r="H4" i="114"/>
  <c r="H27" i="114" s="1"/>
  <c r="D28" i="113"/>
  <c r="D4" i="114"/>
  <c r="D27" i="114" s="1"/>
  <c r="AB28" i="113"/>
  <c r="AB4" i="114"/>
  <c r="AB27" i="114" s="1"/>
  <c r="M27" i="112"/>
  <c r="M4" i="113"/>
  <c r="M26" i="113" s="1"/>
  <c r="AB33" i="111"/>
  <c r="O27" i="112"/>
  <c r="O4" i="113"/>
  <c r="O26" i="113" s="1"/>
  <c r="Y34" i="90"/>
  <c r="Y35" i="90" s="1"/>
  <c r="N34" i="90"/>
  <c r="N33" i="90"/>
  <c r="L29" i="115" l="1"/>
  <c r="L4" i="116"/>
  <c r="L25" i="116" s="1"/>
  <c r="K29" i="115"/>
  <c r="K4" i="116"/>
  <c r="K25" i="116" s="1"/>
  <c r="S29" i="115"/>
  <c r="S4" i="116"/>
  <c r="S25" i="116" s="1"/>
  <c r="G29" i="115"/>
  <c r="G4" i="116"/>
  <c r="G25" i="116" s="1"/>
  <c r="T29" i="115"/>
  <c r="T4" i="116"/>
  <c r="T25" i="116" s="1"/>
  <c r="P29" i="115"/>
  <c r="P4" i="116"/>
  <c r="P25" i="116" s="1"/>
  <c r="AA29" i="115"/>
  <c r="AA4" i="116"/>
  <c r="AA25" i="116" s="1"/>
  <c r="Y29" i="115"/>
  <c r="Y4" i="116"/>
  <c r="Y25" i="116" s="1"/>
  <c r="U29" i="115"/>
  <c r="U4" i="116"/>
  <c r="U25" i="116" s="1"/>
  <c r="Q29" i="115"/>
  <c r="Q4" i="116"/>
  <c r="Q25" i="116" s="1"/>
  <c r="F29" i="115"/>
  <c r="F4" i="116"/>
  <c r="F25" i="116" s="1"/>
  <c r="R29" i="115"/>
  <c r="R4" i="116"/>
  <c r="R25" i="116" s="1"/>
  <c r="W29" i="115"/>
  <c r="W4" i="116"/>
  <c r="W25" i="116" s="1"/>
  <c r="I29" i="115"/>
  <c r="I4" i="116"/>
  <c r="I25" i="116" s="1"/>
  <c r="V29" i="115"/>
  <c r="V4" i="116"/>
  <c r="V25" i="116" s="1"/>
  <c r="J29" i="115"/>
  <c r="J4" i="116"/>
  <c r="J25" i="116" s="1"/>
  <c r="N29" i="115"/>
  <c r="N4" i="116"/>
  <c r="N25" i="116" s="1"/>
  <c r="Z29" i="115"/>
  <c r="Z4" i="116"/>
  <c r="Z25" i="116" s="1"/>
  <c r="E29" i="115"/>
  <c r="E4" i="116"/>
  <c r="E25" i="116" s="1"/>
  <c r="D29" i="114"/>
  <c r="D4" i="115"/>
  <c r="D27" i="115" s="1"/>
  <c r="X29" i="114"/>
  <c r="X4" i="115"/>
  <c r="X27" i="115" s="1"/>
  <c r="AB29" i="114"/>
  <c r="AB4" i="115"/>
  <c r="AB27" i="115" s="1"/>
  <c r="H29" i="114"/>
  <c r="H4" i="115"/>
  <c r="H27" i="115" s="1"/>
  <c r="M28" i="113"/>
  <c r="M4" i="114"/>
  <c r="M27" i="114" s="1"/>
  <c r="O28" i="113"/>
  <c r="O4" i="114"/>
  <c r="O27" i="114" s="1"/>
  <c r="AB28" i="112"/>
  <c r="N35" i="90"/>
  <c r="C38" i="90" s="1"/>
  <c r="O48" i="90"/>
  <c r="C47" i="90"/>
  <c r="C49" i="90" s="1"/>
  <c r="R27" i="116" l="1"/>
  <c r="R4" i="117"/>
  <c r="R25" i="117" s="1"/>
  <c r="Y27" i="116"/>
  <c r="Y4" i="117"/>
  <c r="Y25" i="117" s="1"/>
  <c r="P27" i="116"/>
  <c r="P4" i="117"/>
  <c r="P25" i="117" s="1"/>
  <c r="G27" i="116"/>
  <c r="G4" i="117"/>
  <c r="G25" i="117" s="1"/>
  <c r="K27" i="116"/>
  <c r="K4" i="117"/>
  <c r="K25" i="117" s="1"/>
  <c r="Z27" i="116"/>
  <c r="Z4" i="117"/>
  <c r="Z25" i="117" s="1"/>
  <c r="I27" i="116"/>
  <c r="I4" i="117"/>
  <c r="I25" i="117" s="1"/>
  <c r="Q27" i="116"/>
  <c r="Q4" i="117"/>
  <c r="Q25" i="117" s="1"/>
  <c r="N27" i="116"/>
  <c r="N4" i="117"/>
  <c r="N25" i="117" s="1"/>
  <c r="W27" i="116"/>
  <c r="W4" i="117"/>
  <c r="W25" i="117" s="1"/>
  <c r="U27" i="116"/>
  <c r="U4" i="117"/>
  <c r="U25" i="117" s="1"/>
  <c r="L27" i="116"/>
  <c r="L4" i="117"/>
  <c r="L25" i="117" s="1"/>
  <c r="E27" i="116"/>
  <c r="E4" i="117"/>
  <c r="E25" i="117" s="1"/>
  <c r="V27" i="116"/>
  <c r="V4" i="117"/>
  <c r="V25" i="117" s="1"/>
  <c r="F27" i="116"/>
  <c r="F4" i="117"/>
  <c r="F25" i="117" s="1"/>
  <c r="AA27" i="116"/>
  <c r="AA4" i="117"/>
  <c r="AA25" i="117" s="1"/>
  <c r="T27" i="116"/>
  <c r="T4" i="117"/>
  <c r="T25" i="117" s="1"/>
  <c r="S27" i="116"/>
  <c r="S4" i="117"/>
  <c r="S25" i="117" s="1"/>
  <c r="AB29" i="113"/>
  <c r="J27" i="116"/>
  <c r="J4" i="117"/>
  <c r="J25" i="117" s="1"/>
  <c r="AB29" i="115"/>
  <c r="AB4" i="116"/>
  <c r="AB25" i="116" s="1"/>
  <c r="D29" i="115"/>
  <c r="D4" i="116"/>
  <c r="D25" i="116" s="1"/>
  <c r="H29" i="115"/>
  <c r="H4" i="116"/>
  <c r="H25" i="116" s="1"/>
  <c r="X29" i="115"/>
  <c r="X4" i="116"/>
  <c r="X25" i="116" s="1"/>
  <c r="O29" i="114"/>
  <c r="O4" i="115"/>
  <c r="O27" i="115" s="1"/>
  <c r="M29" i="114"/>
  <c r="M4" i="115"/>
  <c r="M27" i="115" s="1"/>
  <c r="N36" i="90"/>
  <c r="D19" i="89"/>
  <c r="X16" i="89"/>
  <c r="AB30" i="114" l="1"/>
  <c r="S27" i="117"/>
  <c r="S4" i="118"/>
  <c r="S26" i="118" s="1"/>
  <c r="W27" i="117"/>
  <c r="W4" i="118"/>
  <c r="W26" i="118" s="1"/>
  <c r="Y27" i="117"/>
  <c r="Y4" i="118"/>
  <c r="Y26" i="118" s="1"/>
  <c r="J27" i="117"/>
  <c r="J4" i="118"/>
  <c r="J26" i="118" s="1"/>
  <c r="AA27" i="117"/>
  <c r="AA4" i="118"/>
  <c r="AA26" i="118" s="1"/>
  <c r="L27" i="117"/>
  <c r="L4" i="118"/>
  <c r="L26" i="118" s="1"/>
  <c r="Z27" i="117"/>
  <c r="Z4" i="118"/>
  <c r="Z26" i="118" s="1"/>
  <c r="Z28" i="118" s="1"/>
  <c r="T27" i="117"/>
  <c r="T4" i="118"/>
  <c r="T26" i="118" s="1"/>
  <c r="E27" i="117"/>
  <c r="E4" i="118"/>
  <c r="E26" i="118" s="1"/>
  <c r="U27" i="117"/>
  <c r="U4" i="118"/>
  <c r="U26" i="118" s="1"/>
  <c r="N27" i="117"/>
  <c r="N4" i="118"/>
  <c r="N26" i="118" s="1"/>
  <c r="I27" i="117"/>
  <c r="I4" i="118"/>
  <c r="I26" i="118" s="1"/>
  <c r="K27" i="117"/>
  <c r="K4" i="118"/>
  <c r="K26" i="118" s="1"/>
  <c r="P27" i="117"/>
  <c r="P4" i="118"/>
  <c r="P26" i="118" s="1"/>
  <c r="R27" i="117"/>
  <c r="R4" i="118"/>
  <c r="R26" i="118" s="1"/>
  <c r="V27" i="117"/>
  <c r="V4" i="118"/>
  <c r="V26" i="118" s="1"/>
  <c r="Q27" i="117"/>
  <c r="Q4" i="118"/>
  <c r="Q26" i="118" s="1"/>
  <c r="G27" i="117"/>
  <c r="G4" i="118"/>
  <c r="G26" i="118" s="1"/>
  <c r="F27" i="117"/>
  <c r="F4" i="118"/>
  <c r="F26" i="118" s="1"/>
  <c r="X27" i="116"/>
  <c r="X4" i="117"/>
  <c r="X25" i="117" s="1"/>
  <c r="D27" i="116"/>
  <c r="D4" i="117"/>
  <c r="D25" i="117" s="1"/>
  <c r="H27" i="116"/>
  <c r="H4" i="117"/>
  <c r="H25" i="117" s="1"/>
  <c r="AB27" i="116"/>
  <c r="AB4" i="117"/>
  <c r="AB25" i="117" s="1"/>
  <c r="O29" i="115"/>
  <c r="O4" i="116"/>
  <c r="O25" i="116" s="1"/>
  <c r="M29" i="115"/>
  <c r="M4" i="116"/>
  <c r="M25" i="116" s="1"/>
  <c r="X18" i="89"/>
  <c r="I17" i="89"/>
  <c r="Y16" i="89"/>
  <c r="Q28" i="118" l="1"/>
  <c r="Q32" i="118"/>
  <c r="Q35" i="118" s="1"/>
  <c r="E28" i="118"/>
  <c r="E32" i="118"/>
  <c r="E35" i="118" s="1"/>
  <c r="S28" i="118"/>
  <c r="S32" i="118"/>
  <c r="S35" i="118" s="1"/>
  <c r="R28" i="118"/>
  <c r="R32" i="118"/>
  <c r="R35" i="118" s="1"/>
  <c r="G28" i="118"/>
  <c r="G32" i="118"/>
  <c r="G35" i="118" s="1"/>
  <c r="P28" i="118"/>
  <c r="P32" i="118"/>
  <c r="P35" i="118" s="1"/>
  <c r="I28" i="118"/>
  <c r="I32" i="118"/>
  <c r="I35" i="118" s="1"/>
  <c r="T28" i="118"/>
  <c r="T32" i="118"/>
  <c r="T35" i="118" s="1"/>
  <c r="L28" i="118"/>
  <c r="L32" i="118"/>
  <c r="L35" i="118" s="1"/>
  <c r="W28" i="118"/>
  <c r="W32" i="118"/>
  <c r="W35" i="118" s="1"/>
  <c r="F28" i="118"/>
  <c r="F32" i="118"/>
  <c r="F35" i="118" s="1"/>
  <c r="K28" i="118"/>
  <c r="K32" i="118"/>
  <c r="K35" i="118" s="1"/>
  <c r="AA28" i="118"/>
  <c r="AA32" i="118"/>
  <c r="AA35" i="118" s="1"/>
  <c r="V28" i="118"/>
  <c r="V32" i="118"/>
  <c r="V35" i="118" s="1"/>
  <c r="U28" i="118"/>
  <c r="U32" i="118"/>
  <c r="U35" i="118" s="1"/>
  <c r="J28" i="118"/>
  <c r="J32" i="118"/>
  <c r="J35" i="118" s="1"/>
  <c r="Y28" i="118"/>
  <c r="Y32" i="118"/>
  <c r="Y35" i="118" s="1"/>
  <c r="Z32" i="118"/>
  <c r="Z35" i="118" s="1"/>
  <c r="N28" i="118"/>
  <c r="N32" i="118"/>
  <c r="N35" i="118" s="1"/>
  <c r="H27" i="117"/>
  <c r="H4" i="118"/>
  <c r="H26" i="118" s="1"/>
  <c r="D27" i="117"/>
  <c r="D4" i="118"/>
  <c r="D26" i="118" s="1"/>
  <c r="X27" i="117"/>
  <c r="X4" i="118"/>
  <c r="X26" i="118" s="1"/>
  <c r="AB27" i="117"/>
  <c r="AB4" i="118"/>
  <c r="AB26" i="118" s="1"/>
  <c r="M27" i="116"/>
  <c r="M4" i="117"/>
  <c r="M25" i="117" s="1"/>
  <c r="O27" i="116"/>
  <c r="O4" i="117"/>
  <c r="O25" i="117" s="1"/>
  <c r="AB30" i="115"/>
  <c r="O47" i="89"/>
  <c r="C46" i="89"/>
  <c r="C48" i="89" s="1"/>
  <c r="X28" i="118" l="1"/>
  <c r="X32" i="118"/>
  <c r="X35" i="118" s="1"/>
  <c r="H28" i="118"/>
  <c r="H32" i="118"/>
  <c r="H35" i="118" s="1"/>
  <c r="AB28" i="118"/>
  <c r="AB32" i="118"/>
  <c r="AB35" i="118" s="1"/>
  <c r="D28" i="118"/>
  <c r="D32" i="118"/>
  <c r="D35" i="118" s="1"/>
  <c r="O27" i="117"/>
  <c r="O4" i="118"/>
  <c r="O26" i="118" s="1"/>
  <c r="M27" i="117"/>
  <c r="M4" i="118"/>
  <c r="M26" i="118" s="1"/>
  <c r="AB28" i="116"/>
  <c r="D21" i="88"/>
  <c r="O28" i="118" l="1"/>
  <c r="O32" i="118"/>
  <c r="O35" i="118" s="1"/>
  <c r="M28" i="118"/>
  <c r="AB29" i="118" s="1"/>
  <c r="M32" i="118"/>
  <c r="M35" i="118" s="1"/>
  <c r="AB28" i="117"/>
  <c r="R20" i="88"/>
  <c r="Y19" i="88"/>
  <c r="Y18" i="88"/>
  <c r="Y17" i="88"/>
  <c r="AB36" i="118" l="1"/>
  <c r="X7" i="88"/>
  <c r="O45" i="88" l="1"/>
  <c r="C44" i="88"/>
  <c r="C46" i="88" s="1"/>
  <c r="R33" i="88"/>
  <c r="R32" i="88"/>
  <c r="D31" i="88"/>
  <c r="D30" i="88"/>
  <c r="D32" i="88" l="1"/>
  <c r="D33" i="88" s="1"/>
  <c r="R34" i="88"/>
  <c r="R35" i="88" s="1"/>
  <c r="G17" i="87"/>
  <c r="G15" i="87"/>
  <c r="I15" i="87"/>
  <c r="O45" i="87" l="1"/>
  <c r="C44" i="87"/>
  <c r="C46" i="87" s="1"/>
  <c r="R33" i="87"/>
  <c r="R32" i="87"/>
  <c r="D31" i="87"/>
  <c r="D30" i="87"/>
  <c r="R34" i="87" l="1"/>
  <c r="R35" i="87" s="1"/>
  <c r="D32" i="87"/>
  <c r="D33" i="87" s="1"/>
  <c r="G21" i="86"/>
  <c r="I15" i="86" l="1"/>
  <c r="R37" i="86" l="1"/>
  <c r="R36" i="86"/>
  <c r="G17" i="86"/>
  <c r="Y14" i="86"/>
  <c r="I14" i="86"/>
  <c r="R38" i="86" l="1"/>
  <c r="R39" i="86" s="1"/>
  <c r="O49" i="86"/>
  <c r="C48" i="86"/>
  <c r="C50" i="86" s="1"/>
  <c r="D35" i="86"/>
  <c r="D34" i="86"/>
  <c r="D36" i="86" l="1"/>
  <c r="D37" i="86" s="1"/>
  <c r="G20" i="85" l="1"/>
  <c r="D20" i="85"/>
  <c r="T20" i="85"/>
  <c r="R19" i="85"/>
  <c r="Y15" i="85" l="1"/>
  <c r="D16" i="85"/>
  <c r="I16" i="85"/>
  <c r="Q46" i="85" l="1"/>
  <c r="O49" i="85" l="1"/>
  <c r="O48" i="85"/>
  <c r="C48" i="85"/>
  <c r="C50" i="85" s="1"/>
  <c r="R35" i="85"/>
  <c r="D35" i="85"/>
  <c r="R34" i="85"/>
  <c r="D34" i="85"/>
  <c r="D36" i="85" l="1"/>
  <c r="D37" i="85" s="1"/>
  <c r="R36" i="85"/>
  <c r="R37" i="85" s="1"/>
  <c r="R21" i="84"/>
  <c r="D21" i="84"/>
  <c r="X20" i="84"/>
  <c r="I20" i="84" l="1"/>
  <c r="D19" i="84"/>
  <c r="D17" i="84" l="1"/>
  <c r="O50" i="84" l="1"/>
  <c r="O49" i="84"/>
  <c r="C49" i="84"/>
  <c r="C51" i="84" s="1"/>
  <c r="R36" i="84"/>
  <c r="D36" i="84"/>
  <c r="R35" i="84"/>
  <c r="D35" i="84"/>
  <c r="D37" i="84" l="1"/>
  <c r="D38" i="84" s="1"/>
  <c r="R37" i="84"/>
  <c r="R38" i="84" s="1"/>
  <c r="D20" i="83"/>
  <c r="D16" i="83" l="1"/>
  <c r="X19" i="83"/>
  <c r="Y16" i="83"/>
  <c r="O50" i="83" l="1"/>
  <c r="O49" i="83"/>
  <c r="C49" i="83"/>
  <c r="C51" i="83" s="1"/>
  <c r="R36" i="83"/>
  <c r="D36" i="83"/>
  <c r="R35" i="83"/>
  <c r="D35" i="83"/>
  <c r="G30" i="83"/>
  <c r="R37" i="83" l="1"/>
  <c r="R38" i="83" s="1"/>
  <c r="G32" i="83"/>
  <c r="G4" i="84"/>
  <c r="G30" i="84" s="1"/>
  <c r="D37" i="83"/>
  <c r="D38" i="83" s="1"/>
  <c r="T24" i="82"/>
  <c r="D24" i="82"/>
  <c r="G32" i="84" l="1"/>
  <c r="G4" i="85"/>
  <c r="G29" i="85" s="1"/>
  <c r="G4" i="86" l="1"/>
  <c r="G29" i="86" s="1"/>
  <c r="G31" i="85"/>
  <c r="D22" i="82"/>
  <c r="I21" i="82"/>
  <c r="G31" i="86" l="1"/>
  <c r="G4" i="87"/>
  <c r="G25" i="87" s="1"/>
  <c r="O49" i="82"/>
  <c r="O50" i="82"/>
  <c r="G27" i="87" l="1"/>
  <c r="G4" i="88"/>
  <c r="G25" i="88" s="1"/>
  <c r="D19" i="82"/>
  <c r="D36" i="82"/>
  <c r="D35" i="82"/>
  <c r="R18" i="82"/>
  <c r="D37" i="82" l="1"/>
  <c r="D38" i="82" s="1"/>
  <c r="G27" i="88"/>
  <c r="G4" i="89"/>
  <c r="G27" i="89" s="1"/>
  <c r="C49" i="82"/>
  <c r="C51" i="82" s="1"/>
  <c r="R36" i="82"/>
  <c r="R35" i="82"/>
  <c r="G29" i="89" l="1"/>
  <c r="G4" i="90"/>
  <c r="G28" i="90" s="1"/>
  <c r="R37" i="82"/>
  <c r="R38" i="82" s="1"/>
  <c r="O22" i="81"/>
  <c r="R29" i="81"/>
  <c r="G30" i="90" l="1"/>
  <c r="G4" i="91"/>
  <c r="G27" i="91" s="1"/>
  <c r="R31" i="81"/>
  <c r="Q4" i="82"/>
  <c r="Q30" i="82" s="1"/>
  <c r="I19" i="81"/>
  <c r="I18" i="81"/>
  <c r="G29" i="91" l="1"/>
  <c r="G4" i="92"/>
  <c r="G29" i="92" s="1"/>
  <c r="Q32" i="82"/>
  <c r="Q4" i="83"/>
  <c r="Q30" i="83" s="1"/>
  <c r="S35" i="81"/>
  <c r="S34" i="81"/>
  <c r="G31" i="92" l="1"/>
  <c r="G4" i="93"/>
  <c r="G24" i="93" s="1"/>
  <c r="Q32" i="83"/>
  <c r="Q4" i="84"/>
  <c r="Q30" i="84" s="1"/>
  <c r="S36" i="81"/>
  <c r="S37" i="81" s="1"/>
  <c r="R22" i="80"/>
  <c r="Y22" i="80"/>
  <c r="G26" i="93" l="1"/>
  <c r="G4" i="94"/>
  <c r="G25" i="94" s="1"/>
  <c r="Q32" i="84"/>
  <c r="Q4" i="85"/>
  <c r="Q29" i="85" s="1"/>
  <c r="G20" i="80"/>
  <c r="I20" i="80"/>
  <c r="G27" i="94" l="1"/>
  <c r="G4" i="95"/>
  <c r="G26" i="95" s="1"/>
  <c r="Q31" i="85"/>
  <c r="Q4" i="86"/>
  <c r="Q29" i="86" s="1"/>
  <c r="T19" i="80"/>
  <c r="X19" i="80"/>
  <c r="I17" i="80"/>
  <c r="R34" i="80"/>
  <c r="R33" i="80"/>
  <c r="R35" i="80" l="1"/>
  <c r="R36" i="80" s="1"/>
  <c r="Q31" i="86"/>
  <c r="Q4" i="87"/>
  <c r="Q25" i="87" s="1"/>
  <c r="G34" i="95"/>
  <c r="G36" i="95" s="1"/>
  <c r="G28" i="95"/>
  <c r="N32" i="79"/>
  <c r="N31" i="79"/>
  <c r="I20" i="79"/>
  <c r="N33" i="79" l="1"/>
  <c r="N34" i="79" s="1"/>
  <c r="G41" i="95"/>
  <c r="Q27" i="87"/>
  <c r="Q4" i="88"/>
  <c r="Q25" i="88" s="1"/>
  <c r="G15" i="79"/>
  <c r="L15" i="79"/>
  <c r="Q27" i="88" l="1"/>
  <c r="Q4" i="89"/>
  <c r="Q27" i="89" s="1"/>
  <c r="Q34" i="79"/>
  <c r="Q35" i="79" s="1"/>
  <c r="Q29" i="89" l="1"/>
  <c r="Q4" i="90"/>
  <c r="Q28" i="90" s="1"/>
  <c r="G20" i="77"/>
  <c r="Q30" i="90" l="1"/>
  <c r="Q4" i="91"/>
  <c r="Q27" i="91" s="1"/>
  <c r="I18" i="77"/>
  <c r="Q29" i="91" l="1"/>
  <c r="Q4" i="92"/>
  <c r="Q29" i="92" s="1"/>
  <c r="Q31" i="92" l="1"/>
  <c r="Q4" i="93"/>
  <c r="Q24" i="93" s="1"/>
  <c r="Q26" i="93" l="1"/>
  <c r="Q4" i="94"/>
  <c r="Q25" i="94" s="1"/>
  <c r="Q27" i="94" l="1"/>
  <c r="Q4" i="95"/>
  <c r="Q26" i="95" s="1"/>
  <c r="Q32" i="77"/>
  <c r="Q33" i="77" s="1"/>
  <c r="Q28" i="95" l="1"/>
  <c r="Q34" i="95"/>
  <c r="Q36" i="95" s="1"/>
  <c r="S31" i="76"/>
  <c r="S30" i="76"/>
  <c r="Q31" i="76"/>
  <c r="Q32" i="76" s="1"/>
  <c r="Q41" i="95" l="1"/>
  <c r="X5" i="76"/>
  <c r="R17" i="75" l="1"/>
  <c r="G14" i="75" l="1"/>
  <c r="X14" i="75"/>
  <c r="X34" i="75" l="1"/>
  <c r="X33" i="75"/>
  <c r="Q33" i="75"/>
  <c r="Q34" i="75" s="1"/>
  <c r="X17" i="74" l="1"/>
  <c r="X33" i="74" l="1"/>
  <c r="X32" i="74"/>
  <c r="Q32" i="74"/>
  <c r="Q33" i="74" s="1"/>
  <c r="D14" i="74" l="1"/>
  <c r="Y14" i="74"/>
  <c r="Y18" i="73" l="1"/>
  <c r="T13" i="73" l="1"/>
  <c r="G16" i="72" l="1"/>
  <c r="E4" i="72" l="1"/>
  <c r="F4" i="72"/>
  <c r="F25" i="72" s="1"/>
  <c r="G4" i="72"/>
  <c r="G25" i="72" s="1"/>
  <c r="G4" i="73" s="1"/>
  <c r="G25" i="73" s="1"/>
  <c r="H4" i="72"/>
  <c r="H25" i="72" s="1"/>
  <c r="H4" i="73" s="1"/>
  <c r="H25" i="73" s="1"/>
  <c r="I4" i="72"/>
  <c r="I25" i="72" s="1"/>
  <c r="J4" i="72"/>
  <c r="J25" i="72" s="1"/>
  <c r="J4" i="73" s="1"/>
  <c r="J25" i="73" s="1"/>
  <c r="K4" i="72"/>
  <c r="K25" i="72" s="1"/>
  <c r="K4" i="73" s="1"/>
  <c r="K25" i="73" s="1"/>
  <c r="L4" i="72"/>
  <c r="L25" i="72" s="1"/>
  <c r="L4" i="73" s="1"/>
  <c r="L25" i="73" s="1"/>
  <c r="M4" i="72"/>
  <c r="M25" i="72" s="1"/>
  <c r="M4" i="73" s="1"/>
  <c r="M25" i="73" s="1"/>
  <c r="N4" i="72"/>
  <c r="N25" i="72" s="1"/>
  <c r="N4" i="73" s="1"/>
  <c r="N25" i="73" s="1"/>
  <c r="O4" i="72"/>
  <c r="O25" i="72" s="1"/>
  <c r="O4" i="73" s="1"/>
  <c r="O25" i="73" s="1"/>
  <c r="P4" i="72"/>
  <c r="P25" i="72" s="1"/>
  <c r="P4" i="73" s="1"/>
  <c r="P25" i="73" s="1"/>
  <c r="Q4" i="72"/>
  <c r="Q25" i="72" s="1"/>
  <c r="Q4" i="73" s="1"/>
  <c r="Q25" i="73" s="1"/>
  <c r="R4" i="72"/>
  <c r="R25" i="72" s="1"/>
  <c r="R4" i="73" s="1"/>
  <c r="R25" i="73" s="1"/>
  <c r="S4" i="72"/>
  <c r="S25" i="72" s="1"/>
  <c r="S4" i="73" s="1"/>
  <c r="S25" i="73" s="1"/>
  <c r="T4" i="72"/>
  <c r="T25" i="72" s="1"/>
  <c r="T4" i="73" s="1"/>
  <c r="T25" i="73" s="1"/>
  <c r="U4" i="72"/>
  <c r="U25" i="72" s="1"/>
  <c r="U4" i="73" s="1"/>
  <c r="U25" i="73" s="1"/>
  <c r="V4" i="72"/>
  <c r="V25" i="72" s="1"/>
  <c r="V4" i="73" s="1"/>
  <c r="V25" i="73" s="1"/>
  <c r="W4" i="72"/>
  <c r="W25" i="72" s="1"/>
  <c r="W4" i="73" s="1"/>
  <c r="W25" i="73" s="1"/>
  <c r="X4" i="72"/>
  <c r="X25" i="72" s="1"/>
  <c r="X4" i="73" s="1"/>
  <c r="X25" i="73" s="1"/>
  <c r="Y4" i="72"/>
  <c r="Y25" i="72" s="1"/>
  <c r="Z4" i="72"/>
  <c r="Z25" i="72" s="1"/>
  <c r="Z4" i="73" s="1"/>
  <c r="Z25" i="73" s="1"/>
  <c r="AA4" i="72"/>
  <c r="AA25" i="72" s="1"/>
  <c r="AA4" i="73" s="1"/>
  <c r="AA25" i="73" s="1"/>
  <c r="AB4" i="72"/>
  <c r="AB25" i="72" s="1"/>
  <c r="AB4" i="73" s="1"/>
  <c r="AB25" i="73" s="1"/>
  <c r="E25" i="72"/>
  <c r="E4" i="73" s="1"/>
  <c r="E25" i="73" s="1"/>
  <c r="AA27" i="73" l="1"/>
  <c r="AA4" i="74"/>
  <c r="AA25" i="74" s="1"/>
  <c r="Q27" i="73"/>
  <c r="Q4" i="74"/>
  <c r="Q25" i="74" s="1"/>
  <c r="U27" i="73"/>
  <c r="U4" i="74"/>
  <c r="U25" i="74" s="1"/>
  <c r="V27" i="73"/>
  <c r="V4" i="74"/>
  <c r="V25" i="74" s="1"/>
  <c r="R27" i="73"/>
  <c r="R4" i="74"/>
  <c r="R25" i="74" s="1"/>
  <c r="J27" i="73"/>
  <c r="J4" i="74"/>
  <c r="J25" i="74" s="1"/>
  <c r="F27" i="72"/>
  <c r="F4" i="73"/>
  <c r="F25" i="73" s="1"/>
  <c r="K27" i="73"/>
  <c r="K4" i="74"/>
  <c r="K25" i="74" s="1"/>
  <c r="Z27" i="73"/>
  <c r="Z4" i="74"/>
  <c r="Z25" i="74" s="1"/>
  <c r="M27" i="73"/>
  <c r="M4" i="74"/>
  <c r="M25" i="74" s="1"/>
  <c r="Y27" i="72"/>
  <c r="Y4" i="73"/>
  <c r="Y25" i="73" s="1"/>
  <c r="AB27" i="73"/>
  <c r="AB4" i="74"/>
  <c r="AB25" i="74" s="1"/>
  <c r="X27" i="73"/>
  <c r="X4" i="74"/>
  <c r="X25" i="74" s="1"/>
  <c r="T27" i="73"/>
  <c r="T4" i="74"/>
  <c r="T25" i="74" s="1"/>
  <c r="P27" i="73"/>
  <c r="P4" i="74"/>
  <c r="P25" i="74" s="1"/>
  <c r="L27" i="73"/>
  <c r="L4" i="74"/>
  <c r="L25" i="74" s="1"/>
  <c r="H27" i="73"/>
  <c r="H4" i="74"/>
  <c r="H25" i="74" s="1"/>
  <c r="E27" i="73"/>
  <c r="E4" i="74"/>
  <c r="E25" i="74" s="1"/>
  <c r="I27" i="72"/>
  <c r="I4" i="73"/>
  <c r="I25" i="73" s="1"/>
  <c r="N27" i="73"/>
  <c r="N4" i="74"/>
  <c r="N25" i="74" s="1"/>
  <c r="W27" i="73"/>
  <c r="W4" i="74"/>
  <c r="W25" i="74" s="1"/>
  <c r="S27" i="73"/>
  <c r="S4" i="74"/>
  <c r="S25" i="74" s="1"/>
  <c r="O27" i="73"/>
  <c r="O4" i="74"/>
  <c r="O25" i="74" s="1"/>
  <c r="G27" i="73"/>
  <c r="G4" i="74"/>
  <c r="G25" i="74" s="1"/>
  <c r="L27" i="72"/>
  <c r="T27" i="72"/>
  <c r="AB27" i="72"/>
  <c r="M27" i="72"/>
  <c r="Z27" i="72"/>
  <c r="Q27" i="72"/>
  <c r="H27" i="72"/>
  <c r="P27" i="72"/>
  <c r="X27" i="72"/>
  <c r="R27" i="72"/>
  <c r="V27" i="72"/>
  <c r="J27" i="72"/>
  <c r="G27" i="72"/>
  <c r="K27" i="72"/>
  <c r="O27" i="72"/>
  <c r="S27" i="72"/>
  <c r="W27" i="72"/>
  <c r="AA27" i="72"/>
  <c r="N27" i="72"/>
  <c r="E27" i="72"/>
  <c r="U27" i="72"/>
  <c r="G27" i="74" l="1"/>
  <c r="G4" i="75"/>
  <c r="G26" i="75" s="1"/>
  <c r="N27" i="74"/>
  <c r="N4" i="75"/>
  <c r="N26" i="75" s="1"/>
  <c r="E27" i="74"/>
  <c r="E4" i="75"/>
  <c r="E26" i="75" s="1"/>
  <c r="L27" i="74"/>
  <c r="L4" i="75"/>
  <c r="L26" i="75" s="1"/>
  <c r="AB27" i="74"/>
  <c r="AB4" i="75"/>
  <c r="AB26" i="75" s="1"/>
  <c r="M27" i="74"/>
  <c r="M4" i="75"/>
  <c r="M26" i="75" s="1"/>
  <c r="K27" i="74"/>
  <c r="K4" i="75"/>
  <c r="K26" i="75" s="1"/>
  <c r="J27" i="74"/>
  <c r="J4" i="75"/>
  <c r="J26" i="75" s="1"/>
  <c r="V27" i="74"/>
  <c r="V4" i="75"/>
  <c r="V26" i="75" s="1"/>
  <c r="Q27" i="74"/>
  <c r="Q4" i="75"/>
  <c r="Q26" i="75" s="1"/>
  <c r="S27" i="74"/>
  <c r="S4" i="75"/>
  <c r="S26" i="75" s="1"/>
  <c r="T27" i="74"/>
  <c r="T4" i="75"/>
  <c r="T26" i="75" s="1"/>
  <c r="O27" i="74"/>
  <c r="O4" i="75"/>
  <c r="O26" i="75" s="1"/>
  <c r="I27" i="73"/>
  <c r="I4" i="74"/>
  <c r="I25" i="74" s="1"/>
  <c r="H27" i="74"/>
  <c r="H4" i="75"/>
  <c r="H26" i="75" s="1"/>
  <c r="X27" i="74"/>
  <c r="X4" i="75"/>
  <c r="X26" i="75" s="1"/>
  <c r="Y27" i="73"/>
  <c r="Y4" i="74"/>
  <c r="Y25" i="74" s="1"/>
  <c r="F27" i="73"/>
  <c r="F4" i="74"/>
  <c r="F25" i="74" s="1"/>
  <c r="R27" i="74"/>
  <c r="R4" i="75"/>
  <c r="R26" i="75" s="1"/>
  <c r="U27" i="74"/>
  <c r="U4" i="75"/>
  <c r="U26" i="75" s="1"/>
  <c r="AA27" i="74"/>
  <c r="AA4" i="75"/>
  <c r="AA26" i="75" s="1"/>
  <c r="W27" i="74"/>
  <c r="W4" i="75"/>
  <c r="W26" i="75" s="1"/>
  <c r="P27" i="74"/>
  <c r="P4" i="75"/>
  <c r="P26" i="75" s="1"/>
  <c r="Z27" i="74"/>
  <c r="Z4" i="75"/>
  <c r="Z26" i="75" s="1"/>
  <c r="D29" i="70"/>
  <c r="W28" i="75" l="1"/>
  <c r="W4" i="76"/>
  <c r="W23" i="76" s="1"/>
  <c r="Q28" i="75"/>
  <c r="Q4" i="76"/>
  <c r="Q23" i="76" s="1"/>
  <c r="M28" i="75"/>
  <c r="M4" i="76"/>
  <c r="M23" i="76" s="1"/>
  <c r="N28" i="75"/>
  <c r="N4" i="76"/>
  <c r="N23" i="76" s="1"/>
  <c r="Z28" i="75"/>
  <c r="Z4" i="76"/>
  <c r="Z23" i="76" s="1"/>
  <c r="U28" i="75"/>
  <c r="U4" i="76"/>
  <c r="U23" i="76" s="1"/>
  <c r="X28" i="75"/>
  <c r="X4" i="76"/>
  <c r="X23" i="76" s="1"/>
  <c r="T28" i="75"/>
  <c r="T4" i="76"/>
  <c r="T23" i="76" s="1"/>
  <c r="J28" i="75"/>
  <c r="J4" i="76"/>
  <c r="J23" i="76" s="1"/>
  <c r="L28" i="75"/>
  <c r="L4" i="76"/>
  <c r="L23" i="76" s="1"/>
  <c r="P28" i="75"/>
  <c r="P4" i="76"/>
  <c r="P23" i="76" s="1"/>
  <c r="R28" i="75"/>
  <c r="R4" i="76"/>
  <c r="R23" i="76" s="1"/>
  <c r="H28" i="75"/>
  <c r="H4" i="76"/>
  <c r="H23" i="76" s="1"/>
  <c r="S28" i="75"/>
  <c r="S4" i="76"/>
  <c r="S23" i="76" s="1"/>
  <c r="K28" i="75"/>
  <c r="K4" i="76"/>
  <c r="K23" i="76" s="1"/>
  <c r="G28" i="75"/>
  <c r="G4" i="76"/>
  <c r="G23" i="76" s="1"/>
  <c r="AA28" i="75"/>
  <c r="AA4" i="76"/>
  <c r="AA23" i="76" s="1"/>
  <c r="O28" i="75"/>
  <c r="O4" i="76"/>
  <c r="O23" i="76" s="1"/>
  <c r="V28" i="75"/>
  <c r="V4" i="76"/>
  <c r="V23" i="76" s="1"/>
  <c r="AB28" i="75"/>
  <c r="AB4" i="76"/>
  <c r="AB23" i="76" s="1"/>
  <c r="E28" i="75"/>
  <c r="E4" i="76"/>
  <c r="E23" i="76" s="1"/>
  <c r="Y27" i="74"/>
  <c r="Y4" i="75"/>
  <c r="Y26" i="75" s="1"/>
  <c r="D4" i="72"/>
  <c r="D25" i="72" s="1"/>
  <c r="F27" i="74"/>
  <c r="F4" i="75"/>
  <c r="F26" i="75" s="1"/>
  <c r="I4" i="75"/>
  <c r="I26" i="75" s="1"/>
  <c r="I27" i="74"/>
  <c r="Y17" i="70"/>
  <c r="G14" i="70"/>
  <c r="Y14" i="70"/>
  <c r="Y13" i="70"/>
  <c r="G25" i="76" l="1"/>
  <c r="G4" i="77"/>
  <c r="G24" i="77" s="1"/>
  <c r="R25" i="76"/>
  <c r="R4" i="77"/>
  <c r="R24" i="77" s="1"/>
  <c r="L25" i="76"/>
  <c r="L4" i="77"/>
  <c r="L24" i="77" s="1"/>
  <c r="T25" i="76"/>
  <c r="T4" i="77"/>
  <c r="T24" i="77" s="1"/>
  <c r="U25" i="76"/>
  <c r="U4" i="77"/>
  <c r="U24" i="77" s="1"/>
  <c r="N25" i="76"/>
  <c r="N4" i="77"/>
  <c r="N24" i="77" s="1"/>
  <c r="Q25" i="76"/>
  <c r="Q4" i="77"/>
  <c r="Q24" i="77" s="1"/>
  <c r="I28" i="75"/>
  <c r="I4" i="76"/>
  <c r="I23" i="76" s="1"/>
  <c r="O25" i="76"/>
  <c r="O4" i="77"/>
  <c r="O24" i="77" s="1"/>
  <c r="S25" i="76"/>
  <c r="S4" i="77"/>
  <c r="S24" i="77" s="1"/>
  <c r="F28" i="75"/>
  <c r="F4" i="76"/>
  <c r="F23" i="76" s="1"/>
  <c r="Y28" i="75"/>
  <c r="Y4" i="76"/>
  <c r="Y23" i="76" s="1"/>
  <c r="V25" i="76"/>
  <c r="V4" i="77"/>
  <c r="V24" i="77" s="1"/>
  <c r="K25" i="76"/>
  <c r="K4" i="77"/>
  <c r="K24" i="77" s="1"/>
  <c r="H25" i="76"/>
  <c r="H4" i="77"/>
  <c r="H24" i="77" s="1"/>
  <c r="J25" i="76"/>
  <c r="J4" i="77"/>
  <c r="J24" i="77" s="1"/>
  <c r="X25" i="76"/>
  <c r="X4" i="77"/>
  <c r="X24" i="77" s="1"/>
  <c r="Z25" i="76"/>
  <c r="Z4" i="77"/>
  <c r="Z24" i="77" s="1"/>
  <c r="M25" i="76"/>
  <c r="M4" i="77"/>
  <c r="M24" i="77" s="1"/>
  <c r="W25" i="76"/>
  <c r="W4" i="77"/>
  <c r="W24" i="77" s="1"/>
  <c r="AB25" i="76"/>
  <c r="AB4" i="77"/>
  <c r="AB24" i="77" s="1"/>
  <c r="E25" i="76"/>
  <c r="E4" i="77"/>
  <c r="E24" i="77" s="1"/>
  <c r="AA25" i="76"/>
  <c r="AA4" i="77"/>
  <c r="AA24" i="77" s="1"/>
  <c r="P25" i="76"/>
  <c r="P4" i="77"/>
  <c r="P24" i="77" s="1"/>
  <c r="D27" i="72"/>
  <c r="AB28" i="72" s="1"/>
  <c r="D4" i="73"/>
  <c r="D25" i="73" s="1"/>
  <c r="P26" i="77" l="1"/>
  <c r="P4" i="79"/>
  <c r="P26" i="79" s="1"/>
  <c r="E26" i="77"/>
  <c r="E4" i="79"/>
  <c r="E26" i="79" s="1"/>
  <c r="W26" i="77"/>
  <c r="W4" i="79"/>
  <c r="W26" i="79" s="1"/>
  <c r="Z26" i="77"/>
  <c r="Z4" i="79"/>
  <c r="Z26" i="79" s="1"/>
  <c r="J26" i="77"/>
  <c r="J4" i="79"/>
  <c r="J26" i="79" s="1"/>
  <c r="K26" i="77"/>
  <c r="K4" i="79"/>
  <c r="K26" i="79" s="1"/>
  <c r="S26" i="77"/>
  <c r="S4" i="79"/>
  <c r="S26" i="79" s="1"/>
  <c r="N26" i="77"/>
  <c r="N4" i="79"/>
  <c r="N26" i="79" s="1"/>
  <c r="T26" i="77"/>
  <c r="T4" i="79"/>
  <c r="T26" i="79" s="1"/>
  <c r="R26" i="77"/>
  <c r="R4" i="79"/>
  <c r="R26" i="79" s="1"/>
  <c r="AA26" i="77"/>
  <c r="AA4" i="79"/>
  <c r="AA26" i="79" s="1"/>
  <c r="AB26" i="77"/>
  <c r="AB4" i="79"/>
  <c r="AB26" i="79" s="1"/>
  <c r="M26" i="77"/>
  <c r="M4" i="79"/>
  <c r="M26" i="79" s="1"/>
  <c r="X26" i="77"/>
  <c r="X4" i="79"/>
  <c r="X26" i="79" s="1"/>
  <c r="V26" i="77"/>
  <c r="V4" i="79"/>
  <c r="V26" i="79" s="1"/>
  <c r="O26" i="77"/>
  <c r="O4" i="79"/>
  <c r="O26" i="79" s="1"/>
  <c r="Q26" i="77"/>
  <c r="Q4" i="79"/>
  <c r="Q26" i="79" s="1"/>
  <c r="U26" i="77"/>
  <c r="U4" i="79"/>
  <c r="U26" i="79" s="1"/>
  <c r="L26" i="77"/>
  <c r="L4" i="79"/>
  <c r="L26" i="79" s="1"/>
  <c r="G26" i="77"/>
  <c r="G4" i="79"/>
  <c r="G26" i="79" s="1"/>
  <c r="H26" i="77"/>
  <c r="H4" i="79"/>
  <c r="H26" i="79" s="1"/>
  <c r="I25" i="76"/>
  <c r="I4" i="77"/>
  <c r="I24" i="77" s="1"/>
  <c r="Y25" i="76"/>
  <c r="Y4" i="77"/>
  <c r="Y24" i="77" s="1"/>
  <c r="F25" i="76"/>
  <c r="F4" i="77"/>
  <c r="F24" i="77" s="1"/>
  <c r="D27" i="73"/>
  <c r="AB28" i="73" s="1"/>
  <c r="D4" i="74"/>
  <c r="D25" i="74" s="1"/>
  <c r="M32" i="69"/>
  <c r="I26" i="77" l="1"/>
  <c r="I4" i="79"/>
  <c r="I26" i="79" s="1"/>
  <c r="X28" i="79"/>
  <c r="X4" i="80"/>
  <c r="X28" i="80" s="1"/>
  <c r="Z28" i="79"/>
  <c r="Z4" i="80"/>
  <c r="Z28" i="80" s="1"/>
  <c r="G28" i="79"/>
  <c r="G4" i="80"/>
  <c r="G28" i="80" s="1"/>
  <c r="O28" i="79"/>
  <c r="O4" i="80"/>
  <c r="O28" i="80" s="1"/>
  <c r="R28" i="79"/>
  <c r="R4" i="80"/>
  <c r="R28" i="80" s="1"/>
  <c r="K28" i="79"/>
  <c r="K4" i="80"/>
  <c r="K28" i="80" s="1"/>
  <c r="H28" i="79"/>
  <c r="H4" i="80"/>
  <c r="H28" i="80" s="1"/>
  <c r="Q28" i="79"/>
  <c r="Q4" i="80"/>
  <c r="Q28" i="80" s="1"/>
  <c r="V28" i="79"/>
  <c r="V4" i="80"/>
  <c r="V28" i="80" s="1"/>
  <c r="AA28" i="79"/>
  <c r="AA4" i="80"/>
  <c r="AA28" i="80" s="1"/>
  <c r="T4" i="80"/>
  <c r="T28" i="80" s="1"/>
  <c r="T28" i="79"/>
  <c r="S28" i="79"/>
  <c r="S4" i="80"/>
  <c r="S28" i="80" s="1"/>
  <c r="J28" i="79"/>
  <c r="J4" i="80"/>
  <c r="J28" i="80" s="1"/>
  <c r="W28" i="79"/>
  <c r="W4" i="80"/>
  <c r="W28" i="80" s="1"/>
  <c r="P28" i="79"/>
  <c r="P4" i="80"/>
  <c r="P28" i="80" s="1"/>
  <c r="F26" i="77"/>
  <c r="F4" i="79"/>
  <c r="F26" i="79" s="1"/>
  <c r="U28" i="79"/>
  <c r="U4" i="80"/>
  <c r="U28" i="80" s="1"/>
  <c r="AB28" i="79"/>
  <c r="AB4" i="80"/>
  <c r="AB28" i="80" s="1"/>
  <c r="N4" i="80"/>
  <c r="N28" i="80" s="1"/>
  <c r="N28" i="79"/>
  <c r="E28" i="79"/>
  <c r="E4" i="80"/>
  <c r="E28" i="80" s="1"/>
  <c r="Y26" i="77"/>
  <c r="Y4" i="79"/>
  <c r="Y26" i="79" s="1"/>
  <c r="L28" i="79"/>
  <c r="L4" i="80"/>
  <c r="L28" i="80" s="1"/>
  <c r="M28" i="79"/>
  <c r="M4" i="80"/>
  <c r="M28" i="80" s="1"/>
  <c r="D27" i="74"/>
  <c r="AB28" i="74" s="1"/>
  <c r="D4" i="75"/>
  <c r="D26" i="75" s="1"/>
  <c r="G14" i="69"/>
  <c r="U30" i="80" l="1"/>
  <c r="V4" i="81"/>
  <c r="V29" i="81" s="1"/>
  <c r="H30" i="80"/>
  <c r="H4" i="81"/>
  <c r="H29" i="81" s="1"/>
  <c r="X30" i="80"/>
  <c r="Y4" i="81"/>
  <c r="Y29" i="81" s="1"/>
  <c r="N30" i="80"/>
  <c r="N4" i="81"/>
  <c r="N29" i="81" s="1"/>
  <c r="U4" i="81"/>
  <c r="U29" i="81" s="1"/>
  <c r="T30" i="80"/>
  <c r="Y28" i="79"/>
  <c r="Y4" i="80"/>
  <c r="Y28" i="80" s="1"/>
  <c r="J30" i="80"/>
  <c r="J4" i="81"/>
  <c r="J29" i="81" s="1"/>
  <c r="R30" i="80"/>
  <c r="S4" i="81"/>
  <c r="S29" i="81" s="1"/>
  <c r="E30" i="80"/>
  <c r="E4" i="81"/>
  <c r="E29" i="81" s="1"/>
  <c r="F28" i="79"/>
  <c r="F4" i="80"/>
  <c r="F28" i="80" s="1"/>
  <c r="W30" i="80"/>
  <c r="X4" i="81"/>
  <c r="X29" i="81" s="1"/>
  <c r="AA30" i="80"/>
  <c r="AB4" i="81"/>
  <c r="AB29" i="81" s="1"/>
  <c r="Q30" i="80"/>
  <c r="Q4" i="81"/>
  <c r="Q29" i="81" s="1"/>
  <c r="K30" i="80"/>
  <c r="K4" i="81"/>
  <c r="K29" i="81" s="1"/>
  <c r="O30" i="80"/>
  <c r="O4" i="81"/>
  <c r="O29" i="81" s="1"/>
  <c r="Z30" i="80"/>
  <c r="AA4" i="81"/>
  <c r="AA29" i="81" s="1"/>
  <c r="I28" i="79"/>
  <c r="I4" i="80"/>
  <c r="I28" i="80" s="1"/>
  <c r="M30" i="80"/>
  <c r="M4" i="81"/>
  <c r="M29" i="81" s="1"/>
  <c r="M31" i="81" s="1"/>
  <c r="P30" i="80"/>
  <c r="P4" i="81"/>
  <c r="P29" i="81" s="1"/>
  <c r="V30" i="80"/>
  <c r="W4" i="81"/>
  <c r="W29" i="81" s="1"/>
  <c r="G30" i="80"/>
  <c r="G4" i="81"/>
  <c r="G29" i="81" s="1"/>
  <c r="L30" i="80"/>
  <c r="L4" i="81"/>
  <c r="L29" i="81" s="1"/>
  <c r="AB30" i="80"/>
  <c r="AC4" i="81"/>
  <c r="AC29" i="81" s="1"/>
  <c r="S30" i="80"/>
  <c r="T4" i="81"/>
  <c r="T29" i="81" s="1"/>
  <c r="D28" i="75"/>
  <c r="AB29" i="75" s="1"/>
  <c r="D4" i="76"/>
  <c r="D23" i="76" s="1"/>
  <c r="G22" i="68"/>
  <c r="Y22" i="68"/>
  <c r="W31" i="81" l="1"/>
  <c r="V4" i="82"/>
  <c r="V30" i="82" s="1"/>
  <c r="AA31" i="81"/>
  <c r="Z4" i="82"/>
  <c r="Z30" i="82" s="1"/>
  <c r="AB31" i="81"/>
  <c r="AA4" i="82"/>
  <c r="AA30" i="82" s="1"/>
  <c r="Y30" i="80"/>
  <c r="Z4" i="81"/>
  <c r="Z29" i="81" s="1"/>
  <c r="H31" i="81"/>
  <c r="H4" i="82"/>
  <c r="H30" i="82" s="1"/>
  <c r="G31" i="81"/>
  <c r="G4" i="82"/>
  <c r="G30" i="82" s="1"/>
  <c r="G32" i="82" s="1"/>
  <c r="P31" i="81"/>
  <c r="O4" i="82"/>
  <c r="O30" i="82" s="1"/>
  <c r="N4" i="82"/>
  <c r="N30" i="82" s="1"/>
  <c r="O31" i="81"/>
  <c r="E31" i="81"/>
  <c r="E4" i="82"/>
  <c r="E30" i="82" s="1"/>
  <c r="Y31" i="81"/>
  <c r="X4" i="82"/>
  <c r="X30" i="82" s="1"/>
  <c r="V31" i="81"/>
  <c r="U4" i="82"/>
  <c r="U30" i="82" s="1"/>
  <c r="T31" i="81"/>
  <c r="S4" i="82"/>
  <c r="S30" i="82" s="1"/>
  <c r="L31" i="81"/>
  <c r="L4" i="82"/>
  <c r="L30" i="82" s="1"/>
  <c r="K31" i="81"/>
  <c r="K4" i="82"/>
  <c r="K30" i="82" s="1"/>
  <c r="F30" i="80"/>
  <c r="F4" i="81"/>
  <c r="F29" i="81" s="1"/>
  <c r="S31" i="81"/>
  <c r="R4" i="82"/>
  <c r="R30" i="82" s="1"/>
  <c r="N31" i="81"/>
  <c r="M4" i="82"/>
  <c r="M30" i="82" s="1"/>
  <c r="AC31" i="81"/>
  <c r="AB4" i="82"/>
  <c r="AB30" i="82" s="1"/>
  <c r="I30" i="80"/>
  <c r="I4" i="81"/>
  <c r="I29" i="81" s="1"/>
  <c r="P4" i="82"/>
  <c r="P30" i="82" s="1"/>
  <c r="Q31" i="81"/>
  <c r="W4" i="82"/>
  <c r="W30" i="82" s="1"/>
  <c r="X31" i="81"/>
  <c r="J31" i="81"/>
  <c r="J4" i="82"/>
  <c r="J30" i="82" s="1"/>
  <c r="U31" i="81"/>
  <c r="T4" i="82"/>
  <c r="T30" i="82" s="1"/>
  <c r="D25" i="76"/>
  <c r="AB26" i="76" s="1"/>
  <c r="D4" i="77"/>
  <c r="D24" i="77" s="1"/>
  <c r="G20" i="68"/>
  <c r="Y20" i="68"/>
  <c r="J32" i="82" l="1"/>
  <c r="J4" i="83"/>
  <c r="J30" i="83" s="1"/>
  <c r="AB32" i="82"/>
  <c r="AB4" i="83"/>
  <c r="AB30" i="83" s="1"/>
  <c r="R32" i="82"/>
  <c r="R4" i="83"/>
  <c r="R30" i="83" s="1"/>
  <c r="K32" i="82"/>
  <c r="K4" i="83"/>
  <c r="K30" i="83" s="1"/>
  <c r="S32" i="82"/>
  <c r="S4" i="83"/>
  <c r="S30" i="83" s="1"/>
  <c r="X32" i="82"/>
  <c r="X4" i="83"/>
  <c r="X30" i="83" s="1"/>
  <c r="Z31" i="81"/>
  <c r="Y4" i="82"/>
  <c r="Y30" i="82" s="1"/>
  <c r="Z32" i="82"/>
  <c r="Z4" i="83"/>
  <c r="Z30" i="83" s="1"/>
  <c r="P4" i="83"/>
  <c r="P30" i="83" s="1"/>
  <c r="P32" i="82"/>
  <c r="N32" i="82"/>
  <c r="N4" i="83"/>
  <c r="N30" i="83" s="1"/>
  <c r="T4" i="83"/>
  <c r="T30" i="83" s="1"/>
  <c r="T32" i="82"/>
  <c r="I4" i="82"/>
  <c r="I30" i="82" s="1"/>
  <c r="I31" i="81"/>
  <c r="M32" i="82"/>
  <c r="M4" i="83"/>
  <c r="M30" i="83" s="1"/>
  <c r="F31" i="81"/>
  <c r="F4" i="82"/>
  <c r="F30" i="82" s="1"/>
  <c r="L32" i="82"/>
  <c r="L4" i="83"/>
  <c r="L30" i="83" s="1"/>
  <c r="U32" i="82"/>
  <c r="U4" i="83"/>
  <c r="U30" i="83" s="1"/>
  <c r="E32" i="82"/>
  <c r="E4" i="83"/>
  <c r="E30" i="83" s="1"/>
  <c r="O32" i="82"/>
  <c r="O4" i="83"/>
  <c r="O30" i="83" s="1"/>
  <c r="H32" i="82"/>
  <c r="H4" i="83"/>
  <c r="H30" i="83" s="1"/>
  <c r="AA32" i="82"/>
  <c r="AA4" i="83"/>
  <c r="AA30" i="83" s="1"/>
  <c r="V32" i="82"/>
  <c r="V4" i="83"/>
  <c r="V30" i="83" s="1"/>
  <c r="D26" i="77"/>
  <c r="AB27" i="77" s="1"/>
  <c r="D4" i="79"/>
  <c r="D26" i="79" s="1"/>
  <c r="W32" i="82"/>
  <c r="W4" i="83"/>
  <c r="W30" i="83" s="1"/>
  <c r="R22" i="67"/>
  <c r="I22" i="67"/>
  <c r="I32" i="82" l="1"/>
  <c r="I4" i="83"/>
  <c r="I30" i="83" s="1"/>
  <c r="Z32" i="83"/>
  <c r="Z4" i="84"/>
  <c r="Z30" i="84" s="1"/>
  <c r="K32" i="83"/>
  <c r="K4" i="84"/>
  <c r="K30" i="84" s="1"/>
  <c r="W32" i="83"/>
  <c r="W4" i="84"/>
  <c r="W30" i="84" s="1"/>
  <c r="H32" i="83"/>
  <c r="H4" i="84"/>
  <c r="H30" i="84" s="1"/>
  <c r="L32" i="83"/>
  <c r="L4" i="84"/>
  <c r="L30" i="84" s="1"/>
  <c r="T32" i="83"/>
  <c r="T4" i="84"/>
  <c r="T30" i="84" s="1"/>
  <c r="Y32" i="82"/>
  <c r="Y4" i="83"/>
  <c r="Y30" i="83" s="1"/>
  <c r="S32" i="83"/>
  <c r="S4" i="84"/>
  <c r="S30" i="84" s="1"/>
  <c r="R32" i="83"/>
  <c r="R4" i="84"/>
  <c r="R30" i="84" s="1"/>
  <c r="J32" i="83"/>
  <c r="J4" i="84"/>
  <c r="J30" i="84" s="1"/>
  <c r="X32" i="83"/>
  <c r="X4" i="84"/>
  <c r="X30" i="84" s="1"/>
  <c r="AB32" i="83"/>
  <c r="AB4" i="84"/>
  <c r="AB30" i="84" s="1"/>
  <c r="V32" i="83"/>
  <c r="V4" i="84"/>
  <c r="V30" i="84" s="1"/>
  <c r="E32" i="83"/>
  <c r="E4" i="84"/>
  <c r="E30" i="84" s="1"/>
  <c r="M32" i="83"/>
  <c r="M4" i="84"/>
  <c r="M30" i="84" s="1"/>
  <c r="D28" i="79"/>
  <c r="AB29" i="79" s="1"/>
  <c r="D4" i="80"/>
  <c r="D28" i="80" s="1"/>
  <c r="AA32" i="83"/>
  <c r="AA4" i="84"/>
  <c r="AA30" i="84" s="1"/>
  <c r="O32" i="83"/>
  <c r="O4" i="84"/>
  <c r="O30" i="84" s="1"/>
  <c r="U32" i="83"/>
  <c r="U4" i="84"/>
  <c r="U30" i="84" s="1"/>
  <c r="F4" i="83"/>
  <c r="F30" i="83" s="1"/>
  <c r="F32" i="82"/>
  <c r="N32" i="83"/>
  <c r="N4" i="84"/>
  <c r="N30" i="84" s="1"/>
  <c r="P4" i="84"/>
  <c r="P30" i="84" s="1"/>
  <c r="P32" i="83"/>
  <c r="U32" i="84" l="1"/>
  <c r="U4" i="85"/>
  <c r="U29" i="85" s="1"/>
  <c r="M32" i="84"/>
  <c r="M4" i="85"/>
  <c r="M29" i="85" s="1"/>
  <c r="V32" i="84"/>
  <c r="V4" i="85"/>
  <c r="V29" i="85" s="1"/>
  <c r="R32" i="84"/>
  <c r="R4" i="85"/>
  <c r="R29" i="85" s="1"/>
  <c r="Y4" i="84"/>
  <c r="Y30" i="84" s="1"/>
  <c r="Y32" i="83"/>
  <c r="L32" i="84"/>
  <c r="L4" i="85"/>
  <c r="L29" i="85" s="1"/>
  <c r="W32" i="84"/>
  <c r="W4" i="85"/>
  <c r="W29" i="85" s="1"/>
  <c r="Z32" i="84"/>
  <c r="Z4" i="85"/>
  <c r="Z29" i="85" s="1"/>
  <c r="N32" i="84"/>
  <c r="N4" i="85"/>
  <c r="N29" i="85" s="1"/>
  <c r="AA32" i="84"/>
  <c r="AA4" i="85"/>
  <c r="AA29" i="85" s="1"/>
  <c r="X32" i="84"/>
  <c r="X4" i="85"/>
  <c r="X29" i="85" s="1"/>
  <c r="O32" i="84"/>
  <c r="O4" i="85"/>
  <c r="O29" i="85" s="1"/>
  <c r="D30" i="80"/>
  <c r="AB31" i="80" s="1"/>
  <c r="D4" i="81"/>
  <c r="D29" i="81" s="1"/>
  <c r="E32" i="84"/>
  <c r="E4" i="85"/>
  <c r="E29" i="85" s="1"/>
  <c r="AB32" i="84"/>
  <c r="AB4" i="85"/>
  <c r="AB29" i="85" s="1"/>
  <c r="J32" i="84"/>
  <c r="J4" i="85"/>
  <c r="J29" i="85" s="1"/>
  <c r="S32" i="84"/>
  <c r="S4" i="85"/>
  <c r="S29" i="85" s="1"/>
  <c r="T32" i="84"/>
  <c r="T4" i="85"/>
  <c r="T29" i="85" s="1"/>
  <c r="H32" i="84"/>
  <c r="H4" i="85"/>
  <c r="H29" i="85" s="1"/>
  <c r="K32" i="84"/>
  <c r="K4" i="85"/>
  <c r="K29" i="85" s="1"/>
  <c r="I32" i="83"/>
  <c r="I4" i="84"/>
  <c r="I30" i="84" s="1"/>
  <c r="P32" i="84"/>
  <c r="P4" i="85"/>
  <c r="P29" i="85" s="1"/>
  <c r="F32" i="83"/>
  <c r="F4" i="84"/>
  <c r="F30" i="84" s="1"/>
  <c r="K31" i="85" l="1"/>
  <c r="K4" i="86"/>
  <c r="K29" i="86" s="1"/>
  <c r="O31" i="85"/>
  <c r="O4" i="86"/>
  <c r="O29" i="86" s="1"/>
  <c r="Z31" i="85"/>
  <c r="Z4" i="86"/>
  <c r="Z29" i="86" s="1"/>
  <c r="M31" i="85"/>
  <c r="M4" i="86"/>
  <c r="M29" i="86" s="1"/>
  <c r="P31" i="85"/>
  <c r="P4" i="86"/>
  <c r="P29" i="86" s="1"/>
  <c r="T31" i="85"/>
  <c r="T4" i="86"/>
  <c r="T29" i="86" s="1"/>
  <c r="E31" i="85"/>
  <c r="E4" i="86"/>
  <c r="E29" i="86" s="1"/>
  <c r="L31" i="85"/>
  <c r="L4" i="86"/>
  <c r="L29" i="86" s="1"/>
  <c r="I32" i="84"/>
  <c r="I4" i="85"/>
  <c r="I29" i="85" s="1"/>
  <c r="S31" i="85"/>
  <c r="S4" i="86"/>
  <c r="S29" i="86" s="1"/>
  <c r="AB31" i="85"/>
  <c r="AB4" i="86"/>
  <c r="AB29" i="86" s="1"/>
  <c r="D31" i="81"/>
  <c r="AC32" i="81" s="1"/>
  <c r="D4" i="82"/>
  <c r="D30" i="82" s="1"/>
  <c r="X31" i="85"/>
  <c r="X4" i="86"/>
  <c r="X29" i="86" s="1"/>
  <c r="N31" i="85"/>
  <c r="N4" i="86"/>
  <c r="N29" i="86" s="1"/>
  <c r="W31" i="85"/>
  <c r="W4" i="86"/>
  <c r="W29" i="86" s="1"/>
  <c r="V31" i="85"/>
  <c r="V4" i="86"/>
  <c r="V29" i="86" s="1"/>
  <c r="U31" i="85"/>
  <c r="U4" i="86"/>
  <c r="U29" i="86" s="1"/>
  <c r="J31" i="85"/>
  <c r="J4" i="86"/>
  <c r="J29" i="86" s="1"/>
  <c r="AA31" i="85"/>
  <c r="AA4" i="86"/>
  <c r="AA29" i="86" s="1"/>
  <c r="R4" i="86"/>
  <c r="R29" i="86" s="1"/>
  <c r="R31" i="85"/>
  <c r="F32" i="84"/>
  <c r="F4" i="85"/>
  <c r="F29" i="85" s="1"/>
  <c r="H31" i="85"/>
  <c r="H4" i="86"/>
  <c r="H29" i="86" s="1"/>
  <c r="Y32" i="84"/>
  <c r="Y4" i="85"/>
  <c r="Y29" i="85" s="1"/>
  <c r="H31" i="86" l="1"/>
  <c r="H4" i="87"/>
  <c r="H25" i="87" s="1"/>
  <c r="M31" i="86"/>
  <c r="M4" i="87"/>
  <c r="M25" i="87" s="1"/>
  <c r="R31" i="86"/>
  <c r="R4" i="87"/>
  <c r="R25" i="87" s="1"/>
  <c r="J31" i="86"/>
  <c r="J4" i="87"/>
  <c r="J25" i="87" s="1"/>
  <c r="N31" i="86"/>
  <c r="N4" i="87"/>
  <c r="N25" i="87" s="1"/>
  <c r="L31" i="86"/>
  <c r="L4" i="87"/>
  <c r="L25" i="87" s="1"/>
  <c r="O31" i="86"/>
  <c r="O4" i="87"/>
  <c r="O25" i="87" s="1"/>
  <c r="AA31" i="86"/>
  <c r="AA4" i="87"/>
  <c r="AA25" i="87" s="1"/>
  <c r="U31" i="86"/>
  <c r="U4" i="87"/>
  <c r="U25" i="87" s="1"/>
  <c r="W31" i="86"/>
  <c r="W4" i="87"/>
  <c r="W25" i="87" s="1"/>
  <c r="X31" i="86"/>
  <c r="X4" i="87"/>
  <c r="X25" i="87" s="1"/>
  <c r="E31" i="86"/>
  <c r="E4" i="87"/>
  <c r="E25" i="87" s="1"/>
  <c r="P31" i="86"/>
  <c r="P4" i="87"/>
  <c r="P25" i="87" s="1"/>
  <c r="Z31" i="86"/>
  <c r="Z4" i="87"/>
  <c r="Z25" i="87" s="1"/>
  <c r="K31" i="86"/>
  <c r="K4" i="87"/>
  <c r="K25" i="87" s="1"/>
  <c r="V31" i="86"/>
  <c r="V4" i="87"/>
  <c r="V25" i="87" s="1"/>
  <c r="S31" i="86"/>
  <c r="S4" i="87"/>
  <c r="S25" i="87" s="1"/>
  <c r="T31" i="86"/>
  <c r="T4" i="87"/>
  <c r="T25" i="87" s="1"/>
  <c r="AB31" i="86"/>
  <c r="AB4" i="87"/>
  <c r="AB25" i="87" s="1"/>
  <c r="D32" i="82"/>
  <c r="AB33" i="82" s="1"/>
  <c r="D4" i="83"/>
  <c r="D30" i="83" s="1"/>
  <c r="Y31" i="85"/>
  <c r="Y4" i="86"/>
  <c r="Y29" i="86" s="1"/>
  <c r="F31" i="85"/>
  <c r="F4" i="86"/>
  <c r="F29" i="86" s="1"/>
  <c r="I31" i="85"/>
  <c r="I4" i="86"/>
  <c r="I29" i="86" s="1"/>
  <c r="E27" i="87" l="1"/>
  <c r="E4" i="88"/>
  <c r="E25" i="88" s="1"/>
  <c r="V27" i="87"/>
  <c r="V4" i="88"/>
  <c r="V25" i="88" s="1"/>
  <c r="W27" i="87"/>
  <c r="W4" i="88"/>
  <c r="W25" i="88" s="1"/>
  <c r="J27" i="87"/>
  <c r="J4" i="88"/>
  <c r="J25" i="88" s="1"/>
  <c r="Y31" i="86"/>
  <c r="Y4" i="87"/>
  <c r="Y25" i="87" s="1"/>
  <c r="S27" i="87"/>
  <c r="S4" i="88"/>
  <c r="S25" i="88" s="1"/>
  <c r="P27" i="87"/>
  <c r="P4" i="88"/>
  <c r="P25" i="88" s="1"/>
  <c r="U27" i="87"/>
  <c r="U4" i="88"/>
  <c r="U25" i="88" s="1"/>
  <c r="N27" i="87"/>
  <c r="N4" i="88"/>
  <c r="N25" i="88" s="1"/>
  <c r="H27" i="87"/>
  <c r="H4" i="88"/>
  <c r="H25" i="88" s="1"/>
  <c r="F31" i="86"/>
  <c r="F4" i="87"/>
  <c r="F25" i="87" s="1"/>
  <c r="T27" i="87"/>
  <c r="T4" i="88"/>
  <c r="T25" i="88" s="1"/>
  <c r="Z27" i="87"/>
  <c r="Z4" i="88"/>
  <c r="Z25" i="88" s="1"/>
  <c r="AA27" i="87"/>
  <c r="AA4" i="88"/>
  <c r="AA25" i="88" s="1"/>
  <c r="L27" i="87"/>
  <c r="L4" i="88"/>
  <c r="L25" i="88" s="1"/>
  <c r="M27" i="87"/>
  <c r="M4" i="88"/>
  <c r="M25" i="88" s="1"/>
  <c r="I31" i="86"/>
  <c r="I4" i="87"/>
  <c r="I25" i="87" s="1"/>
  <c r="AB27" i="87"/>
  <c r="AB4" i="88"/>
  <c r="AB25" i="88" s="1"/>
  <c r="K27" i="87"/>
  <c r="K4" i="88"/>
  <c r="K25" i="88" s="1"/>
  <c r="X27" i="87"/>
  <c r="X4" i="88"/>
  <c r="X25" i="88" s="1"/>
  <c r="O27" i="87"/>
  <c r="O4" i="88"/>
  <c r="O25" i="88" s="1"/>
  <c r="R27" i="87"/>
  <c r="R4" i="88"/>
  <c r="R25" i="88" s="1"/>
  <c r="D32" i="83"/>
  <c r="AB33" i="83" s="1"/>
  <c r="D4" i="84"/>
  <c r="D30" i="84" s="1"/>
  <c r="AB27" i="88" l="1"/>
  <c r="AB4" i="89"/>
  <c r="AB27" i="89" s="1"/>
  <c r="T27" i="88"/>
  <c r="T4" i="89"/>
  <c r="T27" i="89" s="1"/>
  <c r="S27" i="88"/>
  <c r="S4" i="89"/>
  <c r="S27" i="89" s="1"/>
  <c r="V27" i="88"/>
  <c r="V4" i="89"/>
  <c r="V27" i="89" s="1"/>
  <c r="X27" i="88"/>
  <c r="X4" i="89"/>
  <c r="X27" i="89" s="1"/>
  <c r="AA27" i="88"/>
  <c r="AA4" i="89"/>
  <c r="AA27" i="89" s="1"/>
  <c r="H27" i="88"/>
  <c r="H4" i="89"/>
  <c r="H27" i="89" s="1"/>
  <c r="J27" i="88"/>
  <c r="J4" i="89"/>
  <c r="J27" i="89" s="1"/>
  <c r="O27" i="88"/>
  <c r="O4" i="89"/>
  <c r="O27" i="89" s="1"/>
  <c r="I27" i="87"/>
  <c r="I4" i="88"/>
  <c r="I25" i="88" s="1"/>
  <c r="L27" i="88"/>
  <c r="L4" i="89"/>
  <c r="L27" i="89" s="1"/>
  <c r="F27" i="87"/>
  <c r="F4" i="88"/>
  <c r="F25" i="88" s="1"/>
  <c r="N27" i="88"/>
  <c r="N4" i="89"/>
  <c r="N27" i="89" s="1"/>
  <c r="P27" i="88"/>
  <c r="P4" i="89"/>
  <c r="P27" i="89" s="1"/>
  <c r="Y27" i="87"/>
  <c r="Y4" i="88"/>
  <c r="Y25" i="88" s="1"/>
  <c r="W27" i="88"/>
  <c r="W4" i="89"/>
  <c r="W27" i="89" s="1"/>
  <c r="E27" i="88"/>
  <c r="E4" i="89"/>
  <c r="E27" i="89" s="1"/>
  <c r="R27" i="88"/>
  <c r="R4" i="89"/>
  <c r="R27" i="89" s="1"/>
  <c r="M27" i="88"/>
  <c r="M4" i="89"/>
  <c r="M27" i="89" s="1"/>
  <c r="U27" i="88"/>
  <c r="U4" i="89"/>
  <c r="U27" i="89" s="1"/>
  <c r="K27" i="88"/>
  <c r="K4" i="89"/>
  <c r="K27" i="89" s="1"/>
  <c r="Z27" i="88"/>
  <c r="Z4" i="89"/>
  <c r="Z27" i="89" s="1"/>
  <c r="D32" i="84"/>
  <c r="AB33" i="84" s="1"/>
  <c r="D4" i="85"/>
  <c r="D29" i="85" s="1"/>
  <c r="U29" i="89" l="1"/>
  <c r="U4" i="90"/>
  <c r="U28" i="90" s="1"/>
  <c r="W29" i="89"/>
  <c r="W4" i="90"/>
  <c r="W28" i="90" s="1"/>
  <c r="F27" i="88"/>
  <c r="F4" i="89"/>
  <c r="F27" i="89" s="1"/>
  <c r="J29" i="89"/>
  <c r="J4" i="90"/>
  <c r="J28" i="90" s="1"/>
  <c r="V29" i="89"/>
  <c r="V4" i="90"/>
  <c r="V28" i="90" s="1"/>
  <c r="K29" i="89"/>
  <c r="K4" i="90"/>
  <c r="K28" i="90" s="1"/>
  <c r="E29" i="89"/>
  <c r="E4" i="90"/>
  <c r="E28" i="90" s="1"/>
  <c r="N4" i="90"/>
  <c r="N28" i="90" s="1"/>
  <c r="N29" i="89"/>
  <c r="O29" i="89"/>
  <c r="O4" i="90"/>
  <c r="O28" i="90" s="1"/>
  <c r="AB29" i="89"/>
  <c r="AB4" i="90"/>
  <c r="AB28" i="90" s="1"/>
  <c r="Z29" i="89"/>
  <c r="Z4" i="90"/>
  <c r="Z28" i="90" s="1"/>
  <c r="R29" i="89"/>
  <c r="R4" i="90"/>
  <c r="R28" i="90" s="1"/>
  <c r="P29" i="89"/>
  <c r="P4" i="90"/>
  <c r="P28" i="90" s="1"/>
  <c r="I4" i="89"/>
  <c r="I27" i="89" s="1"/>
  <c r="I27" i="88"/>
  <c r="AA29" i="89"/>
  <c r="AA4" i="90"/>
  <c r="AA28" i="90" s="1"/>
  <c r="T29" i="89"/>
  <c r="T4" i="90"/>
  <c r="T28" i="90" s="1"/>
  <c r="M29" i="89"/>
  <c r="M4" i="90"/>
  <c r="M28" i="90" s="1"/>
  <c r="Y27" i="88"/>
  <c r="Y4" i="89"/>
  <c r="Y27" i="89" s="1"/>
  <c r="L29" i="89"/>
  <c r="L4" i="90"/>
  <c r="L28" i="90" s="1"/>
  <c r="H29" i="89"/>
  <c r="H4" i="90"/>
  <c r="H28" i="90" s="1"/>
  <c r="X29" i="89"/>
  <c r="X4" i="90"/>
  <c r="X28" i="90" s="1"/>
  <c r="S29" i="89"/>
  <c r="S4" i="90"/>
  <c r="S28" i="90" s="1"/>
  <c r="D31" i="85"/>
  <c r="AB32" i="85" s="1"/>
  <c r="D4" i="86"/>
  <c r="D29" i="86" s="1"/>
  <c r="E4" i="67"/>
  <c r="E28" i="67" s="1"/>
  <c r="E4" i="68" s="1"/>
  <c r="E30" i="68" s="1"/>
  <c r="F4" i="67"/>
  <c r="F28" i="67" s="1"/>
  <c r="F4" i="68" s="1"/>
  <c r="F30" i="68" s="1"/>
  <c r="G4" i="67"/>
  <c r="G28" i="67" s="1"/>
  <c r="G4" i="68" s="1"/>
  <c r="G30" i="68" s="1"/>
  <c r="H4" i="67"/>
  <c r="H28" i="67" s="1"/>
  <c r="H4" i="68" s="1"/>
  <c r="H30" i="68" s="1"/>
  <c r="I4" i="67"/>
  <c r="I28" i="67" s="1"/>
  <c r="I4" i="68" s="1"/>
  <c r="I30" i="68" s="1"/>
  <c r="J4" i="67"/>
  <c r="J28" i="67" s="1"/>
  <c r="J4" i="68" s="1"/>
  <c r="J30" i="68" s="1"/>
  <c r="K4" i="67"/>
  <c r="K28" i="67" s="1"/>
  <c r="L4" i="67"/>
  <c r="L28" i="67" s="1"/>
  <c r="L4" i="68" s="1"/>
  <c r="L30" i="68" s="1"/>
  <c r="M4" i="67"/>
  <c r="M28" i="67" s="1"/>
  <c r="M4" i="68" s="1"/>
  <c r="M30" i="68" s="1"/>
  <c r="N4" i="67"/>
  <c r="N28" i="67" s="1"/>
  <c r="O4" i="67"/>
  <c r="O28" i="67" s="1"/>
  <c r="O4" i="68" s="1"/>
  <c r="O30" i="68" s="1"/>
  <c r="P4" i="67"/>
  <c r="P28" i="67" s="1"/>
  <c r="P4" i="68" s="1"/>
  <c r="P30" i="68" s="1"/>
  <c r="Q4" i="67"/>
  <c r="Q28" i="67" s="1"/>
  <c r="Q4" i="68" s="1"/>
  <c r="Q30" i="68" s="1"/>
  <c r="R4" i="67"/>
  <c r="R28" i="67" s="1"/>
  <c r="S4" i="67"/>
  <c r="S28" i="67" s="1"/>
  <c r="S4" i="68" s="1"/>
  <c r="S30" i="68" s="1"/>
  <c r="T4" i="67"/>
  <c r="T28" i="67" s="1"/>
  <c r="T4" i="68" s="1"/>
  <c r="T30" i="68" s="1"/>
  <c r="U4" i="67"/>
  <c r="U28" i="67" s="1"/>
  <c r="U4" i="68" s="1"/>
  <c r="U30" i="68" s="1"/>
  <c r="V4" i="67"/>
  <c r="V28" i="67" s="1"/>
  <c r="W4" i="67"/>
  <c r="W28" i="67" s="1"/>
  <c r="X4" i="67"/>
  <c r="X28" i="67" s="1"/>
  <c r="X4" i="68" s="1"/>
  <c r="X30" i="68" s="1"/>
  <c r="Y4" i="67"/>
  <c r="Y28" i="67" s="1"/>
  <c r="Y4" i="68" s="1"/>
  <c r="Y30" i="68" s="1"/>
  <c r="Z4" i="67"/>
  <c r="AA4" i="67"/>
  <c r="AA28" i="67" s="1"/>
  <c r="AA4" i="68" s="1"/>
  <c r="AA30" i="68" s="1"/>
  <c r="AB4" i="67"/>
  <c r="AB28" i="67" s="1"/>
  <c r="AB4" i="68" s="1"/>
  <c r="AB30" i="68" s="1"/>
  <c r="D4" i="67"/>
  <c r="D28" i="67" s="1"/>
  <c r="D4" i="68" s="1"/>
  <c r="D30" i="68" s="1"/>
  <c r="Z28" i="67"/>
  <c r="K36" i="66"/>
  <c r="H30" i="90" l="1"/>
  <c r="H4" i="91"/>
  <c r="H27" i="91" s="1"/>
  <c r="T4" i="91"/>
  <c r="T27" i="91" s="1"/>
  <c r="T30" i="90"/>
  <c r="AB30" i="90"/>
  <c r="AB4" i="91"/>
  <c r="AB27" i="91" s="1"/>
  <c r="K4" i="91"/>
  <c r="K27" i="91" s="1"/>
  <c r="K30" i="90"/>
  <c r="W30" i="90"/>
  <c r="W4" i="91"/>
  <c r="W27" i="91" s="1"/>
  <c r="I29" i="89"/>
  <c r="I4" i="90"/>
  <c r="I28" i="90" s="1"/>
  <c r="N4" i="91"/>
  <c r="N27" i="91" s="1"/>
  <c r="N30" i="90"/>
  <c r="D31" i="86"/>
  <c r="AB32" i="86" s="1"/>
  <c r="D4" i="87"/>
  <c r="D25" i="87" s="1"/>
  <c r="X30" i="90"/>
  <c r="X4" i="91"/>
  <c r="X27" i="91" s="1"/>
  <c r="L30" i="90"/>
  <c r="L4" i="91"/>
  <c r="L27" i="91" s="1"/>
  <c r="M30" i="90"/>
  <c r="M4" i="91"/>
  <c r="M27" i="91" s="1"/>
  <c r="AA30" i="90"/>
  <c r="AA4" i="91"/>
  <c r="AA27" i="91" s="1"/>
  <c r="P30" i="90"/>
  <c r="P4" i="91"/>
  <c r="P27" i="91" s="1"/>
  <c r="Z30" i="90"/>
  <c r="Z4" i="91"/>
  <c r="Z27" i="91" s="1"/>
  <c r="O30" i="90"/>
  <c r="O4" i="91"/>
  <c r="O27" i="91" s="1"/>
  <c r="E30" i="90"/>
  <c r="E4" i="91"/>
  <c r="E27" i="91" s="1"/>
  <c r="V30" i="90"/>
  <c r="V4" i="91"/>
  <c r="V27" i="91" s="1"/>
  <c r="F29" i="89"/>
  <c r="F4" i="90"/>
  <c r="F28" i="90" s="1"/>
  <c r="U30" i="90"/>
  <c r="U4" i="91"/>
  <c r="U27" i="91" s="1"/>
  <c r="S30" i="90"/>
  <c r="S4" i="91"/>
  <c r="S27" i="91" s="1"/>
  <c r="Y29" i="89"/>
  <c r="Y4" i="90"/>
  <c r="Y28" i="90" s="1"/>
  <c r="R30" i="90"/>
  <c r="R4" i="91"/>
  <c r="R27" i="91" s="1"/>
  <c r="J30" i="90"/>
  <c r="J4" i="91"/>
  <c r="J27" i="91" s="1"/>
  <c r="X32" i="68"/>
  <c r="X4" i="69"/>
  <c r="X24" i="69" s="1"/>
  <c r="T32" i="68"/>
  <c r="T4" i="69"/>
  <c r="T24" i="69" s="1"/>
  <c r="P32" i="68"/>
  <c r="P4" i="69"/>
  <c r="P24" i="69" s="1"/>
  <c r="L32" i="68"/>
  <c r="L4" i="69"/>
  <c r="L24" i="69" s="1"/>
  <c r="H32" i="68"/>
  <c r="H4" i="69"/>
  <c r="H24" i="69" s="1"/>
  <c r="AB32" i="68"/>
  <c r="AB4" i="69"/>
  <c r="AB24" i="69" s="1"/>
  <c r="AA32" i="68"/>
  <c r="AA4" i="69"/>
  <c r="AA24" i="69" s="1"/>
  <c r="W30" i="67"/>
  <c r="W4" i="68"/>
  <c r="W30" i="68" s="1"/>
  <c r="O32" i="68"/>
  <c r="O4" i="69"/>
  <c r="O24" i="69" s="1"/>
  <c r="K30" i="67"/>
  <c r="K4" i="68"/>
  <c r="K30" i="68" s="1"/>
  <c r="G32" i="68"/>
  <c r="G4" i="69"/>
  <c r="G24" i="69" s="1"/>
  <c r="J32" i="68"/>
  <c r="J4" i="69"/>
  <c r="J24" i="69" s="1"/>
  <c r="V30" i="67"/>
  <c r="V4" i="68"/>
  <c r="V30" i="68" s="1"/>
  <c r="S32" i="68"/>
  <c r="S4" i="69"/>
  <c r="S24" i="69" s="1"/>
  <c r="N30" i="67"/>
  <c r="N4" i="68"/>
  <c r="N30" i="68" s="1"/>
  <c r="Z30" i="67"/>
  <c r="Z4" i="68"/>
  <c r="Z30" i="68" s="1"/>
  <c r="R30" i="67"/>
  <c r="R4" i="68"/>
  <c r="R30" i="68" s="1"/>
  <c r="F32" i="68"/>
  <c r="F4" i="69"/>
  <c r="F24" i="69" s="1"/>
  <c r="U32" i="68"/>
  <c r="U4" i="69"/>
  <c r="U24" i="69" s="1"/>
  <c r="I32" i="68"/>
  <c r="I4" i="69"/>
  <c r="I24" i="69" s="1"/>
  <c r="D32" i="68"/>
  <c r="D4" i="69"/>
  <c r="D24" i="69" s="1"/>
  <c r="Y32" i="68"/>
  <c r="Y4" i="69"/>
  <c r="Y24" i="69" s="1"/>
  <c r="Q32" i="68"/>
  <c r="Q4" i="69"/>
  <c r="Q24" i="69" s="1"/>
  <c r="M32" i="68"/>
  <c r="M4" i="69"/>
  <c r="M24" i="69" s="1"/>
  <c r="E32" i="68"/>
  <c r="E4" i="69"/>
  <c r="E24" i="69" s="1"/>
  <c r="F30" i="67"/>
  <c r="T30" i="67"/>
  <c r="AB30" i="67"/>
  <c r="H30" i="67"/>
  <c r="J30" i="67"/>
  <c r="S30" i="67"/>
  <c r="AA30" i="67"/>
  <c r="G30" i="67"/>
  <c r="O30" i="67"/>
  <c r="X30" i="67"/>
  <c r="D30" i="67"/>
  <c r="L30" i="67"/>
  <c r="P30" i="67"/>
  <c r="E30" i="67"/>
  <c r="I30" i="67"/>
  <c r="M30" i="67"/>
  <c r="Q30" i="67"/>
  <c r="U30" i="67"/>
  <c r="Y30" i="67"/>
  <c r="S29" i="91" l="1"/>
  <c r="S4" i="92"/>
  <c r="S29" i="92" s="1"/>
  <c r="E29" i="91"/>
  <c r="E4" i="92"/>
  <c r="E29" i="92" s="1"/>
  <c r="AA29" i="91"/>
  <c r="AA4" i="92"/>
  <c r="AA29" i="92" s="1"/>
  <c r="L29" i="91"/>
  <c r="L4" i="92"/>
  <c r="L29" i="92" s="1"/>
  <c r="I30" i="90"/>
  <c r="I4" i="91"/>
  <c r="I27" i="91" s="1"/>
  <c r="K29" i="91"/>
  <c r="K4" i="92"/>
  <c r="K29" i="92" s="1"/>
  <c r="Y30" i="90"/>
  <c r="Y4" i="91"/>
  <c r="Y27" i="91" s="1"/>
  <c r="U29" i="91"/>
  <c r="U4" i="92"/>
  <c r="U29" i="92" s="1"/>
  <c r="V29" i="91"/>
  <c r="V4" i="92"/>
  <c r="V29" i="92" s="1"/>
  <c r="O29" i="91"/>
  <c r="O4" i="92"/>
  <c r="O29" i="92" s="1"/>
  <c r="P29" i="91"/>
  <c r="P4" i="92"/>
  <c r="P29" i="92" s="1"/>
  <c r="M29" i="91"/>
  <c r="M4" i="92"/>
  <c r="M29" i="92" s="1"/>
  <c r="X29" i="91"/>
  <c r="X4" i="92"/>
  <c r="X29" i="92" s="1"/>
  <c r="W29" i="91"/>
  <c r="W4" i="92"/>
  <c r="W29" i="92" s="1"/>
  <c r="AB29" i="91"/>
  <c r="AB4" i="92"/>
  <c r="AB29" i="92" s="1"/>
  <c r="H29" i="91"/>
  <c r="H4" i="92"/>
  <c r="H29" i="92" s="1"/>
  <c r="R29" i="91"/>
  <c r="R4" i="92"/>
  <c r="R29" i="92" s="1"/>
  <c r="F30" i="90"/>
  <c r="F4" i="91"/>
  <c r="F27" i="91" s="1"/>
  <c r="Z29" i="91"/>
  <c r="Z4" i="92"/>
  <c r="Z29" i="92" s="1"/>
  <c r="D27" i="87"/>
  <c r="AB28" i="87" s="1"/>
  <c r="D4" i="88"/>
  <c r="D25" i="88" s="1"/>
  <c r="T29" i="91"/>
  <c r="T4" i="92"/>
  <c r="T29" i="92" s="1"/>
  <c r="J29" i="91"/>
  <c r="J4" i="92"/>
  <c r="J29" i="92" s="1"/>
  <c r="N29" i="91"/>
  <c r="N4" i="92"/>
  <c r="N29" i="92" s="1"/>
  <c r="M26" i="69"/>
  <c r="M4" i="70"/>
  <c r="M25" i="70" s="1"/>
  <c r="I26" i="69"/>
  <c r="I4" i="70"/>
  <c r="I25" i="70" s="1"/>
  <c r="S26" i="69"/>
  <c r="S4" i="70"/>
  <c r="S25" i="70" s="1"/>
  <c r="J26" i="69"/>
  <c r="J4" i="70"/>
  <c r="J25" i="70" s="1"/>
  <c r="AB26" i="69"/>
  <c r="AB4" i="70"/>
  <c r="AB25" i="70" s="1"/>
  <c r="L26" i="69"/>
  <c r="L4" i="70"/>
  <c r="T26" i="69"/>
  <c r="T4" i="70"/>
  <c r="T25" i="70" s="1"/>
  <c r="Y26" i="69"/>
  <c r="Y4" i="70"/>
  <c r="Y25" i="70" s="1"/>
  <c r="F26" i="69"/>
  <c r="F4" i="70"/>
  <c r="F25" i="70" s="1"/>
  <c r="Q26" i="69"/>
  <c r="Q4" i="70"/>
  <c r="Q25" i="70" s="1"/>
  <c r="U26" i="69"/>
  <c r="U4" i="70"/>
  <c r="U25" i="70" s="1"/>
  <c r="G26" i="69"/>
  <c r="G4" i="70"/>
  <c r="G25" i="70" s="1"/>
  <c r="O26" i="69"/>
  <c r="O4" i="70"/>
  <c r="O25" i="70" s="1"/>
  <c r="AA26" i="69"/>
  <c r="AA4" i="70"/>
  <c r="AA25" i="70" s="1"/>
  <c r="P26" i="69"/>
  <c r="P4" i="70"/>
  <c r="P25" i="70" s="1"/>
  <c r="X26" i="69"/>
  <c r="X4" i="70"/>
  <c r="X25" i="70" s="1"/>
  <c r="E26" i="69"/>
  <c r="E4" i="70"/>
  <c r="E25" i="70" s="1"/>
  <c r="D26" i="69"/>
  <c r="D4" i="70"/>
  <c r="D25" i="70" s="1"/>
  <c r="H26" i="69"/>
  <c r="H4" i="70"/>
  <c r="H25" i="70" s="1"/>
  <c r="Z32" i="68"/>
  <c r="Z4" i="69"/>
  <c r="Z24" i="69" s="1"/>
  <c r="K32" i="68"/>
  <c r="K4" i="69"/>
  <c r="K24" i="69" s="1"/>
  <c r="W32" i="68"/>
  <c r="W4" i="69"/>
  <c r="W24" i="69" s="1"/>
  <c r="N32" i="68"/>
  <c r="N4" i="69"/>
  <c r="N24" i="69" s="1"/>
  <c r="V32" i="68"/>
  <c r="V4" i="69"/>
  <c r="V24" i="69" s="1"/>
  <c r="R32" i="68"/>
  <c r="R4" i="69"/>
  <c r="R24" i="69" s="1"/>
  <c r="AB32" i="67"/>
  <c r="D27" i="88" l="1"/>
  <c r="AB28" i="88" s="1"/>
  <c r="D4" i="89"/>
  <c r="D27" i="89" s="1"/>
  <c r="H31" i="92"/>
  <c r="H4" i="93"/>
  <c r="H24" i="93" s="1"/>
  <c r="M31" i="92"/>
  <c r="M4" i="93"/>
  <c r="M24" i="93" s="1"/>
  <c r="U31" i="92"/>
  <c r="U4" i="93"/>
  <c r="U24" i="93" s="1"/>
  <c r="K31" i="92"/>
  <c r="K4" i="93"/>
  <c r="K24" i="93" s="1"/>
  <c r="L31" i="92"/>
  <c r="L4" i="93"/>
  <c r="L24" i="93" s="1"/>
  <c r="E31" i="92"/>
  <c r="E4" i="93"/>
  <c r="E24" i="93" s="1"/>
  <c r="J31" i="92"/>
  <c r="J4" i="93"/>
  <c r="J24" i="93" s="1"/>
  <c r="F29" i="91"/>
  <c r="F4" i="92"/>
  <c r="F29" i="92" s="1"/>
  <c r="O31" i="92"/>
  <c r="O4" i="93"/>
  <c r="O24" i="93" s="1"/>
  <c r="N4" i="93"/>
  <c r="N24" i="93" s="1"/>
  <c r="N31" i="92"/>
  <c r="T31" i="92"/>
  <c r="T4" i="93"/>
  <c r="T24" i="93" s="1"/>
  <c r="Z31" i="92"/>
  <c r="Z4" i="93"/>
  <c r="Z24" i="93" s="1"/>
  <c r="R4" i="93"/>
  <c r="R24" i="93" s="1"/>
  <c r="R31" i="92"/>
  <c r="AB31" i="92"/>
  <c r="AB4" i="93"/>
  <c r="AB24" i="93" s="1"/>
  <c r="X31" i="92"/>
  <c r="X4" i="93"/>
  <c r="X24" i="93" s="1"/>
  <c r="P31" i="92"/>
  <c r="P4" i="93"/>
  <c r="P24" i="93" s="1"/>
  <c r="V31" i="92"/>
  <c r="V4" i="93"/>
  <c r="V24" i="93" s="1"/>
  <c r="Y29" i="91"/>
  <c r="Y4" i="92"/>
  <c r="Y29" i="92" s="1"/>
  <c r="I29" i="91"/>
  <c r="I4" i="92"/>
  <c r="I29" i="92" s="1"/>
  <c r="AA31" i="92"/>
  <c r="AA4" i="93"/>
  <c r="AA24" i="93" s="1"/>
  <c r="S31" i="92"/>
  <c r="S4" i="93"/>
  <c r="S24" i="93" s="1"/>
  <c r="W31" i="92"/>
  <c r="W4" i="93"/>
  <c r="W24" i="93" s="1"/>
  <c r="V26" i="69"/>
  <c r="V4" i="70"/>
  <c r="V25" i="70" s="1"/>
  <c r="Z26" i="69"/>
  <c r="Z4" i="70"/>
  <c r="Z25" i="70" s="1"/>
  <c r="D27" i="70"/>
  <c r="D31" i="70"/>
  <c r="D34" i="70" s="1"/>
  <c r="X27" i="70"/>
  <c r="X31" i="70"/>
  <c r="X34" i="70" s="1"/>
  <c r="AA27" i="70"/>
  <c r="AA31" i="70"/>
  <c r="G27" i="70"/>
  <c r="G31" i="70"/>
  <c r="G34" i="70" s="1"/>
  <c r="Q27" i="70"/>
  <c r="Q31" i="70"/>
  <c r="Q34" i="70" s="1"/>
  <c r="Y27" i="70"/>
  <c r="Y31" i="70"/>
  <c r="Y34" i="70" s="1"/>
  <c r="L25" i="70"/>
  <c r="L31" i="70" s="1"/>
  <c r="L34" i="70" s="1"/>
  <c r="J27" i="70"/>
  <c r="J31" i="70"/>
  <c r="J34" i="70" s="1"/>
  <c r="I27" i="70"/>
  <c r="I31" i="70"/>
  <c r="I34" i="70" s="1"/>
  <c r="W26" i="69"/>
  <c r="W4" i="70"/>
  <c r="W25" i="70" s="1"/>
  <c r="N26" i="69"/>
  <c r="N4" i="70"/>
  <c r="N25" i="70" s="1"/>
  <c r="H27" i="70"/>
  <c r="H31" i="70"/>
  <c r="H34" i="70" s="1"/>
  <c r="P27" i="70"/>
  <c r="P31" i="70"/>
  <c r="P34" i="70" s="1"/>
  <c r="O27" i="70"/>
  <c r="O31" i="70"/>
  <c r="O34" i="70" s="1"/>
  <c r="U27" i="70"/>
  <c r="U31" i="70"/>
  <c r="U34" i="70" s="1"/>
  <c r="T27" i="70"/>
  <c r="T31" i="70"/>
  <c r="T34" i="70" s="1"/>
  <c r="AB27" i="70"/>
  <c r="AB31" i="70"/>
  <c r="S27" i="70"/>
  <c r="S31" i="70"/>
  <c r="S34" i="70" s="1"/>
  <c r="M27" i="70"/>
  <c r="M31" i="70"/>
  <c r="M34" i="70" s="1"/>
  <c r="R26" i="69"/>
  <c r="R4" i="70"/>
  <c r="R25" i="70" s="1"/>
  <c r="K26" i="69"/>
  <c r="K4" i="70"/>
  <c r="K25" i="70" s="1"/>
  <c r="E27" i="70"/>
  <c r="E31" i="70"/>
  <c r="E34" i="70" s="1"/>
  <c r="F27" i="70"/>
  <c r="F31" i="70"/>
  <c r="F34" i="70" s="1"/>
  <c r="AB34" i="68"/>
  <c r="Q28" i="66"/>
  <c r="Q35" i="66" s="1"/>
  <c r="I4" i="93" l="1"/>
  <c r="I24" i="93" s="1"/>
  <c r="I31" i="92"/>
  <c r="T26" i="93"/>
  <c r="T4" i="94"/>
  <c r="T25" i="94" s="1"/>
  <c r="J26" i="93"/>
  <c r="J4" i="94"/>
  <c r="J25" i="94" s="1"/>
  <c r="U26" i="93"/>
  <c r="U4" i="94"/>
  <c r="U25" i="94" s="1"/>
  <c r="H26" i="93"/>
  <c r="H4" i="94"/>
  <c r="H25" i="94" s="1"/>
  <c r="R26" i="93"/>
  <c r="R4" i="94"/>
  <c r="R25" i="94" s="1"/>
  <c r="V26" i="93"/>
  <c r="V4" i="94"/>
  <c r="V25" i="94" s="1"/>
  <c r="L26" i="93"/>
  <c r="L4" i="94"/>
  <c r="L25" i="94" s="1"/>
  <c r="W26" i="93"/>
  <c r="W4" i="94"/>
  <c r="W25" i="94" s="1"/>
  <c r="AA26" i="93"/>
  <c r="AA4" i="94"/>
  <c r="AA25" i="94" s="1"/>
  <c r="Y31" i="92"/>
  <c r="Y4" i="93"/>
  <c r="Y24" i="93" s="1"/>
  <c r="P26" i="93"/>
  <c r="P4" i="94"/>
  <c r="P25" i="94" s="1"/>
  <c r="AB26" i="93"/>
  <c r="AB4" i="94"/>
  <c r="AB25" i="94" s="1"/>
  <c r="Z26" i="93"/>
  <c r="Z4" i="94"/>
  <c r="Z25" i="94" s="1"/>
  <c r="F4" i="93"/>
  <c r="F24" i="93" s="1"/>
  <c r="F31" i="92"/>
  <c r="E26" i="93"/>
  <c r="E4" i="94"/>
  <c r="E25" i="94" s="1"/>
  <c r="K26" i="93"/>
  <c r="K4" i="94"/>
  <c r="K25" i="94" s="1"/>
  <c r="M26" i="93"/>
  <c r="M4" i="94"/>
  <c r="M25" i="94" s="1"/>
  <c r="D29" i="89"/>
  <c r="AB30" i="89" s="1"/>
  <c r="D4" i="90"/>
  <c r="D28" i="90" s="1"/>
  <c r="S26" i="93"/>
  <c r="S4" i="94"/>
  <c r="S25" i="94" s="1"/>
  <c r="X26" i="93"/>
  <c r="X4" i="94"/>
  <c r="X25" i="94" s="1"/>
  <c r="O26" i="93"/>
  <c r="O4" i="94"/>
  <c r="O25" i="94" s="1"/>
  <c r="N26" i="93"/>
  <c r="N4" i="94"/>
  <c r="N25" i="94" s="1"/>
  <c r="W27" i="70"/>
  <c r="W31" i="70"/>
  <c r="W34" i="70" s="1"/>
  <c r="Z27" i="70"/>
  <c r="Z31" i="70"/>
  <c r="Z34" i="70" s="1"/>
  <c r="R27" i="70"/>
  <c r="R31" i="70"/>
  <c r="R34" i="70" s="1"/>
  <c r="K27" i="70"/>
  <c r="K31" i="70"/>
  <c r="K34" i="70" s="1"/>
  <c r="V27" i="70"/>
  <c r="V31" i="70"/>
  <c r="V34" i="70" s="1"/>
  <c r="N27" i="70"/>
  <c r="N31" i="70"/>
  <c r="N34" i="70" s="1"/>
  <c r="AB28" i="69"/>
  <c r="L27" i="70"/>
  <c r="Q30" i="66"/>
  <c r="O27" i="94" l="1"/>
  <c r="O4" i="95"/>
  <c r="O26" i="95" s="1"/>
  <c r="Z27" i="94"/>
  <c r="Z4" i="95"/>
  <c r="Z26" i="95" s="1"/>
  <c r="T27" i="94"/>
  <c r="T4" i="95"/>
  <c r="T26" i="95" s="1"/>
  <c r="S27" i="94"/>
  <c r="S4" i="95"/>
  <c r="S26" i="95" s="1"/>
  <c r="E27" i="94"/>
  <c r="E4" i="95"/>
  <c r="E26" i="95" s="1"/>
  <c r="P27" i="94"/>
  <c r="P4" i="95"/>
  <c r="P26" i="95" s="1"/>
  <c r="L27" i="94"/>
  <c r="L4" i="95"/>
  <c r="L26" i="95" s="1"/>
  <c r="R4" i="95"/>
  <c r="R26" i="95" s="1"/>
  <c r="R27" i="94"/>
  <c r="N27" i="94"/>
  <c r="N4" i="95"/>
  <c r="N26" i="95" s="1"/>
  <c r="X27" i="94"/>
  <c r="X4" i="95"/>
  <c r="X26" i="95" s="1"/>
  <c r="D30" i="90"/>
  <c r="AB31" i="90" s="1"/>
  <c r="D4" i="91"/>
  <c r="D27" i="91" s="1"/>
  <c r="K27" i="94"/>
  <c r="K4" i="95"/>
  <c r="K26" i="95" s="1"/>
  <c r="AB27" i="94"/>
  <c r="AB4" i="95"/>
  <c r="AB26" i="95" s="1"/>
  <c r="Y26" i="93"/>
  <c r="Y4" i="94"/>
  <c r="Y25" i="94" s="1"/>
  <c r="W27" i="94"/>
  <c r="W4" i="95"/>
  <c r="W26" i="95" s="1"/>
  <c r="V27" i="94"/>
  <c r="V4" i="95"/>
  <c r="V26" i="95" s="1"/>
  <c r="H27" i="94"/>
  <c r="H4" i="95"/>
  <c r="H26" i="95" s="1"/>
  <c r="J27" i="94"/>
  <c r="J4" i="95"/>
  <c r="J26" i="95" s="1"/>
  <c r="M27" i="94"/>
  <c r="M4" i="95"/>
  <c r="M26" i="95" s="1"/>
  <c r="AA27" i="94"/>
  <c r="AA4" i="95"/>
  <c r="AA26" i="95" s="1"/>
  <c r="U27" i="94"/>
  <c r="U4" i="95"/>
  <c r="U26" i="95" s="1"/>
  <c r="F26" i="93"/>
  <c r="F4" i="94"/>
  <c r="F25" i="94" s="1"/>
  <c r="I26" i="93"/>
  <c r="I4" i="94"/>
  <c r="I25" i="94" s="1"/>
  <c r="AB28" i="70"/>
  <c r="Z36" i="70"/>
  <c r="AB36" i="70" l="1"/>
  <c r="F27" i="94"/>
  <c r="F4" i="95"/>
  <c r="F26" i="95" s="1"/>
  <c r="V28" i="95"/>
  <c r="V34" i="95"/>
  <c r="V36" i="95" s="1"/>
  <c r="X28" i="95"/>
  <c r="X34" i="95"/>
  <c r="X36" i="95" s="1"/>
  <c r="Z28" i="95"/>
  <c r="Z34" i="95"/>
  <c r="Z36" i="95" s="1"/>
  <c r="R28" i="95"/>
  <c r="R34" i="95"/>
  <c r="R36" i="95" s="1"/>
  <c r="J28" i="95"/>
  <c r="J34" i="95"/>
  <c r="J36" i="95" s="1"/>
  <c r="K28" i="95"/>
  <c r="K34" i="95"/>
  <c r="K36" i="95" s="1"/>
  <c r="S28" i="95"/>
  <c r="S34" i="95"/>
  <c r="S36" i="95" s="1"/>
  <c r="U28" i="95"/>
  <c r="U34" i="95"/>
  <c r="U36" i="95" s="1"/>
  <c r="M28" i="95"/>
  <c r="M34" i="95"/>
  <c r="M36" i="95" s="1"/>
  <c r="H28" i="95"/>
  <c r="H34" i="95"/>
  <c r="H36" i="95" s="1"/>
  <c r="W28" i="95"/>
  <c r="W34" i="95"/>
  <c r="W36" i="95" s="1"/>
  <c r="AB34" i="95"/>
  <c r="AB36" i="95" s="1"/>
  <c r="AB28" i="95"/>
  <c r="D29" i="91"/>
  <c r="AB30" i="91" s="1"/>
  <c r="D4" i="92"/>
  <c r="D29" i="92" s="1"/>
  <c r="N28" i="95"/>
  <c r="N34" i="95"/>
  <c r="N36" i="95" s="1"/>
  <c r="L28" i="95"/>
  <c r="L34" i="95"/>
  <c r="L36" i="95" s="1"/>
  <c r="E34" i="95"/>
  <c r="E36" i="95" s="1"/>
  <c r="E28" i="95"/>
  <c r="T28" i="95"/>
  <c r="T34" i="95"/>
  <c r="T36" i="95" s="1"/>
  <c r="O28" i="95"/>
  <c r="O34" i="95"/>
  <c r="O36" i="95" s="1"/>
  <c r="AA28" i="95"/>
  <c r="AA34" i="95"/>
  <c r="AA36" i="95" s="1"/>
  <c r="Y27" i="94"/>
  <c r="Y4" i="95"/>
  <c r="Y26" i="95" s="1"/>
  <c r="P28" i="95"/>
  <c r="P34" i="95"/>
  <c r="P36" i="95" s="1"/>
  <c r="AB38" i="95" s="1"/>
  <c r="I27" i="94"/>
  <c r="I4" i="95"/>
  <c r="I26" i="95" s="1"/>
  <c r="R41" i="95" l="1"/>
  <c r="K41" i="95"/>
  <c r="X41" i="95"/>
  <c r="D31" i="92"/>
  <c r="AB32" i="92" s="1"/>
  <c r="D4" i="93"/>
  <c r="D24" i="93" s="1"/>
  <c r="W41" i="95"/>
  <c r="M41" i="95"/>
  <c r="S41" i="95"/>
  <c r="J41" i="95"/>
  <c r="Z41" i="95"/>
  <c r="V41" i="95"/>
  <c r="AA41" i="95"/>
  <c r="T41" i="95"/>
  <c r="I28" i="95"/>
  <c r="I34" i="95"/>
  <c r="I36" i="95" s="1"/>
  <c r="Y28" i="95"/>
  <c r="Y34" i="95"/>
  <c r="Y36" i="95" s="1"/>
  <c r="E41" i="95"/>
  <c r="AB41" i="95"/>
  <c r="F28" i="95"/>
  <c r="F34" i="95"/>
  <c r="F36" i="95" s="1"/>
  <c r="P41" i="95"/>
  <c r="L41" i="95"/>
  <c r="O41" i="95"/>
  <c r="N41" i="95"/>
  <c r="H41" i="95"/>
  <c r="U41" i="95"/>
  <c r="X18" i="66"/>
  <c r="F41" i="95" l="1"/>
  <c r="Y41" i="95"/>
  <c r="I41" i="95"/>
  <c r="D26" i="93"/>
  <c r="AB27" i="93" s="1"/>
  <c r="D4" i="94"/>
  <c r="D25" i="94" s="1"/>
  <c r="L38" i="65"/>
  <c r="L39" i="65" s="1"/>
  <c r="L40" i="65" s="1"/>
  <c r="D4" i="95" l="1"/>
  <c r="D26" i="95" s="1"/>
  <c r="D27" i="94"/>
  <c r="AB28" i="94" s="1"/>
  <c r="O20" i="65"/>
  <c r="D34" i="95" l="1"/>
  <c r="D36" i="95" s="1"/>
  <c r="AB37" i="95" s="1"/>
  <c r="D28" i="95"/>
  <c r="M31" i="65"/>
  <c r="M35" i="65"/>
  <c r="M34" i="65"/>
  <c r="M33" i="65"/>
  <c r="M32" i="65"/>
  <c r="AB29" i="95" l="1"/>
  <c r="D41" i="95"/>
  <c r="AB39" i="95"/>
  <c r="AB43" i="95"/>
  <c r="O17" i="65"/>
  <c r="G15" i="65"/>
  <c r="P26" i="65"/>
  <c r="P28" i="65" s="1"/>
  <c r="P4" i="66" l="1"/>
  <c r="P28" i="66" s="1"/>
  <c r="P30" i="66" l="1"/>
  <c r="P35" i="66"/>
  <c r="O38" i="64" l="1"/>
  <c r="S25" i="64" l="1"/>
  <c r="S38" i="64"/>
  <c r="S37" i="64"/>
  <c r="Q38" i="64"/>
  <c r="Q37" i="64"/>
  <c r="G24" i="64"/>
  <c r="Q12" i="64"/>
  <c r="Q39" i="64" l="1"/>
  <c r="Q40" i="64" s="1"/>
  <c r="S39" i="64"/>
  <c r="S40" i="64" s="1"/>
  <c r="Q41" i="64" l="1"/>
  <c r="X24" i="64" l="1"/>
  <c r="O22" i="64"/>
  <c r="G22" i="64"/>
  <c r="O35" i="64"/>
  <c r="D19" i="64"/>
  <c r="J46" i="64" l="1"/>
  <c r="J47" i="64" s="1"/>
  <c r="M37" i="64"/>
  <c r="G35" i="64"/>
  <c r="S34" i="64"/>
  <c r="S35" i="64" s="1"/>
  <c r="G34" i="64"/>
  <c r="J44" i="63" l="1"/>
  <c r="J45" i="63" s="1"/>
  <c r="J18" i="63" l="1"/>
  <c r="G33" i="63"/>
  <c r="G32" i="63"/>
  <c r="J16" i="63" l="1"/>
  <c r="J14" i="63"/>
  <c r="D14" i="63"/>
  <c r="M35" i="63" l="1"/>
  <c r="S32" i="63"/>
  <c r="S33" i="63" s="1"/>
  <c r="W15" i="62" l="1"/>
  <c r="M32" i="62" l="1"/>
  <c r="D14" i="62" l="1"/>
  <c r="W13" i="62"/>
  <c r="S29" i="62" l="1"/>
  <c r="S30" i="62" s="1"/>
  <c r="O15" i="58" l="1"/>
  <c r="D14" i="58" l="1"/>
  <c r="L13" i="58"/>
  <c r="K14" i="54" l="1"/>
  <c r="S38" i="53" l="1"/>
  <c r="S35" i="53"/>
  <c r="S34" i="53"/>
  <c r="R31" i="53"/>
  <c r="S36" i="53" l="1"/>
  <c r="S39" i="53" s="1"/>
  <c r="P32" i="53"/>
  <c r="P31" i="53"/>
  <c r="P33" i="53" l="1"/>
  <c r="T24" i="52"/>
  <c r="T4" i="53" l="1"/>
  <c r="T25" i="53" s="1"/>
  <c r="T26" i="52"/>
  <c r="T27" i="53" l="1"/>
  <c r="T4" i="54"/>
  <c r="T24" i="54" s="1"/>
  <c r="W12" i="52"/>
  <c r="T26" i="54" l="1"/>
  <c r="T4" i="56"/>
  <c r="T25" i="56" s="1"/>
  <c r="T27" i="56" l="1"/>
  <c r="T4" i="57"/>
  <c r="T25" i="57" s="1"/>
  <c r="T27" i="57" l="1"/>
  <c r="T4" i="58"/>
  <c r="T25" i="58" s="1"/>
  <c r="T27" i="58" l="1"/>
  <c r="T4" i="60"/>
  <c r="T25" i="60" s="1"/>
  <c r="T27" i="60" l="1"/>
  <c r="T4" i="62"/>
  <c r="T25" i="62" s="1"/>
  <c r="L29" i="51"/>
  <c r="L32" i="51" s="1"/>
  <c r="L34" i="51" s="1"/>
  <c r="T27" i="62" l="1"/>
  <c r="T4" i="63"/>
  <c r="T28" i="63" s="1"/>
  <c r="T30" i="63" l="1"/>
  <c r="T4" i="64"/>
  <c r="T30" i="64" s="1"/>
  <c r="W15" i="50"/>
  <c r="T32" i="64" l="1"/>
  <c r="T4" i="65"/>
  <c r="T26" i="65" s="1"/>
  <c r="T28" i="65" l="1"/>
  <c r="U4" i="66"/>
  <c r="U28" i="66" s="1"/>
  <c r="O14" i="49"/>
  <c r="U30" i="66" l="1"/>
  <c r="U35" i="66"/>
  <c r="U36" i="66" s="1"/>
  <c r="D13" i="49"/>
  <c r="O12" i="49" l="1"/>
  <c r="W11" i="47" l="1"/>
  <c r="W14" i="46" l="1"/>
  <c r="E4" i="46" l="1"/>
  <c r="E26" i="46" s="1"/>
  <c r="F4" i="46"/>
  <c r="G4" i="46"/>
  <c r="G26" i="46" s="1"/>
  <c r="G4" i="47" s="1"/>
  <c r="G26" i="47" s="1"/>
  <c r="H4" i="46"/>
  <c r="H26" i="46" s="1"/>
  <c r="I4" i="46"/>
  <c r="I26" i="46" s="1"/>
  <c r="I4" i="47" s="1"/>
  <c r="I26" i="47" s="1"/>
  <c r="J4" i="46"/>
  <c r="J26" i="46" s="1"/>
  <c r="J4" i="47" s="1"/>
  <c r="J26" i="47" s="1"/>
  <c r="K4" i="46"/>
  <c r="K26" i="46" s="1"/>
  <c r="K4" i="47" s="1"/>
  <c r="K26" i="47" s="1"/>
  <c r="L4" i="46"/>
  <c r="L26" i="46" s="1"/>
  <c r="M4" i="46"/>
  <c r="M26" i="46" s="1"/>
  <c r="M4" i="47" s="1"/>
  <c r="M26" i="47" s="1"/>
  <c r="N4" i="46"/>
  <c r="N26" i="46" s="1"/>
  <c r="N4" i="47" s="1"/>
  <c r="N26" i="47" s="1"/>
  <c r="O4" i="46"/>
  <c r="O26" i="46" s="1"/>
  <c r="O4" i="47" s="1"/>
  <c r="O26" i="47" s="1"/>
  <c r="P4" i="46"/>
  <c r="P26" i="46" s="1"/>
  <c r="Q4" i="46"/>
  <c r="Q26" i="46" s="1"/>
  <c r="Q4" i="47" s="1"/>
  <c r="Q26" i="47" s="1"/>
  <c r="R4" i="46"/>
  <c r="R26" i="46" s="1"/>
  <c r="R4" i="47" s="1"/>
  <c r="R26" i="47" s="1"/>
  <c r="T4" i="46"/>
  <c r="T26" i="46" s="1"/>
  <c r="U4" i="46"/>
  <c r="U26" i="46" s="1"/>
  <c r="U4" i="47" s="1"/>
  <c r="U26" i="47" s="1"/>
  <c r="V4" i="46"/>
  <c r="V26" i="46" s="1"/>
  <c r="W4" i="46"/>
  <c r="W26" i="46" s="1"/>
  <c r="W4" i="47" s="1"/>
  <c r="W26" i="47" s="1"/>
  <c r="X4" i="46"/>
  <c r="X26" i="46" s="1"/>
  <c r="X4" i="47" s="1"/>
  <c r="X26" i="47" s="1"/>
  <c r="Y4" i="46"/>
  <c r="Y26" i="46" s="1"/>
  <c r="Y4" i="47" s="1"/>
  <c r="Y26" i="47" s="1"/>
  <c r="Z4" i="46"/>
  <c r="Z26" i="46" s="1"/>
  <c r="Z4" i="47" s="1"/>
  <c r="Z26" i="47" s="1"/>
  <c r="D4" i="46"/>
  <c r="D26" i="46" s="1"/>
  <c r="F26" i="46"/>
  <c r="S31" i="45"/>
  <c r="S4" i="46" s="1"/>
  <c r="S26" i="46" s="1"/>
  <c r="Y28" i="47" l="1"/>
  <c r="Y4" i="48"/>
  <c r="Y26" i="48" s="1"/>
  <c r="S28" i="46"/>
  <c r="S4" i="47"/>
  <c r="S26" i="47" s="1"/>
  <c r="Q28" i="47"/>
  <c r="Q4" i="48"/>
  <c r="Q26" i="48" s="1"/>
  <c r="I28" i="47"/>
  <c r="I4" i="48"/>
  <c r="I26" i="48" s="1"/>
  <c r="N28" i="47"/>
  <c r="N4" i="48"/>
  <c r="N26" i="48" s="1"/>
  <c r="F4" i="47"/>
  <c r="F26" i="47" s="1"/>
  <c r="F28" i="46"/>
  <c r="D28" i="46"/>
  <c r="D4" i="47"/>
  <c r="D26" i="47" s="1"/>
  <c r="O28" i="47"/>
  <c r="O4" i="48"/>
  <c r="O26" i="48" s="1"/>
  <c r="K28" i="47"/>
  <c r="K4" i="48"/>
  <c r="K26" i="48" s="1"/>
  <c r="G28" i="47"/>
  <c r="G4" i="48"/>
  <c r="G26" i="48" s="1"/>
  <c r="R28" i="47"/>
  <c r="R4" i="48"/>
  <c r="R26" i="48" s="1"/>
  <c r="Z28" i="47"/>
  <c r="Z4" i="48"/>
  <c r="Z26" i="48" s="1"/>
  <c r="J28" i="47"/>
  <c r="J4" i="48"/>
  <c r="J26" i="48" s="1"/>
  <c r="L28" i="46"/>
  <c r="L4" i="47"/>
  <c r="L26" i="47" s="1"/>
  <c r="V28" i="46"/>
  <c r="V4" i="47"/>
  <c r="V26" i="47" s="1"/>
  <c r="U28" i="47"/>
  <c r="U4" i="48"/>
  <c r="U26" i="48" s="1"/>
  <c r="M28" i="47"/>
  <c r="M4" i="48"/>
  <c r="M26" i="48" s="1"/>
  <c r="E28" i="46"/>
  <c r="E4" i="47"/>
  <c r="E26" i="47" s="1"/>
  <c r="W28" i="47"/>
  <c r="W4" i="48"/>
  <c r="W26" i="48" s="1"/>
  <c r="X28" i="47"/>
  <c r="X4" i="48"/>
  <c r="X26" i="48" s="1"/>
  <c r="T28" i="46"/>
  <c r="T4" i="47"/>
  <c r="T26" i="47" s="1"/>
  <c r="P28" i="46"/>
  <c r="P4" i="47"/>
  <c r="P26" i="47" s="1"/>
  <c r="H4" i="47"/>
  <c r="H26" i="47" s="1"/>
  <c r="H28" i="46"/>
  <c r="X28" i="46"/>
  <c r="M28" i="46"/>
  <c r="N28" i="46"/>
  <c r="U28" i="46"/>
  <c r="Z28" i="46"/>
  <c r="J28" i="46"/>
  <c r="I28" i="46"/>
  <c r="Q28" i="46"/>
  <c r="Y28" i="46"/>
  <c r="R28" i="46"/>
  <c r="G28" i="46"/>
  <c r="K28" i="46"/>
  <c r="O28" i="46"/>
  <c r="W28" i="46"/>
  <c r="P28" i="47" l="1"/>
  <c r="P4" i="48"/>
  <c r="P26" i="48" s="1"/>
  <c r="X4" i="49"/>
  <c r="X23" i="49" s="1"/>
  <c r="X28" i="48"/>
  <c r="E28" i="47"/>
  <c r="E4" i="48"/>
  <c r="E26" i="48" s="1"/>
  <c r="U28" i="48"/>
  <c r="U4" i="49"/>
  <c r="U23" i="49" s="1"/>
  <c r="L28" i="47"/>
  <c r="L4" i="48"/>
  <c r="L26" i="48" s="1"/>
  <c r="Z28" i="48"/>
  <c r="Z4" i="49"/>
  <c r="Z23" i="49" s="1"/>
  <c r="G28" i="48"/>
  <c r="G4" i="49"/>
  <c r="G23" i="49" s="1"/>
  <c r="O28" i="48"/>
  <c r="O4" i="49"/>
  <c r="O23" i="49" s="1"/>
  <c r="I28" i="48"/>
  <c r="I4" i="49"/>
  <c r="I23" i="49" s="1"/>
  <c r="S28" i="47"/>
  <c r="S4" i="48"/>
  <c r="S26" i="48" s="1"/>
  <c r="F28" i="47"/>
  <c r="F4" i="48"/>
  <c r="F26" i="48" s="1"/>
  <c r="T28" i="47"/>
  <c r="T4" i="48"/>
  <c r="T26" i="48" s="1"/>
  <c r="W28" i="48"/>
  <c r="W4" i="49"/>
  <c r="W23" i="49" s="1"/>
  <c r="M28" i="48"/>
  <c r="M4" i="49"/>
  <c r="M23" i="49" s="1"/>
  <c r="V28" i="47"/>
  <c r="V4" i="48"/>
  <c r="V26" i="48" s="1"/>
  <c r="J28" i="48"/>
  <c r="J4" i="49"/>
  <c r="J23" i="49" s="1"/>
  <c r="R28" i="48"/>
  <c r="R4" i="49"/>
  <c r="R23" i="49" s="1"/>
  <c r="K28" i="48"/>
  <c r="K4" i="49"/>
  <c r="K23" i="49" s="1"/>
  <c r="D28" i="47"/>
  <c r="D4" i="48"/>
  <c r="D26" i="48" s="1"/>
  <c r="N28" i="48"/>
  <c r="N4" i="49"/>
  <c r="N23" i="49" s="1"/>
  <c r="Q28" i="48"/>
  <c r="Q4" i="49"/>
  <c r="Q23" i="49" s="1"/>
  <c r="Y28" i="48"/>
  <c r="Y4" i="49"/>
  <c r="Y23" i="49" s="1"/>
  <c r="H28" i="47"/>
  <c r="H4" i="48"/>
  <c r="H26" i="48" s="1"/>
  <c r="Z30" i="46"/>
  <c r="H28" i="48" l="1"/>
  <c r="H4" i="49"/>
  <c r="H23" i="49" s="1"/>
  <c r="D28" i="48"/>
  <c r="D4" i="49"/>
  <c r="D23" i="49" s="1"/>
  <c r="R25" i="49"/>
  <c r="R4" i="50"/>
  <c r="R23" i="50" s="1"/>
  <c r="V28" i="48"/>
  <c r="V4" i="49"/>
  <c r="V23" i="49" s="1"/>
  <c r="F28" i="48"/>
  <c r="F4" i="49"/>
  <c r="F23" i="49" s="1"/>
  <c r="I25" i="49"/>
  <c r="I4" i="50"/>
  <c r="I23" i="50" s="1"/>
  <c r="G25" i="49"/>
  <c r="G4" i="50"/>
  <c r="G23" i="50" s="1"/>
  <c r="L28" i="48"/>
  <c r="L4" i="49"/>
  <c r="L23" i="49" s="1"/>
  <c r="E28" i="48"/>
  <c r="E4" i="49"/>
  <c r="E23" i="49" s="1"/>
  <c r="P28" i="48"/>
  <c r="P4" i="49"/>
  <c r="P23" i="49" s="1"/>
  <c r="Z30" i="47"/>
  <c r="Y4" i="50"/>
  <c r="Y23" i="50" s="1"/>
  <c r="Y25" i="49"/>
  <c r="N25" i="49"/>
  <c r="N4" i="50"/>
  <c r="N23" i="50" s="1"/>
  <c r="K25" i="49"/>
  <c r="K4" i="50"/>
  <c r="K23" i="50" s="1"/>
  <c r="J25" i="49"/>
  <c r="J4" i="50"/>
  <c r="J23" i="50" s="1"/>
  <c r="M25" i="49"/>
  <c r="M4" i="50"/>
  <c r="M23" i="50" s="1"/>
  <c r="T28" i="48"/>
  <c r="T4" i="49"/>
  <c r="T23" i="49" s="1"/>
  <c r="S28" i="48"/>
  <c r="S4" i="49"/>
  <c r="S23" i="49" s="1"/>
  <c r="O25" i="49"/>
  <c r="O4" i="50"/>
  <c r="O23" i="50" s="1"/>
  <c r="Z25" i="49"/>
  <c r="Z4" i="50"/>
  <c r="Z23" i="50" s="1"/>
  <c r="U25" i="49"/>
  <c r="U4" i="50"/>
  <c r="U23" i="50" s="1"/>
  <c r="X25" i="49"/>
  <c r="X4" i="50"/>
  <c r="X23" i="50" s="1"/>
  <c r="Q25" i="49"/>
  <c r="Q4" i="50"/>
  <c r="Q23" i="50" s="1"/>
  <c r="W25" i="49"/>
  <c r="W4" i="50"/>
  <c r="W23" i="50" s="1"/>
  <c r="W13" i="44"/>
  <c r="L25" i="49" l="1"/>
  <c r="L4" i="50"/>
  <c r="L23" i="50" s="1"/>
  <c r="D25" i="49"/>
  <c r="D4" i="50"/>
  <c r="D23" i="50" s="1"/>
  <c r="X25" i="50"/>
  <c r="X4" i="51"/>
  <c r="X24" i="51" s="1"/>
  <c r="S25" i="49"/>
  <c r="S4" i="50"/>
  <c r="S23" i="50" s="1"/>
  <c r="K25" i="50"/>
  <c r="K4" i="51"/>
  <c r="K24" i="51" s="1"/>
  <c r="Y25" i="50"/>
  <c r="Y4" i="51"/>
  <c r="Y24" i="51" s="1"/>
  <c r="E25" i="49"/>
  <c r="E4" i="50"/>
  <c r="E23" i="50" s="1"/>
  <c r="G25" i="50"/>
  <c r="G4" i="51"/>
  <c r="G24" i="51" s="1"/>
  <c r="F25" i="49"/>
  <c r="F4" i="50"/>
  <c r="F23" i="50" s="1"/>
  <c r="R25" i="50"/>
  <c r="R4" i="51"/>
  <c r="R24" i="51" s="1"/>
  <c r="H25" i="49"/>
  <c r="H4" i="50"/>
  <c r="H23" i="50" s="1"/>
  <c r="P25" i="49"/>
  <c r="P4" i="50"/>
  <c r="P23" i="50" s="1"/>
  <c r="I25" i="50"/>
  <c r="I4" i="51"/>
  <c r="I24" i="51" s="1"/>
  <c r="V25" i="49"/>
  <c r="V4" i="50"/>
  <c r="V23" i="50" s="1"/>
  <c r="W25" i="50"/>
  <c r="W4" i="51"/>
  <c r="W24" i="51" s="1"/>
  <c r="Z25" i="50"/>
  <c r="Z4" i="51"/>
  <c r="Z24" i="51" s="1"/>
  <c r="M25" i="50"/>
  <c r="M4" i="51"/>
  <c r="M24" i="51" s="1"/>
  <c r="Z30" i="48"/>
  <c r="Q25" i="50"/>
  <c r="Q4" i="51"/>
  <c r="Q24" i="51" s="1"/>
  <c r="U25" i="50"/>
  <c r="U4" i="51"/>
  <c r="U24" i="51" s="1"/>
  <c r="O25" i="50"/>
  <c r="O4" i="51"/>
  <c r="O24" i="51" s="1"/>
  <c r="T25" i="49"/>
  <c r="T4" i="50"/>
  <c r="T23" i="50" s="1"/>
  <c r="J25" i="50"/>
  <c r="J4" i="51"/>
  <c r="J24" i="51" s="1"/>
  <c r="N25" i="50"/>
  <c r="N4" i="51"/>
  <c r="N24" i="51" s="1"/>
  <c r="W12" i="44"/>
  <c r="Z26" i="51" l="1"/>
  <c r="AA4" i="52"/>
  <c r="AA24" i="52" s="1"/>
  <c r="P25" i="50"/>
  <c r="P4" i="51"/>
  <c r="P24" i="51" s="1"/>
  <c r="G26" i="51"/>
  <c r="G4" i="52"/>
  <c r="G24" i="52" s="1"/>
  <c r="S4" i="51"/>
  <c r="S24" i="51" s="1"/>
  <c r="S25" i="50"/>
  <c r="N26" i="51"/>
  <c r="N4" i="52"/>
  <c r="N24" i="52" s="1"/>
  <c r="U26" i="51"/>
  <c r="V4" i="52"/>
  <c r="V24" i="52" s="1"/>
  <c r="W26" i="51"/>
  <c r="X4" i="52"/>
  <c r="X24" i="52" s="1"/>
  <c r="H25" i="50"/>
  <c r="H4" i="51"/>
  <c r="H24" i="51" s="1"/>
  <c r="E25" i="50"/>
  <c r="E4" i="51"/>
  <c r="E24" i="51" s="1"/>
  <c r="K26" i="51"/>
  <c r="K4" i="52"/>
  <c r="K24" i="52" s="1"/>
  <c r="X26" i="51"/>
  <c r="Y4" i="52"/>
  <c r="Y24" i="52" s="1"/>
  <c r="L25" i="50"/>
  <c r="L4" i="51"/>
  <c r="L24" i="51" s="1"/>
  <c r="V25" i="50"/>
  <c r="V4" i="51"/>
  <c r="V24" i="51" s="1"/>
  <c r="R26" i="51"/>
  <c r="R4" i="52"/>
  <c r="R24" i="52" s="1"/>
  <c r="Y26" i="51"/>
  <c r="Z4" i="52"/>
  <c r="Z24" i="52" s="1"/>
  <c r="D25" i="50"/>
  <c r="D4" i="51"/>
  <c r="D24" i="51" s="1"/>
  <c r="T25" i="50"/>
  <c r="T4" i="51"/>
  <c r="T24" i="51" s="1"/>
  <c r="Z27" i="49"/>
  <c r="M26" i="51"/>
  <c r="M4" i="52"/>
  <c r="M24" i="52" s="1"/>
  <c r="I26" i="51"/>
  <c r="I4" i="52"/>
  <c r="I24" i="52" s="1"/>
  <c r="F25" i="50"/>
  <c r="F4" i="51"/>
  <c r="F24" i="51" s="1"/>
  <c r="J26" i="51"/>
  <c r="J4" i="52"/>
  <c r="J24" i="52" s="1"/>
  <c r="O26" i="51"/>
  <c r="O4" i="52"/>
  <c r="O24" i="52" s="1"/>
  <c r="Q26" i="51"/>
  <c r="Q4" i="52"/>
  <c r="Q24" i="52" s="1"/>
  <c r="O11" i="44"/>
  <c r="J26" i="52" l="1"/>
  <c r="J4" i="53"/>
  <c r="J25" i="53" s="1"/>
  <c r="D26" i="51"/>
  <c r="D4" i="52"/>
  <c r="D24" i="52" s="1"/>
  <c r="L26" i="51"/>
  <c r="L4" i="52"/>
  <c r="L24" i="52" s="1"/>
  <c r="V26" i="52"/>
  <c r="V4" i="53"/>
  <c r="V25" i="53" s="1"/>
  <c r="I26" i="52"/>
  <c r="I4" i="53"/>
  <c r="I25" i="53" s="1"/>
  <c r="Z27" i="50"/>
  <c r="T26" i="51"/>
  <c r="U4" i="52"/>
  <c r="U24" i="52" s="1"/>
  <c r="Z26" i="52"/>
  <c r="Z4" i="53"/>
  <c r="Z25" i="53" s="1"/>
  <c r="W4" i="52"/>
  <c r="W24" i="52" s="1"/>
  <c r="V26" i="51"/>
  <c r="Y26" i="52"/>
  <c r="Y4" i="53"/>
  <c r="Y25" i="53" s="1"/>
  <c r="E26" i="51"/>
  <c r="E4" i="52"/>
  <c r="E24" i="52" s="1"/>
  <c r="X26" i="52"/>
  <c r="X4" i="53"/>
  <c r="X25" i="53" s="1"/>
  <c r="N26" i="52"/>
  <c r="N4" i="53"/>
  <c r="N25" i="53" s="1"/>
  <c r="G26" i="52"/>
  <c r="G4" i="53"/>
  <c r="G25" i="53" s="1"/>
  <c r="AA26" i="52"/>
  <c r="AA4" i="53"/>
  <c r="AA25" i="53" s="1"/>
  <c r="R26" i="52"/>
  <c r="R4" i="53"/>
  <c r="R25" i="53" s="1"/>
  <c r="K26" i="52"/>
  <c r="K4" i="53"/>
  <c r="K25" i="53" s="1"/>
  <c r="H26" i="51"/>
  <c r="H4" i="52"/>
  <c r="H24" i="52" s="1"/>
  <c r="P26" i="51"/>
  <c r="P4" i="52"/>
  <c r="P24" i="52" s="1"/>
  <c r="Q26" i="52"/>
  <c r="Q4" i="53"/>
  <c r="Q25" i="53" s="1"/>
  <c r="S26" i="51"/>
  <c r="S4" i="52"/>
  <c r="S24" i="52" s="1"/>
  <c r="O26" i="52"/>
  <c r="O4" i="53"/>
  <c r="O25" i="53" s="1"/>
  <c r="F26" i="51"/>
  <c r="F4" i="52"/>
  <c r="F24" i="52" s="1"/>
  <c r="M26" i="52"/>
  <c r="M4" i="53"/>
  <c r="M25" i="53" s="1"/>
  <c r="V27" i="53" l="1"/>
  <c r="V4" i="54"/>
  <c r="V24" i="54" s="1"/>
  <c r="Q27" i="53"/>
  <c r="Q4" i="54"/>
  <c r="Q24" i="54" s="1"/>
  <c r="R27" i="53"/>
  <c r="R4" i="54"/>
  <c r="R24" i="54" s="1"/>
  <c r="X27" i="53"/>
  <c r="X4" i="54"/>
  <c r="X24" i="54" s="1"/>
  <c r="Y27" i="53"/>
  <c r="Y4" i="54"/>
  <c r="Y24" i="54" s="1"/>
  <c r="Z27" i="53"/>
  <c r="Z4" i="54"/>
  <c r="Z24" i="54" s="1"/>
  <c r="Z28" i="51"/>
  <c r="W26" i="52"/>
  <c r="W4" i="53"/>
  <c r="W25" i="53" s="1"/>
  <c r="O4" i="54"/>
  <c r="O24" i="54" s="1"/>
  <c r="O27" i="53"/>
  <c r="H26" i="52"/>
  <c r="H4" i="53"/>
  <c r="H25" i="53" s="1"/>
  <c r="I27" i="53"/>
  <c r="I4" i="54"/>
  <c r="I24" i="54" s="1"/>
  <c r="L26" i="52"/>
  <c r="L4" i="53"/>
  <c r="L25" i="53" s="1"/>
  <c r="J27" i="53"/>
  <c r="J4" i="54"/>
  <c r="J24" i="54" s="1"/>
  <c r="D26" i="52"/>
  <c r="D4" i="53"/>
  <c r="D25" i="53" s="1"/>
  <c r="M27" i="53"/>
  <c r="M4" i="54"/>
  <c r="M24" i="54" s="1"/>
  <c r="G27" i="53"/>
  <c r="G4" i="54"/>
  <c r="G24" i="54" s="1"/>
  <c r="F26" i="52"/>
  <c r="F4" i="53"/>
  <c r="F25" i="53" s="1"/>
  <c r="S4" i="53"/>
  <c r="S25" i="53" s="1"/>
  <c r="S26" i="52"/>
  <c r="P26" i="52"/>
  <c r="P4" i="53"/>
  <c r="P25" i="53" s="1"/>
  <c r="K27" i="53"/>
  <c r="K4" i="54"/>
  <c r="K24" i="54" s="1"/>
  <c r="AA27" i="53"/>
  <c r="AA4" i="54"/>
  <c r="AA24" i="54" s="1"/>
  <c r="N27" i="53"/>
  <c r="N4" i="54"/>
  <c r="N24" i="54" s="1"/>
  <c r="E26" i="52"/>
  <c r="E4" i="53"/>
  <c r="E25" i="53" s="1"/>
  <c r="U26" i="52"/>
  <c r="U4" i="53"/>
  <c r="U25" i="53" s="1"/>
  <c r="X16" i="43"/>
  <c r="Z26" i="54" l="1"/>
  <c r="Z4" i="56"/>
  <c r="Z25" i="56" s="1"/>
  <c r="N26" i="54"/>
  <c r="N4" i="56"/>
  <c r="N25" i="56" s="1"/>
  <c r="G26" i="54"/>
  <c r="G4" i="56"/>
  <c r="G25" i="56" s="1"/>
  <c r="D27" i="53"/>
  <c r="D4" i="54"/>
  <c r="D24" i="54" s="1"/>
  <c r="L27" i="53"/>
  <c r="L4" i="54"/>
  <c r="L24" i="54" s="1"/>
  <c r="H27" i="53"/>
  <c r="H4" i="54"/>
  <c r="H24" i="54" s="1"/>
  <c r="W27" i="53"/>
  <c r="W4" i="54"/>
  <c r="W24" i="54" s="1"/>
  <c r="O26" i="54"/>
  <c r="O4" i="56"/>
  <c r="O25" i="56" s="1"/>
  <c r="Q4" i="56"/>
  <c r="Q25" i="56" s="1"/>
  <c r="Q26" i="54"/>
  <c r="K26" i="54"/>
  <c r="K4" i="56"/>
  <c r="K25" i="56" s="1"/>
  <c r="S27" i="53"/>
  <c r="S4" i="54"/>
  <c r="S24" i="54" s="1"/>
  <c r="AA28" i="52"/>
  <c r="Y26" i="54"/>
  <c r="Y4" i="56"/>
  <c r="Y25" i="56" s="1"/>
  <c r="R26" i="54"/>
  <c r="R4" i="56"/>
  <c r="R25" i="56" s="1"/>
  <c r="V26" i="54"/>
  <c r="V4" i="56"/>
  <c r="V25" i="56" s="1"/>
  <c r="X26" i="54"/>
  <c r="X4" i="56"/>
  <c r="X25" i="56" s="1"/>
  <c r="U27" i="53"/>
  <c r="U4" i="54"/>
  <c r="U24" i="54" s="1"/>
  <c r="E27" i="53"/>
  <c r="E4" i="54"/>
  <c r="E24" i="54" s="1"/>
  <c r="AA26" i="54"/>
  <c r="AA4" i="56"/>
  <c r="AA25" i="56" s="1"/>
  <c r="P27" i="53"/>
  <c r="P4" i="54"/>
  <c r="P24" i="54" s="1"/>
  <c r="P34" i="53"/>
  <c r="F27" i="53"/>
  <c r="F4" i="54"/>
  <c r="F24" i="54" s="1"/>
  <c r="M26" i="54"/>
  <c r="M4" i="56"/>
  <c r="M25" i="56" s="1"/>
  <c r="J26" i="54"/>
  <c r="J4" i="56"/>
  <c r="J25" i="56" s="1"/>
  <c r="I26" i="54"/>
  <c r="I4" i="56"/>
  <c r="I25" i="56" s="1"/>
  <c r="I27" i="56" l="1"/>
  <c r="I4" i="57"/>
  <c r="I25" i="57" s="1"/>
  <c r="K27" i="56"/>
  <c r="K4" i="57"/>
  <c r="K25" i="57" s="1"/>
  <c r="H4" i="56"/>
  <c r="H25" i="56" s="1"/>
  <c r="H26" i="54"/>
  <c r="P26" i="54"/>
  <c r="P4" i="56"/>
  <c r="P25" i="56" s="1"/>
  <c r="E26" i="54"/>
  <c r="E4" i="56"/>
  <c r="E25" i="56" s="1"/>
  <c r="X27" i="56"/>
  <c r="X4" i="57"/>
  <c r="X25" i="57" s="1"/>
  <c r="R27" i="56"/>
  <c r="R4" i="57"/>
  <c r="R25" i="57" s="1"/>
  <c r="M27" i="56"/>
  <c r="M4" i="57"/>
  <c r="M25" i="57" s="1"/>
  <c r="O27" i="56"/>
  <c r="O4" i="57"/>
  <c r="O25" i="57" s="1"/>
  <c r="N27" i="56"/>
  <c r="N4" i="57"/>
  <c r="N25" i="57" s="1"/>
  <c r="F26" i="54"/>
  <c r="F4" i="56"/>
  <c r="F25" i="56" s="1"/>
  <c r="S26" i="54"/>
  <c r="S4" i="56"/>
  <c r="S25" i="56" s="1"/>
  <c r="W26" i="54"/>
  <c r="W4" i="56"/>
  <c r="W25" i="56" s="1"/>
  <c r="L4" i="56"/>
  <c r="L25" i="56" s="1"/>
  <c r="L26" i="54"/>
  <c r="G27" i="56"/>
  <c r="G4" i="57"/>
  <c r="G25" i="57" s="1"/>
  <c r="Z27" i="56"/>
  <c r="Z4" i="57"/>
  <c r="Z25" i="57" s="1"/>
  <c r="D26" i="54"/>
  <c r="D4" i="56"/>
  <c r="D25" i="56" s="1"/>
  <c r="J27" i="56"/>
  <c r="J4" i="57"/>
  <c r="J25" i="57" s="1"/>
  <c r="AA27" i="56"/>
  <c r="AA4" i="57"/>
  <c r="AA25" i="57" s="1"/>
  <c r="U26" i="54"/>
  <c r="U4" i="56"/>
  <c r="U25" i="56" s="1"/>
  <c r="V27" i="56"/>
  <c r="V4" i="57"/>
  <c r="V25" i="57" s="1"/>
  <c r="Y27" i="56"/>
  <c r="Y4" i="57"/>
  <c r="Y25" i="57" s="1"/>
  <c r="Q27" i="56"/>
  <c r="Q4" i="57"/>
  <c r="Q25" i="57" s="1"/>
  <c r="AA29" i="53"/>
  <c r="O14" i="43"/>
  <c r="U27" i="56" l="1"/>
  <c r="U4" i="57"/>
  <c r="U25" i="57" s="1"/>
  <c r="N27" i="57"/>
  <c r="N4" i="58"/>
  <c r="N25" i="58" s="1"/>
  <c r="K27" i="57"/>
  <c r="K4" i="58"/>
  <c r="K25" i="58" s="1"/>
  <c r="L27" i="56"/>
  <c r="L4" i="57"/>
  <c r="L25" i="57" s="1"/>
  <c r="Y27" i="57"/>
  <c r="Y4" i="58"/>
  <c r="Y25" i="58" s="1"/>
  <c r="J27" i="57"/>
  <c r="J4" i="58"/>
  <c r="J25" i="58" s="1"/>
  <c r="S27" i="56"/>
  <c r="S4" i="57"/>
  <c r="S25" i="57" s="1"/>
  <c r="X27" i="57"/>
  <c r="X4" i="58"/>
  <c r="X25" i="58" s="1"/>
  <c r="Q27" i="57"/>
  <c r="Q4" i="58"/>
  <c r="Q25" i="58" s="1"/>
  <c r="AA27" i="57"/>
  <c r="AA4" i="58"/>
  <c r="AA25" i="58" s="1"/>
  <c r="G27" i="57"/>
  <c r="G4" i="58"/>
  <c r="G25" i="58" s="1"/>
  <c r="F27" i="56"/>
  <c r="F4" i="57"/>
  <c r="F25" i="57" s="1"/>
  <c r="R4" i="58"/>
  <c r="R25" i="58" s="1"/>
  <c r="R27" i="57"/>
  <c r="E27" i="56"/>
  <c r="E4" i="57"/>
  <c r="E25" i="57" s="1"/>
  <c r="I27" i="57"/>
  <c r="I4" i="58"/>
  <c r="I25" i="58" s="1"/>
  <c r="Z27" i="57"/>
  <c r="Z4" i="58"/>
  <c r="Z25" i="58" s="1"/>
  <c r="M27" i="57"/>
  <c r="M4" i="58"/>
  <c r="M25" i="58" s="1"/>
  <c r="P27" i="56"/>
  <c r="P4" i="57"/>
  <c r="P25" i="57" s="1"/>
  <c r="V27" i="57"/>
  <c r="V4" i="58"/>
  <c r="V25" i="58" s="1"/>
  <c r="D27" i="56"/>
  <c r="D4" i="57"/>
  <c r="D25" i="57" s="1"/>
  <c r="W27" i="56"/>
  <c r="W4" i="57"/>
  <c r="W25" i="57" s="1"/>
  <c r="O27" i="57"/>
  <c r="O4" i="58"/>
  <c r="O25" i="58" s="1"/>
  <c r="AA28" i="54"/>
  <c r="H27" i="56"/>
  <c r="H4" i="57"/>
  <c r="H25" i="57" s="1"/>
  <c r="K30" i="43"/>
  <c r="AA29" i="56" l="1"/>
  <c r="H27" i="57"/>
  <c r="H4" i="58"/>
  <c r="H25" i="58" s="1"/>
  <c r="W4" i="58"/>
  <c r="W25" i="58" s="1"/>
  <c r="W27" i="57"/>
  <c r="M27" i="58"/>
  <c r="M4" i="60"/>
  <c r="M25" i="60" s="1"/>
  <c r="G4" i="60"/>
  <c r="G25" i="60" s="1"/>
  <c r="G27" i="58"/>
  <c r="Q27" i="58"/>
  <c r="Q4" i="60"/>
  <c r="Q25" i="60" s="1"/>
  <c r="S27" i="57"/>
  <c r="S4" i="58"/>
  <c r="S25" i="58" s="1"/>
  <c r="Y27" i="58"/>
  <c r="Y4" i="60"/>
  <c r="Y25" i="60" s="1"/>
  <c r="L27" i="57"/>
  <c r="L4" i="58"/>
  <c r="L25" i="58" s="1"/>
  <c r="V27" i="58"/>
  <c r="V4" i="60"/>
  <c r="V25" i="60" s="1"/>
  <c r="I27" i="58"/>
  <c r="I4" i="60"/>
  <c r="I25" i="60" s="1"/>
  <c r="R27" i="58"/>
  <c r="R4" i="60"/>
  <c r="R25" i="60" s="1"/>
  <c r="K27" i="58"/>
  <c r="K4" i="60"/>
  <c r="K25" i="60" s="1"/>
  <c r="U27" i="57"/>
  <c r="U4" i="58"/>
  <c r="U25" i="58" s="1"/>
  <c r="N27" i="58"/>
  <c r="N4" i="60"/>
  <c r="N25" i="60" s="1"/>
  <c r="O27" i="58"/>
  <c r="O4" i="60"/>
  <c r="O25" i="60" s="1"/>
  <c r="D27" i="57"/>
  <c r="D4" i="58"/>
  <c r="D25" i="58" s="1"/>
  <c r="P27" i="57"/>
  <c r="P4" i="58"/>
  <c r="P25" i="58" s="1"/>
  <c r="Z27" i="58"/>
  <c r="Z4" i="60"/>
  <c r="Z25" i="60" s="1"/>
  <c r="E27" i="57"/>
  <c r="E4" i="58"/>
  <c r="E25" i="58" s="1"/>
  <c r="F27" i="57"/>
  <c r="F4" i="58"/>
  <c r="F25" i="58" s="1"/>
  <c r="AA27" i="58"/>
  <c r="AA4" i="60"/>
  <c r="AA25" i="60" s="1"/>
  <c r="X27" i="58"/>
  <c r="X4" i="60"/>
  <c r="X25" i="60" s="1"/>
  <c r="J27" i="58"/>
  <c r="J4" i="60"/>
  <c r="J25" i="60" s="1"/>
  <c r="X27" i="60" l="1"/>
  <c r="X4" i="62"/>
  <c r="X25" i="62" s="1"/>
  <c r="D4" i="60"/>
  <c r="D25" i="60" s="1"/>
  <c r="D27" i="58"/>
  <c r="L27" i="58"/>
  <c r="L4" i="60"/>
  <c r="L25" i="60" s="1"/>
  <c r="AA29" i="57"/>
  <c r="G27" i="60"/>
  <c r="G4" i="62"/>
  <c r="G25" i="62" s="1"/>
  <c r="W27" i="58"/>
  <c r="W4" i="60"/>
  <c r="W25" i="60" s="1"/>
  <c r="Z27" i="60"/>
  <c r="Z4" i="62"/>
  <c r="Z25" i="62" s="1"/>
  <c r="N27" i="60"/>
  <c r="N4" i="62"/>
  <c r="N25" i="62" s="1"/>
  <c r="I27" i="60"/>
  <c r="I4" i="62"/>
  <c r="I25" i="62" s="1"/>
  <c r="J27" i="60"/>
  <c r="J4" i="62"/>
  <c r="J25" i="62" s="1"/>
  <c r="E27" i="58"/>
  <c r="E4" i="60"/>
  <c r="E25" i="60" s="1"/>
  <c r="P27" i="58"/>
  <c r="P4" i="60"/>
  <c r="P25" i="60" s="1"/>
  <c r="O27" i="60"/>
  <c r="O4" i="62"/>
  <c r="O25" i="62" s="1"/>
  <c r="U27" i="58"/>
  <c r="U4" i="60"/>
  <c r="U25" i="60" s="1"/>
  <c r="R27" i="60"/>
  <c r="R4" i="62"/>
  <c r="R25" i="62" s="1"/>
  <c r="V27" i="60"/>
  <c r="V4" i="62"/>
  <c r="V25" i="62" s="1"/>
  <c r="Y27" i="60"/>
  <c r="Y4" i="62"/>
  <c r="Y25" i="62" s="1"/>
  <c r="Q27" i="60"/>
  <c r="Q4" i="62"/>
  <c r="Q25" i="62" s="1"/>
  <c r="M27" i="60"/>
  <c r="M4" i="62"/>
  <c r="M25" i="62" s="1"/>
  <c r="H27" i="58"/>
  <c r="H4" i="60"/>
  <c r="H25" i="60" s="1"/>
  <c r="F27" i="58"/>
  <c r="F4" i="60"/>
  <c r="F25" i="60" s="1"/>
  <c r="K27" i="60"/>
  <c r="K4" i="62"/>
  <c r="K25" i="62" s="1"/>
  <c r="S4" i="60"/>
  <c r="S25" i="60" s="1"/>
  <c r="S27" i="58"/>
  <c r="AA27" i="60"/>
  <c r="AA4" i="62"/>
  <c r="AA25" i="62" s="1"/>
  <c r="W17" i="42"/>
  <c r="S27" i="60" l="1"/>
  <c r="S4" i="62"/>
  <c r="S25" i="62" s="1"/>
  <c r="K27" i="62"/>
  <c r="K4" i="63"/>
  <c r="K28" i="63" s="1"/>
  <c r="V4" i="63"/>
  <c r="V28" i="63" s="1"/>
  <c r="V27" i="62"/>
  <c r="P27" i="60"/>
  <c r="P4" i="62"/>
  <c r="P25" i="62" s="1"/>
  <c r="J27" i="62"/>
  <c r="J4" i="63"/>
  <c r="J28" i="63" s="1"/>
  <c r="N27" i="62"/>
  <c r="N4" i="63"/>
  <c r="N28" i="63" s="1"/>
  <c r="W27" i="60"/>
  <c r="W4" i="62"/>
  <c r="W25" i="62" s="1"/>
  <c r="D27" i="60"/>
  <c r="D4" i="62"/>
  <c r="D25" i="62" s="1"/>
  <c r="AA27" i="62"/>
  <c r="AA4" i="63"/>
  <c r="AA28" i="63" s="1"/>
  <c r="Q4" i="63"/>
  <c r="Q28" i="63" s="1"/>
  <c r="Q27" i="62"/>
  <c r="U27" i="60"/>
  <c r="U4" i="62"/>
  <c r="U25" i="62" s="1"/>
  <c r="L27" i="60"/>
  <c r="L4" i="62"/>
  <c r="L25" i="62" s="1"/>
  <c r="X27" i="62"/>
  <c r="X4" i="63"/>
  <c r="X28" i="63" s="1"/>
  <c r="AA29" i="58"/>
  <c r="H27" i="60"/>
  <c r="H4" i="62"/>
  <c r="H25" i="62" s="1"/>
  <c r="F27" i="60"/>
  <c r="F4" i="62"/>
  <c r="F25" i="62" s="1"/>
  <c r="M27" i="62"/>
  <c r="M4" i="63"/>
  <c r="M28" i="63" s="1"/>
  <c r="Y27" i="62"/>
  <c r="Y4" i="63"/>
  <c r="Y28" i="63" s="1"/>
  <c r="R27" i="62"/>
  <c r="R4" i="63"/>
  <c r="R28" i="63" s="1"/>
  <c r="O27" i="62"/>
  <c r="O4" i="63"/>
  <c r="O28" i="63" s="1"/>
  <c r="E27" i="60"/>
  <c r="E4" i="62"/>
  <c r="E25" i="62" s="1"/>
  <c r="I27" i="62"/>
  <c r="I4" i="63"/>
  <c r="I28" i="63" s="1"/>
  <c r="Z27" i="62"/>
  <c r="Z4" i="63"/>
  <c r="Z28" i="63" s="1"/>
  <c r="G27" i="62"/>
  <c r="G4" i="63"/>
  <c r="G28" i="63" s="1"/>
  <c r="E15" i="42"/>
  <c r="L27" i="62" l="1"/>
  <c r="L4" i="63"/>
  <c r="L28" i="63" s="1"/>
  <c r="K30" i="63"/>
  <c r="K4" i="64"/>
  <c r="K30" i="64" s="1"/>
  <c r="G30" i="63"/>
  <c r="G4" i="64"/>
  <c r="G30" i="64" s="1"/>
  <c r="O30" i="63"/>
  <c r="O4" i="64"/>
  <c r="O30" i="64" s="1"/>
  <c r="Y30" i="63"/>
  <c r="Y4" i="64"/>
  <c r="Y30" i="64" s="1"/>
  <c r="F27" i="62"/>
  <c r="F4" i="63"/>
  <c r="F28" i="63" s="1"/>
  <c r="Q30" i="63"/>
  <c r="Q4" i="64"/>
  <c r="Q30" i="64" s="1"/>
  <c r="AA29" i="60"/>
  <c r="D27" i="62"/>
  <c r="D4" i="63"/>
  <c r="D28" i="63" s="1"/>
  <c r="P27" i="62"/>
  <c r="P4" i="63"/>
  <c r="P28" i="63" s="1"/>
  <c r="X30" i="63"/>
  <c r="X4" i="64"/>
  <c r="X30" i="64" s="1"/>
  <c r="U27" i="62"/>
  <c r="U4" i="63"/>
  <c r="U28" i="63" s="1"/>
  <c r="AA30" i="63"/>
  <c r="AA4" i="64"/>
  <c r="AA30" i="64" s="1"/>
  <c r="W27" i="62"/>
  <c r="W4" i="63"/>
  <c r="W28" i="63" s="1"/>
  <c r="J30" i="63"/>
  <c r="J4" i="64"/>
  <c r="J30" i="64" s="1"/>
  <c r="S27" i="62"/>
  <c r="S4" i="63"/>
  <c r="S28" i="63" s="1"/>
  <c r="N30" i="63"/>
  <c r="N4" i="64"/>
  <c r="N30" i="64" s="1"/>
  <c r="I30" i="63"/>
  <c r="I4" i="64"/>
  <c r="I30" i="64" s="1"/>
  <c r="Z30" i="63"/>
  <c r="Z4" i="64"/>
  <c r="Z30" i="64" s="1"/>
  <c r="E27" i="62"/>
  <c r="E4" i="63"/>
  <c r="E28" i="63" s="1"/>
  <c r="R30" i="63"/>
  <c r="R4" i="64"/>
  <c r="R30" i="64" s="1"/>
  <c r="M30" i="63"/>
  <c r="M4" i="64"/>
  <c r="M30" i="64" s="1"/>
  <c r="H27" i="62"/>
  <c r="H4" i="63"/>
  <c r="H28" i="63" s="1"/>
  <c r="V30" i="63"/>
  <c r="V4" i="64"/>
  <c r="V30" i="64" s="1"/>
  <c r="S14" i="42"/>
  <c r="AA29" i="62" l="1"/>
  <c r="F30" i="63"/>
  <c r="F4" i="64"/>
  <c r="F30" i="64" s="1"/>
  <c r="O32" i="64"/>
  <c r="O4" i="65"/>
  <c r="O26" i="65" s="1"/>
  <c r="K32" i="64"/>
  <c r="K4" i="65"/>
  <c r="K26" i="65" s="1"/>
  <c r="I32" i="64"/>
  <c r="I4" i="65"/>
  <c r="I26" i="65" s="1"/>
  <c r="W30" i="63"/>
  <c r="W4" i="64"/>
  <c r="W30" i="64" s="1"/>
  <c r="U30" i="63"/>
  <c r="U4" i="64"/>
  <c r="U30" i="64" s="1"/>
  <c r="P30" i="63"/>
  <c r="P4" i="64"/>
  <c r="P30" i="64" s="1"/>
  <c r="P32" i="64" s="1"/>
  <c r="V32" i="64"/>
  <c r="V4" i="65"/>
  <c r="V26" i="65" s="1"/>
  <c r="E30" i="63"/>
  <c r="E4" i="64"/>
  <c r="E30" i="64" s="1"/>
  <c r="Q32" i="64"/>
  <c r="Q4" i="65"/>
  <c r="Q26" i="65" s="1"/>
  <c r="Y32" i="64"/>
  <c r="Y4" i="65"/>
  <c r="Y26" i="65" s="1"/>
  <c r="G32" i="64"/>
  <c r="G4" i="65"/>
  <c r="G26" i="65" s="1"/>
  <c r="L30" i="63"/>
  <c r="L4" i="64"/>
  <c r="L30" i="64" s="1"/>
  <c r="M32" i="64"/>
  <c r="M4" i="65"/>
  <c r="M26" i="65" s="1"/>
  <c r="S30" i="63"/>
  <c r="S4" i="64"/>
  <c r="S30" i="64" s="1"/>
  <c r="H30" i="63"/>
  <c r="H4" i="64"/>
  <c r="H30" i="64" s="1"/>
  <c r="R32" i="64"/>
  <c r="R4" i="65"/>
  <c r="R26" i="65" s="1"/>
  <c r="Z32" i="64"/>
  <c r="Z4" i="65"/>
  <c r="Z26" i="65" s="1"/>
  <c r="N32" i="64"/>
  <c r="N4" i="65"/>
  <c r="N26" i="65" s="1"/>
  <c r="J32" i="64"/>
  <c r="J4" i="65"/>
  <c r="J26" i="65" s="1"/>
  <c r="AA32" i="64"/>
  <c r="AA4" i="65"/>
  <c r="AA26" i="65" s="1"/>
  <c r="X32" i="64"/>
  <c r="X4" i="65"/>
  <c r="X26" i="65" s="1"/>
  <c r="D30" i="63"/>
  <c r="D4" i="64"/>
  <c r="D30" i="64" s="1"/>
  <c r="E30" i="42"/>
  <c r="E31" i="42" s="1"/>
  <c r="AA32" i="63" l="1"/>
  <c r="R28" i="65"/>
  <c r="S4" i="66"/>
  <c r="S28" i="66" s="1"/>
  <c r="J28" i="65"/>
  <c r="J4" i="66"/>
  <c r="J28" i="66" s="1"/>
  <c r="H32" i="64"/>
  <c r="H4" i="65"/>
  <c r="H26" i="65" s="1"/>
  <c r="N28" i="65"/>
  <c r="N4" i="66"/>
  <c r="N28" i="66" s="1"/>
  <c r="L32" i="64"/>
  <c r="L4" i="65"/>
  <c r="L26" i="65" s="1"/>
  <c r="Y28" i="65"/>
  <c r="Z4" i="66"/>
  <c r="Z28" i="66" s="1"/>
  <c r="W32" i="64"/>
  <c r="W4" i="65"/>
  <c r="W26" i="65" s="1"/>
  <c r="K28" i="65"/>
  <c r="K4" i="66"/>
  <c r="K28" i="66" s="1"/>
  <c r="F32" i="64"/>
  <c r="F4" i="65"/>
  <c r="F26" i="65" s="1"/>
  <c r="D32" i="64"/>
  <c r="D4" i="65"/>
  <c r="D26" i="65" s="1"/>
  <c r="S32" i="64"/>
  <c r="S4" i="65"/>
  <c r="S26" i="65" s="1"/>
  <c r="T37" i="64"/>
  <c r="E32" i="64"/>
  <c r="E4" i="65"/>
  <c r="E26" i="65" s="1"/>
  <c r="AA28" i="65"/>
  <c r="AB4" i="66"/>
  <c r="AB28" i="66" s="1"/>
  <c r="X28" i="65"/>
  <c r="Y4" i="66"/>
  <c r="Y28" i="66" s="1"/>
  <c r="Z28" i="65"/>
  <c r="AA4" i="66"/>
  <c r="AA28" i="66" s="1"/>
  <c r="M28" i="65"/>
  <c r="M4" i="66"/>
  <c r="M28" i="66" s="1"/>
  <c r="G28" i="65"/>
  <c r="G4" i="66"/>
  <c r="G28" i="66" s="1"/>
  <c r="Q28" i="65"/>
  <c r="R4" i="66"/>
  <c r="R28" i="66" s="1"/>
  <c r="V28" i="65"/>
  <c r="W4" i="66"/>
  <c r="W28" i="66" s="1"/>
  <c r="U32" i="64"/>
  <c r="U4" i="65"/>
  <c r="U26" i="65" s="1"/>
  <c r="I28" i="65"/>
  <c r="I4" i="66"/>
  <c r="I28" i="66" s="1"/>
  <c r="O28" i="65"/>
  <c r="O4" i="66"/>
  <c r="O28" i="66" s="1"/>
  <c r="W13" i="42"/>
  <c r="D28" i="65" l="1"/>
  <c r="D4" i="66"/>
  <c r="D28" i="66" s="1"/>
  <c r="K30" i="66"/>
  <c r="K35" i="66"/>
  <c r="Z30" i="66"/>
  <c r="Z35" i="66"/>
  <c r="Z36" i="66" s="1"/>
  <c r="N30" i="66"/>
  <c r="N35" i="66"/>
  <c r="J30" i="66"/>
  <c r="J35" i="66"/>
  <c r="G30" i="66"/>
  <c r="G35" i="66"/>
  <c r="G36" i="66" s="1"/>
  <c r="AA30" i="66"/>
  <c r="AA35" i="66"/>
  <c r="AB30" i="66"/>
  <c r="AB35" i="66"/>
  <c r="AA34" i="64"/>
  <c r="I35" i="66"/>
  <c r="I36" i="66" s="1"/>
  <c r="I30" i="66"/>
  <c r="T4" i="66"/>
  <c r="T28" i="66" s="1"/>
  <c r="S28" i="65"/>
  <c r="F28" i="65"/>
  <c r="F4" i="66"/>
  <c r="F28" i="66" s="1"/>
  <c r="W28" i="65"/>
  <c r="X4" i="66"/>
  <c r="X28" i="66" s="1"/>
  <c r="L28" i="65"/>
  <c r="L4" i="66"/>
  <c r="L28" i="66" s="1"/>
  <c r="H28" i="65"/>
  <c r="H4" i="66"/>
  <c r="H28" i="66" s="1"/>
  <c r="S30" i="66"/>
  <c r="S35" i="66"/>
  <c r="W30" i="66"/>
  <c r="W35" i="66"/>
  <c r="W36" i="66" s="1"/>
  <c r="O30" i="66"/>
  <c r="O35" i="66"/>
  <c r="O36" i="66" s="1"/>
  <c r="U28" i="65"/>
  <c r="V4" i="66"/>
  <c r="V28" i="66" s="1"/>
  <c r="R30" i="66"/>
  <c r="R35" i="66"/>
  <c r="R36" i="66" s="1"/>
  <c r="M30" i="66"/>
  <c r="M35" i="66"/>
  <c r="Y30" i="66"/>
  <c r="Y35" i="66"/>
  <c r="Y36" i="66" s="1"/>
  <c r="E28" i="65"/>
  <c r="E4" i="66"/>
  <c r="E28" i="66" s="1"/>
  <c r="R35" i="42"/>
  <c r="T30" i="66" l="1"/>
  <c r="T35" i="66"/>
  <c r="L30" i="66"/>
  <c r="L35" i="66"/>
  <c r="L36" i="66" s="1"/>
  <c r="F30" i="66"/>
  <c r="F35" i="66"/>
  <c r="D30" i="66"/>
  <c r="D35" i="66"/>
  <c r="D36" i="66" s="1"/>
  <c r="E30" i="66"/>
  <c r="E35" i="66"/>
  <c r="V30" i="66"/>
  <c r="V35" i="66"/>
  <c r="V36" i="66" s="1"/>
  <c r="H30" i="66"/>
  <c r="H35" i="66"/>
  <c r="X30" i="66"/>
  <c r="X35" i="66"/>
  <c r="X36" i="66" s="1"/>
  <c r="AA30" i="65"/>
  <c r="AB36" i="66" l="1"/>
  <c r="AB32" i="66"/>
  <c r="L11" i="40"/>
  <c r="W11" i="40"/>
  <c r="S31" i="40"/>
  <c r="R35" i="40"/>
  <c r="AB38" i="66" l="1"/>
  <c r="L31" i="39"/>
  <c r="W31" i="39" l="1"/>
  <c r="Q30" i="39"/>
  <c r="Q31" i="39" s="1"/>
  <c r="S12" i="39" l="1"/>
  <c r="R35" i="39" l="1"/>
  <c r="F15" i="38" l="1"/>
  <c r="R35" i="38" l="1"/>
  <c r="K13" i="38"/>
  <c r="I33" i="36" l="1"/>
  <c r="L33" i="36"/>
  <c r="I12" i="35" l="1"/>
  <c r="W16" i="35"/>
  <c r="F26" i="34" l="1"/>
  <c r="F28" i="34" l="1"/>
  <c r="F4" i="35"/>
  <c r="F26" i="35" s="1"/>
  <c r="W13" i="34"/>
  <c r="F28" i="35" l="1"/>
  <c r="F4" i="36"/>
  <c r="F26" i="36" s="1"/>
  <c r="E4" i="34"/>
  <c r="E26" i="34" s="1"/>
  <c r="G4" i="34"/>
  <c r="G26" i="34" s="1"/>
  <c r="H4" i="34"/>
  <c r="H26" i="34" s="1"/>
  <c r="J4" i="34"/>
  <c r="J26" i="34" s="1"/>
  <c r="J4" i="35" s="1"/>
  <c r="J26" i="35" s="1"/>
  <c r="K4" i="34"/>
  <c r="K26" i="34" s="1"/>
  <c r="L4" i="34"/>
  <c r="L26" i="34" s="1"/>
  <c r="M4" i="34"/>
  <c r="M26" i="34" s="1"/>
  <c r="N4" i="34"/>
  <c r="N26" i="34" s="1"/>
  <c r="N4" i="35" s="1"/>
  <c r="N26" i="35" s="1"/>
  <c r="O4" i="34"/>
  <c r="O26" i="34" s="1"/>
  <c r="O4" i="35" s="1"/>
  <c r="O26" i="35" s="1"/>
  <c r="P4" i="34"/>
  <c r="P26" i="34" s="1"/>
  <c r="Q4" i="34"/>
  <c r="Q26" i="34" s="1"/>
  <c r="R4" i="34"/>
  <c r="R26" i="34" s="1"/>
  <c r="S4" i="34"/>
  <c r="T4" i="34"/>
  <c r="T26" i="34" s="1"/>
  <c r="U4" i="34"/>
  <c r="U26" i="34" s="1"/>
  <c r="W4" i="34"/>
  <c r="W26" i="34" s="1"/>
  <c r="Y4" i="34"/>
  <c r="Y26" i="34" s="1"/>
  <c r="Z4" i="34"/>
  <c r="Z26" i="34" s="1"/>
  <c r="D4" i="34"/>
  <c r="D26" i="34" s="1"/>
  <c r="V26" i="34"/>
  <c r="S26" i="34"/>
  <c r="W35" i="33"/>
  <c r="U38" i="33"/>
  <c r="Y38" i="33"/>
  <c r="X38" i="33"/>
  <c r="V38" i="33"/>
  <c r="S38" i="33"/>
  <c r="R38" i="33"/>
  <c r="F38" i="33"/>
  <c r="D41" i="33"/>
  <c r="Y41" i="33"/>
  <c r="X41" i="33"/>
  <c r="I41" i="33"/>
  <c r="L41" i="33"/>
  <c r="M41" i="33"/>
  <c r="N41" i="33"/>
  <c r="P41" i="33"/>
  <c r="V41" i="33"/>
  <c r="U31" i="33"/>
  <c r="U41" i="33" s="1"/>
  <c r="T38" i="33"/>
  <c r="Q38" i="33"/>
  <c r="D38" i="33"/>
  <c r="P38" i="33"/>
  <c r="O38" i="33"/>
  <c r="N38" i="33"/>
  <c r="M38" i="33"/>
  <c r="L38" i="33"/>
  <c r="K38" i="33"/>
  <c r="J38" i="33"/>
  <c r="I38" i="33"/>
  <c r="G38" i="33"/>
  <c r="E38" i="33"/>
  <c r="T35" i="33"/>
  <c r="T41" i="33" s="1"/>
  <c r="S35" i="33"/>
  <c r="S41" i="33" s="1"/>
  <c r="R35" i="33"/>
  <c r="R36" i="33" s="1"/>
  <c r="Q35" i="33"/>
  <c r="Q36" i="33" s="1"/>
  <c r="O35" i="33"/>
  <c r="O36" i="33" s="1"/>
  <c r="K35" i="33"/>
  <c r="K41" i="33" s="1"/>
  <c r="J35" i="33"/>
  <c r="J41" i="33" s="1"/>
  <c r="G35" i="33"/>
  <c r="G36" i="33" s="1"/>
  <c r="F35" i="33"/>
  <c r="F41" i="33" s="1"/>
  <c r="E35" i="33"/>
  <c r="E36" i="33" s="1"/>
  <c r="T27" i="29"/>
  <c r="R41" i="33" l="1"/>
  <c r="G41" i="33"/>
  <c r="Q41" i="33"/>
  <c r="O41" i="33"/>
  <c r="E41" i="33"/>
  <c r="F36" i="33"/>
  <c r="K36" i="33"/>
  <c r="K28" i="34"/>
  <c r="K4" i="35"/>
  <c r="K26" i="35" s="1"/>
  <c r="G28" i="34"/>
  <c r="G4" i="35"/>
  <c r="G26" i="35" s="1"/>
  <c r="O28" i="35"/>
  <c r="O4" i="36"/>
  <c r="O26" i="36" s="1"/>
  <c r="D28" i="34"/>
  <c r="D4" i="35"/>
  <c r="D26" i="35" s="1"/>
  <c r="W28" i="34"/>
  <c r="W4" i="35"/>
  <c r="W26" i="35" s="1"/>
  <c r="R28" i="34"/>
  <c r="R4" i="35"/>
  <c r="R26" i="35" s="1"/>
  <c r="N28" i="35"/>
  <c r="N4" i="36"/>
  <c r="N26" i="36" s="1"/>
  <c r="J28" i="35"/>
  <c r="J4" i="36"/>
  <c r="J26" i="36" s="1"/>
  <c r="E4" i="35"/>
  <c r="E26" i="35" s="1"/>
  <c r="E28" i="34"/>
  <c r="S28" i="34"/>
  <c r="S4" i="35"/>
  <c r="S26" i="35" s="1"/>
  <c r="Z28" i="34"/>
  <c r="Z4" i="35"/>
  <c r="Z26" i="35" s="1"/>
  <c r="U28" i="34"/>
  <c r="U4" i="35"/>
  <c r="U26" i="35" s="1"/>
  <c r="Q28" i="34"/>
  <c r="Q4" i="35"/>
  <c r="Q26" i="35" s="1"/>
  <c r="M28" i="34"/>
  <c r="M4" i="35"/>
  <c r="M26" i="35" s="1"/>
  <c r="F4" i="37"/>
  <c r="F26" i="37" s="1"/>
  <c r="F28" i="36"/>
  <c r="F35" i="36"/>
  <c r="V28" i="34"/>
  <c r="V4" i="35"/>
  <c r="V26" i="35" s="1"/>
  <c r="Y28" i="34"/>
  <c r="Y4" i="35"/>
  <c r="Y26" i="35" s="1"/>
  <c r="T28" i="34"/>
  <c r="T4" i="35"/>
  <c r="T26" i="35" s="1"/>
  <c r="P28" i="34"/>
  <c r="P4" i="35"/>
  <c r="P26" i="35" s="1"/>
  <c r="L28" i="34"/>
  <c r="L4" i="35"/>
  <c r="L26" i="35" s="1"/>
  <c r="H28" i="34"/>
  <c r="H4" i="35"/>
  <c r="H26" i="35" s="1"/>
  <c r="N28" i="34"/>
  <c r="J28" i="34"/>
  <c r="O28" i="34"/>
  <c r="U32" i="33"/>
  <c r="U33" i="33" s="1"/>
  <c r="M28" i="35" l="1"/>
  <c r="M4" i="36"/>
  <c r="M26" i="36" s="1"/>
  <c r="U28" i="35"/>
  <c r="U4" i="36"/>
  <c r="U26" i="36" s="1"/>
  <c r="S28" i="35"/>
  <c r="S4" i="36"/>
  <c r="S26" i="36" s="1"/>
  <c r="J4" i="37"/>
  <c r="J26" i="37" s="1"/>
  <c r="J35" i="36"/>
  <c r="J28" i="36"/>
  <c r="R28" i="35"/>
  <c r="R4" i="36"/>
  <c r="R26" i="36" s="1"/>
  <c r="D28" i="35"/>
  <c r="D4" i="36"/>
  <c r="D26" i="36" s="1"/>
  <c r="G28" i="35"/>
  <c r="G4" i="36"/>
  <c r="G26" i="36" s="1"/>
  <c r="P28" i="35"/>
  <c r="P4" i="36"/>
  <c r="P26" i="36" s="1"/>
  <c r="Q28" i="35"/>
  <c r="Q4" i="36"/>
  <c r="Q26" i="36" s="1"/>
  <c r="Z28" i="35"/>
  <c r="Z4" i="36"/>
  <c r="Z26" i="36" s="1"/>
  <c r="N4" i="37"/>
  <c r="N26" i="37" s="1"/>
  <c r="N28" i="36"/>
  <c r="N35" i="36"/>
  <c r="W4" i="36"/>
  <c r="W26" i="36" s="1"/>
  <c r="W28" i="35"/>
  <c r="O4" i="37"/>
  <c r="O26" i="37" s="1"/>
  <c r="O28" i="36"/>
  <c r="O35" i="36"/>
  <c r="K4" i="36"/>
  <c r="K26" i="36" s="1"/>
  <c r="K28" i="35"/>
  <c r="H28" i="35"/>
  <c r="H4" i="36"/>
  <c r="H26" i="36" s="1"/>
  <c r="Y28" i="35"/>
  <c r="Y4" i="36"/>
  <c r="Y26" i="36" s="1"/>
  <c r="L4" i="36"/>
  <c r="L26" i="36" s="1"/>
  <c r="L28" i="35"/>
  <c r="T28" i="35"/>
  <c r="T4" i="36"/>
  <c r="T26" i="36" s="1"/>
  <c r="V28" i="35"/>
  <c r="V4" i="36"/>
  <c r="V26" i="36" s="1"/>
  <c r="F4" i="38"/>
  <c r="F26" i="38" s="1"/>
  <c r="F28" i="37"/>
  <c r="E28" i="35"/>
  <c r="E4" i="36"/>
  <c r="E26" i="36" s="1"/>
  <c r="H31" i="33"/>
  <c r="W31" i="33"/>
  <c r="T4" i="37" l="1"/>
  <c r="T26" i="37" s="1"/>
  <c r="T28" i="36"/>
  <c r="T35" i="36"/>
  <c r="Y4" i="37"/>
  <c r="Y26" i="37" s="1"/>
  <c r="Y28" i="36"/>
  <c r="Y35" i="36"/>
  <c r="O4" i="38"/>
  <c r="O26" i="38" s="1"/>
  <c r="O28" i="37"/>
  <c r="Q4" i="37"/>
  <c r="Q26" i="37" s="1"/>
  <c r="Q28" i="36"/>
  <c r="Q35" i="36"/>
  <c r="G4" i="37"/>
  <c r="G26" i="37" s="1"/>
  <c r="G28" i="36"/>
  <c r="G35" i="36"/>
  <c r="R4" i="37"/>
  <c r="R26" i="37" s="1"/>
  <c r="R28" i="36"/>
  <c r="R35" i="36"/>
  <c r="J4" i="38"/>
  <c r="J26" i="38" s="1"/>
  <c r="J28" i="37"/>
  <c r="F28" i="38"/>
  <c r="F4" i="39"/>
  <c r="F26" i="39" s="1"/>
  <c r="K4" i="37"/>
  <c r="K26" i="37" s="1"/>
  <c r="K28" i="36"/>
  <c r="K35" i="36"/>
  <c r="N4" i="38"/>
  <c r="N26" i="38" s="1"/>
  <c r="N28" i="37"/>
  <c r="S4" i="37"/>
  <c r="S26" i="37" s="1"/>
  <c r="S28" i="36"/>
  <c r="S35" i="36"/>
  <c r="M4" i="37"/>
  <c r="M26" i="37" s="1"/>
  <c r="M35" i="36"/>
  <c r="M28" i="36"/>
  <c r="W38" i="33"/>
  <c r="W41" i="33"/>
  <c r="W36" i="33"/>
  <c r="X4" i="34"/>
  <c r="X26" i="34" s="1"/>
  <c r="V4" i="37"/>
  <c r="V26" i="37" s="1"/>
  <c r="V35" i="36"/>
  <c r="V28" i="36"/>
  <c r="H4" i="37"/>
  <c r="H26" i="37" s="1"/>
  <c r="H28" i="36"/>
  <c r="H35" i="36"/>
  <c r="W4" i="37"/>
  <c r="W26" i="37" s="1"/>
  <c r="W28" i="36"/>
  <c r="W35" i="36"/>
  <c r="Z4" i="37"/>
  <c r="Z26" i="37" s="1"/>
  <c r="Z28" i="36"/>
  <c r="Z35" i="36"/>
  <c r="P4" i="37"/>
  <c r="P26" i="37" s="1"/>
  <c r="P28" i="36"/>
  <c r="P35" i="36"/>
  <c r="D4" i="37"/>
  <c r="D26" i="37" s="1"/>
  <c r="D28" i="36"/>
  <c r="D35" i="36"/>
  <c r="E4" i="37"/>
  <c r="E26" i="37" s="1"/>
  <c r="E28" i="36"/>
  <c r="E35" i="36"/>
  <c r="I4" i="34"/>
  <c r="I26" i="34" s="1"/>
  <c r="H38" i="33"/>
  <c r="H41" i="33"/>
  <c r="L4" i="37"/>
  <c r="L26" i="37" s="1"/>
  <c r="L28" i="36"/>
  <c r="L35" i="36"/>
  <c r="U4" i="37"/>
  <c r="U26" i="37" s="1"/>
  <c r="U28" i="36"/>
  <c r="U35" i="36"/>
  <c r="U12" i="33"/>
  <c r="Y39" i="33" l="1"/>
  <c r="D4" i="38"/>
  <c r="D26" i="38" s="1"/>
  <c r="D28" i="37"/>
  <c r="H4" i="38"/>
  <c r="H26" i="38" s="1"/>
  <c r="H28" i="37"/>
  <c r="X28" i="34"/>
  <c r="X4" i="35"/>
  <c r="X26" i="35" s="1"/>
  <c r="G4" i="38"/>
  <c r="G26" i="38" s="1"/>
  <c r="G28" i="37"/>
  <c r="Y4" i="38"/>
  <c r="Y26" i="38" s="1"/>
  <c r="Y28" i="37"/>
  <c r="E4" i="38"/>
  <c r="E26" i="38" s="1"/>
  <c r="E28" i="37"/>
  <c r="W4" i="38"/>
  <c r="W26" i="38" s="1"/>
  <c r="W28" i="37"/>
  <c r="S4" i="38"/>
  <c r="S26" i="38" s="1"/>
  <c r="S28" i="37"/>
  <c r="R4" i="38"/>
  <c r="R26" i="38" s="1"/>
  <c r="R28" i="37"/>
  <c r="O28" i="38"/>
  <c r="O4" i="39"/>
  <c r="O26" i="39" s="1"/>
  <c r="U4" i="38"/>
  <c r="U26" i="38" s="1"/>
  <c r="U28" i="37"/>
  <c r="L4" i="38"/>
  <c r="L26" i="38" s="1"/>
  <c r="L28" i="37"/>
  <c r="I28" i="34"/>
  <c r="I4" i="35"/>
  <c r="I26" i="35" s="1"/>
  <c r="Z4" i="38"/>
  <c r="Z26" i="38" s="1"/>
  <c r="Z28" i="37"/>
  <c r="M4" i="38"/>
  <c r="M26" i="38" s="1"/>
  <c r="M28" i="37"/>
  <c r="K4" i="38"/>
  <c r="K26" i="38" s="1"/>
  <c r="K28" i="37"/>
  <c r="J28" i="38"/>
  <c r="J4" i="39"/>
  <c r="J26" i="39" s="1"/>
  <c r="P4" i="38"/>
  <c r="P26" i="38" s="1"/>
  <c r="P28" i="37"/>
  <c r="V4" i="38"/>
  <c r="V26" i="38" s="1"/>
  <c r="V28" i="37"/>
  <c r="N28" i="38"/>
  <c r="N4" i="39"/>
  <c r="N26" i="39" s="1"/>
  <c r="F28" i="39"/>
  <c r="F4" i="40"/>
  <c r="F26" i="40" s="1"/>
  <c r="Q4" i="38"/>
  <c r="Q26" i="38" s="1"/>
  <c r="Q28" i="37"/>
  <c r="T4" i="38"/>
  <c r="T26" i="38" s="1"/>
  <c r="T28" i="37"/>
  <c r="E31" i="32"/>
  <c r="Z30" i="34" l="1"/>
  <c r="Q28" i="38"/>
  <c r="Q4" i="39"/>
  <c r="Q26" i="39" s="1"/>
  <c r="P28" i="38"/>
  <c r="P4" i="39"/>
  <c r="P26" i="39" s="1"/>
  <c r="O28" i="39"/>
  <c r="O4" i="40"/>
  <c r="O26" i="40" s="1"/>
  <c r="F28" i="40"/>
  <c r="F4" i="42"/>
  <c r="F26" i="42" s="1"/>
  <c r="K28" i="38"/>
  <c r="K4" i="39"/>
  <c r="K26" i="39" s="1"/>
  <c r="Z28" i="38"/>
  <c r="Z4" i="39"/>
  <c r="Z26" i="39" s="1"/>
  <c r="L4" i="39"/>
  <c r="L26" i="39" s="1"/>
  <c r="L28" i="38"/>
  <c r="S28" i="38"/>
  <c r="S4" i="39"/>
  <c r="S26" i="39" s="1"/>
  <c r="E28" i="38"/>
  <c r="E4" i="39"/>
  <c r="E26" i="39" s="1"/>
  <c r="G28" i="38"/>
  <c r="G4" i="39"/>
  <c r="G26" i="39" s="1"/>
  <c r="H28" i="38"/>
  <c r="H4" i="39"/>
  <c r="H26" i="39" s="1"/>
  <c r="T28" i="38"/>
  <c r="T4" i="39"/>
  <c r="T26" i="39" s="1"/>
  <c r="V28" i="38"/>
  <c r="V4" i="39"/>
  <c r="V26" i="39" s="1"/>
  <c r="J28" i="39"/>
  <c r="J4" i="40"/>
  <c r="J26" i="40" s="1"/>
  <c r="I28" i="35"/>
  <c r="I4" i="36"/>
  <c r="I26" i="36" s="1"/>
  <c r="X28" i="35"/>
  <c r="X4" i="36"/>
  <c r="X26" i="36" s="1"/>
  <c r="N28" i="39"/>
  <c r="N4" i="40"/>
  <c r="N26" i="40" s="1"/>
  <c r="M28" i="38"/>
  <c r="M4" i="39"/>
  <c r="M26" i="39" s="1"/>
  <c r="U28" i="38"/>
  <c r="U4" i="39"/>
  <c r="U26" i="39" s="1"/>
  <c r="R28" i="38"/>
  <c r="R4" i="39"/>
  <c r="R26" i="39" s="1"/>
  <c r="W28" i="38"/>
  <c r="W4" i="39"/>
  <c r="W26" i="39" s="1"/>
  <c r="Y28" i="38"/>
  <c r="Y4" i="39"/>
  <c r="Y26" i="39" s="1"/>
  <c r="D4" i="39"/>
  <c r="D26" i="39" s="1"/>
  <c r="D28" i="38"/>
  <c r="T31" i="32"/>
  <c r="S31" i="32"/>
  <c r="R31" i="32"/>
  <c r="Q31" i="32"/>
  <c r="K31" i="32"/>
  <c r="J31" i="32"/>
  <c r="G31" i="32"/>
  <c r="F31" i="32"/>
  <c r="X4" i="37" l="1"/>
  <c r="X26" i="37" s="1"/>
  <c r="X28" i="36"/>
  <c r="X35" i="36"/>
  <c r="J28" i="40"/>
  <c r="J4" i="42"/>
  <c r="J26" i="42" s="1"/>
  <c r="T28" i="39"/>
  <c r="T4" i="40"/>
  <c r="T26" i="40" s="1"/>
  <c r="G28" i="39"/>
  <c r="G4" i="40"/>
  <c r="G26" i="40" s="1"/>
  <c r="S28" i="39"/>
  <c r="S4" i="40"/>
  <c r="S26" i="40" s="1"/>
  <c r="Z28" i="39"/>
  <c r="Z4" i="40"/>
  <c r="Z26" i="40" s="1"/>
  <c r="F28" i="42"/>
  <c r="F4" i="43"/>
  <c r="F26" i="43" s="1"/>
  <c r="P28" i="39"/>
  <c r="P4" i="40"/>
  <c r="P26" i="40" s="1"/>
  <c r="W28" i="39"/>
  <c r="W4" i="40"/>
  <c r="W26" i="40" s="1"/>
  <c r="U28" i="39"/>
  <c r="U4" i="40"/>
  <c r="U26" i="40" s="1"/>
  <c r="N28" i="40"/>
  <c r="N4" i="42"/>
  <c r="N26" i="42" s="1"/>
  <c r="I4" i="37"/>
  <c r="I26" i="37" s="1"/>
  <c r="I28" i="36"/>
  <c r="I35" i="36"/>
  <c r="V28" i="39"/>
  <c r="V4" i="40"/>
  <c r="V26" i="40" s="1"/>
  <c r="H28" i="39"/>
  <c r="H4" i="40"/>
  <c r="H26" i="40" s="1"/>
  <c r="E28" i="39"/>
  <c r="E4" i="40"/>
  <c r="E26" i="40" s="1"/>
  <c r="K28" i="39"/>
  <c r="K4" i="40"/>
  <c r="K26" i="40" s="1"/>
  <c r="O28" i="40"/>
  <c r="O4" i="42"/>
  <c r="O26" i="42" s="1"/>
  <c r="Q28" i="39"/>
  <c r="Q4" i="40"/>
  <c r="Q26" i="40" s="1"/>
  <c r="D28" i="39"/>
  <c r="D4" i="40"/>
  <c r="D26" i="40" s="1"/>
  <c r="Y28" i="39"/>
  <c r="Y4" i="40"/>
  <c r="Y26" i="40" s="1"/>
  <c r="R28" i="39"/>
  <c r="R4" i="40"/>
  <c r="R26" i="40" s="1"/>
  <c r="M28" i="39"/>
  <c r="M4" i="40"/>
  <c r="M26" i="40" s="1"/>
  <c r="Z30" i="35"/>
  <c r="L28" i="39"/>
  <c r="L4" i="40"/>
  <c r="L26" i="40" s="1"/>
  <c r="Z30" i="36" l="1"/>
  <c r="N28" i="42"/>
  <c r="N4" i="43"/>
  <c r="N26" i="43" s="1"/>
  <c r="W28" i="40"/>
  <c r="W4" i="42"/>
  <c r="W26" i="42" s="1"/>
  <c r="Y28" i="40"/>
  <c r="Y4" i="42"/>
  <c r="Y26" i="42" s="1"/>
  <c r="K28" i="40"/>
  <c r="K4" i="42"/>
  <c r="K26" i="42" s="1"/>
  <c r="F28" i="43"/>
  <c r="F4" i="44"/>
  <c r="F26" i="44" s="1"/>
  <c r="S28" i="40"/>
  <c r="S4" i="42"/>
  <c r="S26" i="42" s="1"/>
  <c r="T28" i="40"/>
  <c r="T4" i="42"/>
  <c r="T26" i="42" s="1"/>
  <c r="Q4" i="42"/>
  <c r="Q26" i="42" s="1"/>
  <c r="Q28" i="40"/>
  <c r="H28" i="40"/>
  <c r="H4" i="42"/>
  <c r="H26" i="42" s="1"/>
  <c r="L28" i="40"/>
  <c r="L4" i="42"/>
  <c r="L26" i="42" s="1"/>
  <c r="U28" i="40"/>
  <c r="U4" i="42"/>
  <c r="U26" i="42" s="1"/>
  <c r="M28" i="40"/>
  <c r="M4" i="42"/>
  <c r="M26" i="42" s="1"/>
  <c r="R28" i="40"/>
  <c r="R4" i="42"/>
  <c r="R26" i="42" s="1"/>
  <c r="D28" i="40"/>
  <c r="D4" i="42"/>
  <c r="D26" i="42" s="1"/>
  <c r="O28" i="42"/>
  <c r="O4" i="43"/>
  <c r="O26" i="43" s="1"/>
  <c r="E28" i="40"/>
  <c r="E4" i="42"/>
  <c r="E26" i="42" s="1"/>
  <c r="V28" i="40"/>
  <c r="V4" i="42"/>
  <c r="V26" i="42" s="1"/>
  <c r="I28" i="37"/>
  <c r="I4" i="38"/>
  <c r="I26" i="38" s="1"/>
  <c r="P28" i="40"/>
  <c r="P4" i="42"/>
  <c r="P26" i="42" s="1"/>
  <c r="Z28" i="40"/>
  <c r="Z4" i="42"/>
  <c r="Z26" i="42" s="1"/>
  <c r="G28" i="40"/>
  <c r="G4" i="42"/>
  <c r="G26" i="42" s="1"/>
  <c r="J28" i="42"/>
  <c r="J4" i="43"/>
  <c r="J26" i="43" s="1"/>
  <c r="X4" i="38"/>
  <c r="X26" i="38" s="1"/>
  <c r="X28" i="37"/>
  <c r="Z30" i="37" l="1"/>
  <c r="Q28" i="42"/>
  <c r="Q4" i="43"/>
  <c r="Q26" i="43" s="1"/>
  <c r="G28" i="42"/>
  <c r="G4" i="43"/>
  <c r="G26" i="43" s="1"/>
  <c r="V4" i="43"/>
  <c r="V26" i="43" s="1"/>
  <c r="V28" i="42"/>
  <c r="R28" i="42"/>
  <c r="R4" i="43"/>
  <c r="R26" i="43" s="1"/>
  <c r="H28" i="42"/>
  <c r="H4" i="43"/>
  <c r="H26" i="43" s="1"/>
  <c r="F28" i="44"/>
  <c r="F4" i="45"/>
  <c r="F26" i="45" s="1"/>
  <c r="Y28" i="42"/>
  <c r="Y4" i="43"/>
  <c r="Y26" i="43" s="1"/>
  <c r="N28" i="43"/>
  <c r="N4" i="44"/>
  <c r="N26" i="44" s="1"/>
  <c r="P28" i="42"/>
  <c r="P4" i="43"/>
  <c r="P26" i="43" s="1"/>
  <c r="O28" i="43"/>
  <c r="O4" i="44"/>
  <c r="O26" i="44" s="1"/>
  <c r="U28" i="42"/>
  <c r="U4" i="43"/>
  <c r="U26" i="43" s="1"/>
  <c r="T28" i="42"/>
  <c r="T4" i="43"/>
  <c r="T26" i="43" s="1"/>
  <c r="X28" i="38"/>
  <c r="X4" i="39"/>
  <c r="X26" i="39" s="1"/>
  <c r="J28" i="43"/>
  <c r="J4" i="44"/>
  <c r="J26" i="44" s="1"/>
  <c r="Z28" i="42"/>
  <c r="Z4" i="43"/>
  <c r="Z26" i="43" s="1"/>
  <c r="I28" i="38"/>
  <c r="I4" i="39"/>
  <c r="I26" i="39" s="1"/>
  <c r="E28" i="42"/>
  <c r="E4" i="43"/>
  <c r="E26" i="43" s="1"/>
  <c r="D28" i="42"/>
  <c r="D4" i="43"/>
  <c r="D26" i="43" s="1"/>
  <c r="M28" i="42"/>
  <c r="M4" i="43"/>
  <c r="M26" i="43" s="1"/>
  <c r="L28" i="42"/>
  <c r="L4" i="43"/>
  <c r="L26" i="43" s="1"/>
  <c r="S28" i="42"/>
  <c r="S4" i="43"/>
  <c r="S26" i="43" s="1"/>
  <c r="K28" i="42"/>
  <c r="K4" i="43"/>
  <c r="K26" i="43" s="1"/>
  <c r="W28" i="42"/>
  <c r="W4" i="43"/>
  <c r="W26" i="43" s="1"/>
  <c r="W28" i="43" l="1"/>
  <c r="W4" i="44"/>
  <c r="W26" i="44" s="1"/>
  <c r="E28" i="43"/>
  <c r="E4" i="44"/>
  <c r="E26" i="44" s="1"/>
  <c r="Z28" i="43"/>
  <c r="Z4" i="44"/>
  <c r="Z26" i="44" s="1"/>
  <c r="X28" i="39"/>
  <c r="X4" i="40"/>
  <c r="X26" i="40" s="1"/>
  <c r="U28" i="43"/>
  <c r="U4" i="44"/>
  <c r="U26" i="44" s="1"/>
  <c r="P28" i="43"/>
  <c r="P4" i="44"/>
  <c r="P26" i="44" s="1"/>
  <c r="Y28" i="43"/>
  <c r="Y4" i="44"/>
  <c r="Y26" i="44" s="1"/>
  <c r="H28" i="43"/>
  <c r="H4" i="44"/>
  <c r="H26" i="44" s="1"/>
  <c r="Q28" i="43"/>
  <c r="Q4" i="44"/>
  <c r="Q26" i="44" s="1"/>
  <c r="M28" i="43"/>
  <c r="M4" i="44"/>
  <c r="M26" i="44" s="1"/>
  <c r="V4" i="44"/>
  <c r="V26" i="44" s="1"/>
  <c r="V28" i="43"/>
  <c r="K4" i="44"/>
  <c r="K26" i="44" s="1"/>
  <c r="K28" i="43"/>
  <c r="K31" i="43" s="1"/>
  <c r="L28" i="43"/>
  <c r="L4" i="44"/>
  <c r="L26" i="44" s="1"/>
  <c r="I28" i="39"/>
  <c r="I4" i="40"/>
  <c r="I26" i="40" s="1"/>
  <c r="T28" i="43"/>
  <c r="T4" i="44"/>
  <c r="T26" i="44" s="1"/>
  <c r="O28" i="44"/>
  <c r="O4" i="45"/>
  <c r="O26" i="45" s="1"/>
  <c r="N28" i="44"/>
  <c r="N4" i="45"/>
  <c r="N26" i="45" s="1"/>
  <c r="F28" i="45"/>
  <c r="F32" i="45"/>
  <c r="F34" i="45" s="1"/>
  <c r="R28" i="43"/>
  <c r="R4" i="44"/>
  <c r="R26" i="44" s="1"/>
  <c r="G28" i="43"/>
  <c r="G4" i="44"/>
  <c r="G26" i="44" s="1"/>
  <c r="S4" i="44"/>
  <c r="S26" i="44" s="1"/>
  <c r="S28" i="43"/>
  <c r="D28" i="43"/>
  <c r="D4" i="44"/>
  <c r="D26" i="44" s="1"/>
  <c r="J28" i="44"/>
  <c r="J4" i="45"/>
  <c r="J26" i="45" s="1"/>
  <c r="Z30" i="38"/>
  <c r="Z30" i="39" l="1"/>
  <c r="M28" i="44"/>
  <c r="M4" i="45"/>
  <c r="M26" i="45" s="1"/>
  <c r="H28" i="44"/>
  <c r="H4" i="45"/>
  <c r="H26" i="45" s="1"/>
  <c r="P28" i="44"/>
  <c r="P4" i="45"/>
  <c r="P26" i="45" s="1"/>
  <c r="X28" i="40"/>
  <c r="X4" i="42"/>
  <c r="X26" i="42" s="1"/>
  <c r="E28" i="44"/>
  <c r="E4" i="45"/>
  <c r="E26" i="45" s="1"/>
  <c r="G28" i="44"/>
  <c r="G4" i="45"/>
  <c r="G26" i="45" s="1"/>
  <c r="K28" i="44"/>
  <c r="K4" i="45"/>
  <c r="K26" i="45" s="1"/>
  <c r="I28" i="40"/>
  <c r="I4" i="42"/>
  <c r="I26" i="42" s="1"/>
  <c r="J28" i="45"/>
  <c r="J32" i="45"/>
  <c r="J34" i="45" s="1"/>
  <c r="R28" i="44"/>
  <c r="R4" i="45"/>
  <c r="R26" i="45" s="1"/>
  <c r="T28" i="44"/>
  <c r="T4" i="45"/>
  <c r="T26" i="45" s="1"/>
  <c r="Q28" i="44"/>
  <c r="Q4" i="45"/>
  <c r="Q26" i="45" s="1"/>
  <c r="Y28" i="44"/>
  <c r="Y4" i="45"/>
  <c r="Y26" i="45" s="1"/>
  <c r="U28" i="44"/>
  <c r="U4" i="45"/>
  <c r="U26" i="45" s="1"/>
  <c r="Z28" i="44"/>
  <c r="Z4" i="45"/>
  <c r="Z26" i="45" s="1"/>
  <c r="W28" i="44"/>
  <c r="W4" i="45"/>
  <c r="W26" i="45" s="1"/>
  <c r="D28" i="44"/>
  <c r="D4" i="45"/>
  <c r="D26" i="45" s="1"/>
  <c r="O28" i="45"/>
  <c r="O32" i="45"/>
  <c r="O34" i="45" s="1"/>
  <c r="N28" i="45"/>
  <c r="N32" i="45"/>
  <c r="N34" i="45" s="1"/>
  <c r="L28" i="44"/>
  <c r="L4" i="45"/>
  <c r="L26" i="45" s="1"/>
  <c r="S28" i="44"/>
  <c r="S4" i="45"/>
  <c r="S26" i="45" s="1"/>
  <c r="V28" i="44"/>
  <c r="V4" i="45"/>
  <c r="V26" i="45" s="1"/>
  <c r="T40" i="31"/>
  <c r="T39" i="31"/>
  <c r="T41" i="31" s="1"/>
  <c r="Z30" i="40" l="1"/>
  <c r="G28" i="45"/>
  <c r="G32" i="45"/>
  <c r="G34" i="45" s="1"/>
  <c r="X28" i="42"/>
  <c r="X4" i="43"/>
  <c r="X26" i="43" s="1"/>
  <c r="H28" i="45"/>
  <c r="H32" i="45"/>
  <c r="H34" i="45" s="1"/>
  <c r="S32" i="45"/>
  <c r="S34" i="45" s="1"/>
  <c r="S28" i="45"/>
  <c r="D28" i="45"/>
  <c r="D32" i="45"/>
  <c r="D34" i="45" s="1"/>
  <c r="Y28" i="45"/>
  <c r="Y32" i="45"/>
  <c r="Y34" i="45" s="1"/>
  <c r="T28" i="45"/>
  <c r="T32" i="45"/>
  <c r="T34" i="45" s="1"/>
  <c r="K28" i="45"/>
  <c r="K32" i="45"/>
  <c r="K34" i="45" s="1"/>
  <c r="E28" i="45"/>
  <c r="E32" i="45"/>
  <c r="E34" i="45" s="1"/>
  <c r="P28" i="45"/>
  <c r="P32" i="45"/>
  <c r="P34" i="45" s="1"/>
  <c r="M28" i="45"/>
  <c r="M32" i="45"/>
  <c r="M34" i="45" s="1"/>
  <c r="Z28" i="45"/>
  <c r="Z32" i="45"/>
  <c r="Z34" i="45" s="1"/>
  <c r="V32" i="45"/>
  <c r="V34" i="45" s="1"/>
  <c r="V28" i="45"/>
  <c r="L32" i="45"/>
  <c r="L34" i="45" s="1"/>
  <c r="L28" i="45"/>
  <c r="W28" i="45"/>
  <c r="W32" i="45"/>
  <c r="W34" i="45" s="1"/>
  <c r="U28" i="45"/>
  <c r="U32" i="45"/>
  <c r="U34" i="45" s="1"/>
  <c r="Q28" i="45"/>
  <c r="Q32" i="45"/>
  <c r="Q34" i="45" s="1"/>
  <c r="R32" i="45"/>
  <c r="R34" i="45" s="1"/>
  <c r="R28" i="45"/>
  <c r="I28" i="42"/>
  <c r="I4" i="43"/>
  <c r="I26" i="43" s="1"/>
  <c r="U17" i="31"/>
  <c r="Z30" i="42" l="1"/>
  <c r="X28" i="43"/>
  <c r="X4" i="44"/>
  <c r="X26" i="44" s="1"/>
  <c r="I28" i="43"/>
  <c r="I4" i="44"/>
  <c r="I26" i="44" s="1"/>
  <c r="Q49" i="31"/>
  <c r="P48" i="31"/>
  <c r="Z30" i="43" l="1"/>
  <c r="Q51" i="31"/>
  <c r="I28" i="44"/>
  <c r="I4" i="45"/>
  <c r="I26" i="45" s="1"/>
  <c r="X28" i="44"/>
  <c r="X4" i="45"/>
  <c r="X26" i="45" s="1"/>
  <c r="X28" i="45" l="1"/>
  <c r="X32" i="45"/>
  <c r="X34" i="45" s="1"/>
  <c r="I28" i="45"/>
  <c r="I32" i="45"/>
  <c r="I34" i="45" s="1"/>
  <c r="Z30" i="44"/>
  <c r="O29" i="30"/>
  <c r="O27" i="30"/>
  <c r="Z35" i="45" l="1"/>
  <c r="Z30" i="45"/>
  <c r="O30" i="30"/>
  <c r="Z37" i="45" l="1"/>
  <c r="W32" i="29"/>
  <c r="W34" i="29" s="1"/>
  <c r="W35" i="29" s="1"/>
  <c r="W38" i="29"/>
  <c r="W39" i="29" s="1"/>
  <c r="Q23" i="29" l="1"/>
  <c r="U32" i="29"/>
  <c r="K27" i="29"/>
  <c r="W28" i="29" s="1"/>
  <c r="Q25" i="29" l="1"/>
  <c r="Q4" i="30"/>
  <c r="Q23" i="30" s="1"/>
  <c r="Q25" i="30" l="1"/>
  <c r="Q4" i="31"/>
  <c r="Q25" i="31" s="1"/>
  <c r="K26" i="28"/>
  <c r="W31" i="28"/>
  <c r="W32" i="28"/>
  <c r="W4" i="28"/>
  <c r="T26" i="28"/>
  <c r="W27" i="28" l="1"/>
  <c r="Q27" i="31"/>
  <c r="Q4" i="32"/>
  <c r="Q26" i="32" s="1"/>
  <c r="W33" i="28"/>
  <c r="W34" i="28" s="1"/>
  <c r="Q28" i="32" l="1"/>
  <c r="Q4" i="33"/>
  <c r="Q26" i="33" s="1"/>
  <c r="Q32" i="32"/>
  <c r="D15" i="28"/>
  <c r="Q32" i="33" l="1"/>
  <c r="Q33" i="33" s="1"/>
  <c r="Q28" i="33"/>
  <c r="W22" i="28"/>
  <c r="W4" i="29" l="1"/>
  <c r="W23" i="29" s="1"/>
  <c r="W24" i="28"/>
  <c r="W4" i="30" l="1"/>
  <c r="W23" i="30" s="1"/>
  <c r="W25" i="29"/>
  <c r="W40" i="29" s="1"/>
  <c r="W25" i="30" l="1"/>
  <c r="W4" i="31"/>
  <c r="W25" i="31" s="1"/>
  <c r="E4" i="28"/>
  <c r="E22" i="28" s="1"/>
  <c r="F4" i="28"/>
  <c r="F22" i="28" s="1"/>
  <c r="F4" i="29" s="1"/>
  <c r="F23" i="29" s="1"/>
  <c r="G4" i="28"/>
  <c r="G22" i="28" s="1"/>
  <c r="G4" i="29" s="1"/>
  <c r="G23" i="29" s="1"/>
  <c r="H4" i="28"/>
  <c r="H22" i="28" s="1"/>
  <c r="H4" i="29" s="1"/>
  <c r="H23" i="29" s="1"/>
  <c r="I4" i="28"/>
  <c r="I22" i="28" s="1"/>
  <c r="J4" i="28"/>
  <c r="J22" i="28" s="1"/>
  <c r="J4" i="29" s="1"/>
  <c r="J23" i="29" s="1"/>
  <c r="K4" i="28"/>
  <c r="K22" i="28" s="1"/>
  <c r="L4" i="28"/>
  <c r="L22" i="28" s="1"/>
  <c r="L4" i="29" s="1"/>
  <c r="L23" i="29" s="1"/>
  <c r="M4" i="28"/>
  <c r="M22" i="28" s="1"/>
  <c r="N4" i="28"/>
  <c r="N22" i="28" s="1"/>
  <c r="N4" i="29" s="1"/>
  <c r="N23" i="29" s="1"/>
  <c r="O4" i="28"/>
  <c r="O22" i="28" s="1"/>
  <c r="P4" i="28"/>
  <c r="P22" i="28" s="1"/>
  <c r="Q4" i="28"/>
  <c r="Q22" i="28" s="1"/>
  <c r="Q24" i="28" s="1"/>
  <c r="R4" i="28"/>
  <c r="R22" i="28" s="1"/>
  <c r="S4" i="28"/>
  <c r="S22" i="28" s="1"/>
  <c r="S4" i="29" s="1"/>
  <c r="S23" i="29" s="1"/>
  <c r="T4" i="28"/>
  <c r="T22" i="28" s="1"/>
  <c r="U4" i="28"/>
  <c r="U22" i="28" s="1"/>
  <c r="V4" i="28"/>
  <c r="V22" i="28" s="1"/>
  <c r="X4" i="28"/>
  <c r="X22" i="28" s="1"/>
  <c r="Y4" i="28"/>
  <c r="Y22" i="28" s="1"/>
  <c r="D4" i="28"/>
  <c r="D22" i="28" s="1"/>
  <c r="Y32" i="27"/>
  <c r="F15" i="27"/>
  <c r="V15" i="27"/>
  <c r="N25" i="29" l="1"/>
  <c r="N4" i="30"/>
  <c r="N23" i="30" s="1"/>
  <c r="J25" i="29"/>
  <c r="J4" i="30"/>
  <c r="J23" i="30" s="1"/>
  <c r="F25" i="29"/>
  <c r="F4" i="30"/>
  <c r="F23" i="30" s="1"/>
  <c r="V24" i="28"/>
  <c r="V4" i="29"/>
  <c r="V23" i="29" s="1"/>
  <c r="R24" i="28"/>
  <c r="R4" i="29"/>
  <c r="R23" i="29" s="1"/>
  <c r="E24" i="28"/>
  <c r="E4" i="29"/>
  <c r="E23" i="29" s="1"/>
  <c r="D24" i="28"/>
  <c r="D4" i="29"/>
  <c r="D23" i="29" s="1"/>
  <c r="I24" i="28"/>
  <c r="I4" i="29"/>
  <c r="I23" i="29" s="1"/>
  <c r="Y24" i="28"/>
  <c r="Y4" i="29"/>
  <c r="Y23" i="29" s="1"/>
  <c r="T4" i="29"/>
  <c r="T23" i="29" s="1"/>
  <c r="T24" i="28"/>
  <c r="P24" i="28"/>
  <c r="P4" i="29"/>
  <c r="P23" i="29" s="1"/>
  <c r="L25" i="29"/>
  <c r="L4" i="30"/>
  <c r="L23" i="30" s="1"/>
  <c r="H25" i="29"/>
  <c r="H4" i="30"/>
  <c r="H23" i="30" s="1"/>
  <c r="W27" i="31"/>
  <c r="W4" i="32"/>
  <c r="W26" i="32" s="1"/>
  <c r="M24" i="28"/>
  <c r="M4" i="29"/>
  <c r="M23" i="29" s="1"/>
  <c r="U4" i="29"/>
  <c r="U23" i="29" s="1"/>
  <c r="U24" i="28"/>
  <c r="X24" i="28"/>
  <c r="X4" i="29"/>
  <c r="X23" i="29" s="1"/>
  <c r="S25" i="29"/>
  <c r="S4" i="30"/>
  <c r="S23" i="30" s="1"/>
  <c r="O24" i="28"/>
  <c r="O4" i="29"/>
  <c r="O23" i="29" s="1"/>
  <c r="K4" i="29"/>
  <c r="K23" i="29" s="1"/>
  <c r="K24" i="28"/>
  <c r="G25" i="29"/>
  <c r="G4" i="30"/>
  <c r="G23" i="30" s="1"/>
  <c r="L24" i="28"/>
  <c r="H24" i="28"/>
  <c r="S24" i="28"/>
  <c r="G24" i="28"/>
  <c r="N24" i="28"/>
  <c r="F24" i="28"/>
  <c r="J24" i="28"/>
  <c r="L25" i="30" l="1"/>
  <c r="L4" i="31"/>
  <c r="L25" i="31" s="1"/>
  <c r="I25" i="29"/>
  <c r="I4" i="30"/>
  <c r="I23" i="30" s="1"/>
  <c r="E25" i="29"/>
  <c r="E4" i="30"/>
  <c r="E23" i="30" s="1"/>
  <c r="V25" i="29"/>
  <c r="V4" i="30"/>
  <c r="V23" i="30" s="1"/>
  <c r="J25" i="30"/>
  <c r="J4" i="31"/>
  <c r="J25" i="31" s="1"/>
  <c r="W28" i="32"/>
  <c r="W4" i="33"/>
  <c r="W26" i="33" s="1"/>
  <c r="K25" i="29"/>
  <c r="K4" i="30"/>
  <c r="K23" i="30" s="1"/>
  <c r="U25" i="29"/>
  <c r="U4" i="30"/>
  <c r="U23" i="30" s="1"/>
  <c r="T25" i="29"/>
  <c r="T4" i="30"/>
  <c r="T23" i="30" s="1"/>
  <c r="O25" i="29"/>
  <c r="O4" i="30"/>
  <c r="O23" i="30" s="1"/>
  <c r="M25" i="29"/>
  <c r="M4" i="30"/>
  <c r="M23" i="30" s="1"/>
  <c r="P25" i="29"/>
  <c r="P4" i="30"/>
  <c r="P23" i="30" s="1"/>
  <c r="D25" i="29"/>
  <c r="D4" i="30"/>
  <c r="D23" i="30" s="1"/>
  <c r="F25" i="30"/>
  <c r="F4" i="31"/>
  <c r="F25" i="31" s="1"/>
  <c r="N25" i="30"/>
  <c r="N4" i="31"/>
  <c r="N25" i="31" s="1"/>
  <c r="S25" i="30"/>
  <c r="S4" i="31"/>
  <c r="S25" i="31" s="1"/>
  <c r="G25" i="30"/>
  <c r="G4" i="31"/>
  <c r="G25" i="31" s="1"/>
  <c r="X25" i="29"/>
  <c r="X4" i="30"/>
  <c r="X23" i="30" s="1"/>
  <c r="H25" i="30"/>
  <c r="H4" i="31"/>
  <c r="H25" i="31" s="1"/>
  <c r="Y25" i="29"/>
  <c r="Y4" i="30"/>
  <c r="Y23" i="30" s="1"/>
  <c r="R25" i="29"/>
  <c r="R4" i="30"/>
  <c r="R23" i="30" s="1"/>
  <c r="Y26" i="28"/>
  <c r="S27" i="31" l="1"/>
  <c r="S4" i="32"/>
  <c r="S26" i="32" s="1"/>
  <c r="O25" i="30"/>
  <c r="O4" i="31"/>
  <c r="O25" i="31" s="1"/>
  <c r="U25" i="30"/>
  <c r="U4" i="31"/>
  <c r="U25" i="31" s="1"/>
  <c r="W28" i="33"/>
  <c r="W32" i="33"/>
  <c r="W33" i="33" s="1"/>
  <c r="V25" i="30"/>
  <c r="V4" i="31"/>
  <c r="V25" i="31" s="1"/>
  <c r="I25" i="30"/>
  <c r="I4" i="31"/>
  <c r="I25" i="31" s="1"/>
  <c r="X25" i="30"/>
  <c r="X4" i="31"/>
  <c r="X25" i="31" s="1"/>
  <c r="Y27" i="29"/>
  <c r="Y25" i="30"/>
  <c r="Y4" i="31"/>
  <c r="Y25" i="31" s="1"/>
  <c r="P25" i="30"/>
  <c r="P4" i="31"/>
  <c r="P25" i="31" s="1"/>
  <c r="H27" i="31"/>
  <c r="H4" i="32"/>
  <c r="H26" i="32" s="1"/>
  <c r="D25" i="30"/>
  <c r="D4" i="31"/>
  <c r="D25" i="31" s="1"/>
  <c r="T25" i="30"/>
  <c r="T4" i="31"/>
  <c r="T25" i="31" s="1"/>
  <c r="K25" i="30"/>
  <c r="K4" i="31"/>
  <c r="K25" i="31" s="1"/>
  <c r="E25" i="30"/>
  <c r="E4" i="31"/>
  <c r="E25" i="31" s="1"/>
  <c r="L27" i="31"/>
  <c r="L4" i="32"/>
  <c r="L26" i="32" s="1"/>
  <c r="F27" i="31"/>
  <c r="F4" i="32"/>
  <c r="F26" i="32" s="1"/>
  <c r="R25" i="30"/>
  <c r="R4" i="31"/>
  <c r="G27" i="31"/>
  <c r="G4" i="32"/>
  <c r="G26" i="32" s="1"/>
  <c r="N27" i="31"/>
  <c r="N4" i="32"/>
  <c r="N26" i="32" s="1"/>
  <c r="M25" i="30"/>
  <c r="M4" i="31"/>
  <c r="M25" i="31" s="1"/>
  <c r="J27" i="31"/>
  <c r="J4" i="32"/>
  <c r="J26" i="32" s="1"/>
  <c r="D14" i="27"/>
  <c r="D25" i="27"/>
  <c r="I27" i="31" l="1"/>
  <c r="I4" i="32"/>
  <c r="I26" i="32" s="1"/>
  <c r="O27" i="31"/>
  <c r="O4" i="32"/>
  <c r="O26" i="32" s="1"/>
  <c r="J28" i="32"/>
  <c r="J4" i="33"/>
  <c r="J26" i="33" s="1"/>
  <c r="J32" i="32"/>
  <c r="R25" i="31"/>
  <c r="R4" i="32" s="1"/>
  <c r="R26" i="32" s="1"/>
  <c r="K27" i="31"/>
  <c r="K4" i="32"/>
  <c r="K26" i="32" s="1"/>
  <c r="D27" i="31"/>
  <c r="D4" i="32"/>
  <c r="D26" i="32" s="1"/>
  <c r="P4" i="32"/>
  <c r="P26" i="32" s="1"/>
  <c r="P27" i="31"/>
  <c r="N28" i="32"/>
  <c r="N4" i="33"/>
  <c r="N26" i="33" s="1"/>
  <c r="Y27" i="30"/>
  <c r="X27" i="31"/>
  <c r="X4" i="32"/>
  <c r="X26" i="32" s="1"/>
  <c r="V27" i="31"/>
  <c r="V4" i="32"/>
  <c r="V26" i="32" s="1"/>
  <c r="U27" i="31"/>
  <c r="U4" i="32"/>
  <c r="U26" i="32" s="1"/>
  <c r="S28" i="32"/>
  <c r="S4" i="33"/>
  <c r="S26" i="33" s="1"/>
  <c r="S32" i="32"/>
  <c r="L28" i="32"/>
  <c r="L4" i="33"/>
  <c r="L26" i="33" s="1"/>
  <c r="M27" i="31"/>
  <c r="M4" i="32"/>
  <c r="M26" i="32" s="1"/>
  <c r="G28" i="32"/>
  <c r="G4" i="33"/>
  <c r="G26" i="33" s="1"/>
  <c r="G32" i="32"/>
  <c r="F28" i="32"/>
  <c r="F4" i="33"/>
  <c r="F26" i="33" s="1"/>
  <c r="F32" i="32"/>
  <c r="E27" i="31"/>
  <c r="E4" i="32"/>
  <c r="E26" i="32" s="1"/>
  <c r="T27" i="31"/>
  <c r="T4" i="32"/>
  <c r="T26" i="32" s="1"/>
  <c r="H28" i="32"/>
  <c r="H4" i="33"/>
  <c r="H26" i="33" s="1"/>
  <c r="Y27" i="31"/>
  <c r="Y4" i="32"/>
  <c r="Y26" i="32" s="1"/>
  <c r="R25" i="27"/>
  <c r="P25" i="27"/>
  <c r="J25" i="27"/>
  <c r="H25" i="27"/>
  <c r="R27" i="31" l="1"/>
  <c r="Y29" i="31" s="1"/>
  <c r="H32" i="33"/>
  <c r="H33" i="33" s="1"/>
  <c r="H28" i="33"/>
  <c r="E4" i="33"/>
  <c r="E26" i="33" s="1"/>
  <c r="E32" i="32"/>
  <c r="E28" i="32"/>
  <c r="M4" i="33"/>
  <c r="M26" i="33" s="1"/>
  <c r="M28" i="32"/>
  <c r="O28" i="32"/>
  <c r="O4" i="33"/>
  <c r="O26" i="33" s="1"/>
  <c r="S36" i="33"/>
  <c r="S32" i="33"/>
  <c r="S28" i="33"/>
  <c r="V28" i="32"/>
  <c r="V4" i="33"/>
  <c r="V26" i="33" s="1"/>
  <c r="P28" i="32"/>
  <c r="P4" i="33"/>
  <c r="P26" i="33" s="1"/>
  <c r="K28" i="32"/>
  <c r="K4" i="33"/>
  <c r="K26" i="33" s="1"/>
  <c r="K32" i="32"/>
  <c r="T28" i="32"/>
  <c r="T4" i="33"/>
  <c r="T26" i="33" s="1"/>
  <c r="T32" i="32"/>
  <c r="G32" i="33"/>
  <c r="G33" i="33" s="1"/>
  <c r="G28" i="33"/>
  <c r="L28" i="33"/>
  <c r="L32" i="33"/>
  <c r="N28" i="33"/>
  <c r="N32" i="33"/>
  <c r="J28" i="33"/>
  <c r="J36" i="33"/>
  <c r="J32" i="33"/>
  <c r="I28" i="32"/>
  <c r="I4" i="33"/>
  <c r="I26" i="33" s="1"/>
  <c r="Y28" i="32"/>
  <c r="Y4" i="33"/>
  <c r="Y26" i="33" s="1"/>
  <c r="F28" i="33"/>
  <c r="F32" i="33"/>
  <c r="F33" i="33" s="1"/>
  <c r="U28" i="32"/>
  <c r="U4" i="33"/>
  <c r="U26" i="33" s="1"/>
  <c r="U28" i="33" s="1"/>
  <c r="X28" i="32"/>
  <c r="X4" i="33"/>
  <c r="X26" i="33" s="1"/>
  <c r="D4" i="33"/>
  <c r="D26" i="33" s="1"/>
  <c r="D28" i="32"/>
  <c r="R4" i="33"/>
  <c r="R26" i="33" s="1"/>
  <c r="R28" i="32"/>
  <c r="R32" i="32"/>
  <c r="Q34" i="26"/>
  <c r="W31" i="26"/>
  <c r="Y30" i="32" l="1"/>
  <c r="R32" i="33"/>
  <c r="R33" i="33" s="1"/>
  <c r="R28" i="33"/>
  <c r="P28" i="33"/>
  <c r="P32" i="33"/>
  <c r="T33" i="32"/>
  <c r="T35" i="32" s="1"/>
  <c r="Y28" i="33"/>
  <c r="Y32" i="33"/>
  <c r="E28" i="33"/>
  <c r="E32" i="33"/>
  <c r="E33" i="33" s="1"/>
  <c r="D28" i="33"/>
  <c r="D32" i="33"/>
  <c r="D33" i="33" s="1"/>
  <c r="K32" i="33"/>
  <c r="K33" i="33" s="1"/>
  <c r="K28" i="33"/>
  <c r="V28" i="33"/>
  <c r="V32" i="33"/>
  <c r="V33" i="33" s="1"/>
  <c r="M28" i="33"/>
  <c r="M32" i="33"/>
  <c r="M33" i="33" s="1"/>
  <c r="X28" i="33"/>
  <c r="X32" i="33"/>
  <c r="I28" i="33"/>
  <c r="I32" i="33"/>
  <c r="T36" i="33"/>
  <c r="Y37" i="33" s="1"/>
  <c r="T32" i="33"/>
  <c r="T33" i="33" s="1"/>
  <c r="T28" i="33"/>
  <c r="O28" i="33"/>
  <c r="O32" i="33"/>
  <c r="O33" i="33" s="1"/>
  <c r="W34" i="33" l="1"/>
  <c r="X44" i="33" s="1"/>
  <c r="Y30" i="33"/>
  <c r="X43" i="33" l="1"/>
  <c r="C32" i="26" l="1"/>
  <c r="P12" i="26" l="1"/>
  <c r="D22" i="26" l="1"/>
  <c r="Y22" i="26"/>
  <c r="Y4" i="27" s="1"/>
  <c r="Y20" i="27" s="1"/>
  <c r="Y22" i="27" s="1"/>
  <c r="X22" i="26"/>
  <c r="X4" i="27" s="1"/>
  <c r="X20" i="27" s="1"/>
  <c r="X22" i="27" s="1"/>
  <c r="W22" i="26"/>
  <c r="V22" i="26"/>
  <c r="V4" i="27" s="1"/>
  <c r="V20" i="27" s="1"/>
  <c r="V22" i="27" s="1"/>
  <c r="T22" i="26"/>
  <c r="T4" i="27" s="1"/>
  <c r="T20" i="27" s="1"/>
  <c r="T22" i="27" s="1"/>
  <c r="S22" i="26"/>
  <c r="S4" i="27" s="1"/>
  <c r="S20" i="27" s="1"/>
  <c r="S22" i="27" s="1"/>
  <c r="Q22" i="26"/>
  <c r="Q4" i="27" s="1"/>
  <c r="Q20" i="27" s="1"/>
  <c r="Q22" i="27" s="1"/>
  <c r="P22" i="26"/>
  <c r="O22" i="26"/>
  <c r="O4" i="27" s="1"/>
  <c r="O20" i="27" s="1"/>
  <c r="O22" i="27" s="1"/>
  <c r="N22" i="26"/>
  <c r="L22" i="26"/>
  <c r="L4" i="27" s="1"/>
  <c r="L20" i="27" s="1"/>
  <c r="L22" i="27" s="1"/>
  <c r="K22" i="26"/>
  <c r="K4" i="27" s="1"/>
  <c r="K20" i="27" s="1"/>
  <c r="K22" i="27" s="1"/>
  <c r="J22" i="26"/>
  <c r="I22" i="26"/>
  <c r="I4" i="27" s="1"/>
  <c r="I20" i="27" s="1"/>
  <c r="I22" i="27" s="1"/>
  <c r="H22" i="26"/>
  <c r="H4" i="27" s="1"/>
  <c r="H20" i="27" s="1"/>
  <c r="H22" i="27" s="1"/>
  <c r="G22" i="26"/>
  <c r="F22" i="26"/>
  <c r="F4" i="27" s="1"/>
  <c r="F20" i="27" s="1"/>
  <c r="F22" i="27" s="1"/>
  <c r="E22" i="26"/>
  <c r="E4" i="27" s="1"/>
  <c r="E20" i="27" s="1"/>
  <c r="E22" i="27" s="1"/>
  <c r="N4" i="27" l="1"/>
  <c r="N20" i="27" s="1"/>
  <c r="N22" i="27" s="1"/>
  <c r="N24" i="26"/>
  <c r="X24" i="26"/>
  <c r="Y24" i="26"/>
  <c r="G4" i="27"/>
  <c r="G20" i="27" s="1"/>
  <c r="G22" i="27" s="1"/>
  <c r="G24" i="26"/>
  <c r="P4" i="27"/>
  <c r="P20" i="27" s="1"/>
  <c r="P22" i="27" s="1"/>
  <c r="P24" i="26"/>
  <c r="D4" i="27"/>
  <c r="D20" i="27" s="1"/>
  <c r="D22" i="27" s="1"/>
  <c r="D24" i="26"/>
  <c r="J4" i="27"/>
  <c r="J20" i="27" s="1"/>
  <c r="J22" i="27" s="1"/>
  <c r="J24" i="26"/>
  <c r="W4" i="27"/>
  <c r="W20" i="27" s="1"/>
  <c r="W22" i="27" s="1"/>
  <c r="W24" i="26"/>
  <c r="H24" i="26"/>
  <c r="M22" i="26"/>
  <c r="M4" i="27" s="1"/>
  <c r="M20" i="27" s="1"/>
  <c r="M22" i="27" s="1"/>
  <c r="U22" i="26"/>
  <c r="R22" i="26"/>
  <c r="L24" i="26"/>
  <c r="T24" i="26"/>
  <c r="I24" i="26"/>
  <c r="E24" i="26"/>
  <c r="Q24" i="26"/>
  <c r="F24" i="26"/>
  <c r="V24" i="26"/>
  <c r="K24" i="26"/>
  <c r="O24" i="26"/>
  <c r="S24" i="26"/>
  <c r="U30" i="25"/>
  <c r="U19" i="25"/>
  <c r="R4" i="27" l="1"/>
  <c r="R20" i="27" s="1"/>
  <c r="R22" i="27" s="1"/>
  <c r="R24" i="26"/>
  <c r="U24" i="26"/>
  <c r="U4" i="27"/>
  <c r="U20" i="27" s="1"/>
  <c r="U22" i="27" s="1"/>
  <c r="M24" i="26"/>
  <c r="R16" i="25"/>
  <c r="M16" i="25"/>
  <c r="Y24" i="27" l="1"/>
  <c r="Y33" i="27" s="1"/>
  <c r="Y26" i="26"/>
  <c r="U15" i="25"/>
  <c r="U14" i="25"/>
  <c r="U18" i="23" l="1"/>
  <c r="D16" i="23" l="1"/>
  <c r="U13" i="22" l="1"/>
  <c r="V21" i="20" l="1"/>
  <c r="K20" i="20" l="1"/>
  <c r="K18" i="20" l="1"/>
  <c r="U12" i="20"/>
  <c r="D24" i="19" l="1"/>
  <c r="V18" i="19" l="1"/>
  <c r="V20" i="19"/>
  <c r="V22" i="19"/>
  <c r="W27" i="19" l="1"/>
  <c r="W4" i="20" s="1"/>
  <c r="W27" i="20" s="1"/>
  <c r="W29" i="20" l="1"/>
  <c r="W4" i="22"/>
  <c r="W24" i="22" s="1"/>
  <c r="W29" i="19"/>
  <c r="W33" i="19"/>
  <c r="W35" i="19" s="1"/>
  <c r="W26" i="22" l="1"/>
  <c r="W4" i="23"/>
  <c r="W24" i="23" s="1"/>
  <c r="R22" i="19"/>
  <c r="U17" i="19"/>
  <c r="W4" i="24" l="1"/>
  <c r="W23" i="24" s="1"/>
  <c r="W26" i="23"/>
  <c r="W25" i="24" l="1"/>
  <c r="W4" i="25"/>
  <c r="W24" i="25" s="1"/>
  <c r="W26" i="25" l="1"/>
  <c r="W32" i="25"/>
  <c r="W35" i="25" s="1"/>
  <c r="V18" i="18"/>
  <c r="D14" i="18"/>
  <c r="D15" i="17" l="1"/>
  <c r="P13" i="16" l="1"/>
  <c r="R16" i="16" l="1"/>
  <c r="D16" i="16"/>
  <c r="V16" i="15" l="1"/>
  <c r="D12" i="15" l="1"/>
  <c r="V12" i="15"/>
  <c r="S21" i="13" l="1"/>
  <c r="S4" i="15" s="1"/>
  <c r="S21" i="15" s="1"/>
  <c r="S23" i="15" l="1"/>
  <c r="S4" i="16"/>
  <c r="S23" i="16" s="1"/>
  <c r="S23" i="13"/>
  <c r="D13" i="13"/>
  <c r="S25" i="16" l="1"/>
  <c r="S4" i="17"/>
  <c r="S24" i="17" s="1"/>
  <c r="E4" i="13"/>
  <c r="E21" i="13" s="1"/>
  <c r="E4" i="15" s="1"/>
  <c r="E21" i="15" s="1"/>
  <c r="F4" i="13"/>
  <c r="F21" i="13" s="1"/>
  <c r="F4" i="15" s="1"/>
  <c r="F21" i="15" s="1"/>
  <c r="G4" i="13"/>
  <c r="G21" i="13" s="1"/>
  <c r="G4" i="15" s="1"/>
  <c r="G21" i="15" s="1"/>
  <c r="H4" i="13"/>
  <c r="H21" i="13" s="1"/>
  <c r="H4" i="15" s="1"/>
  <c r="H21" i="15" s="1"/>
  <c r="I4" i="13"/>
  <c r="J4" i="13"/>
  <c r="J21" i="13" s="1"/>
  <c r="J4" i="15" s="1"/>
  <c r="J21" i="15" s="1"/>
  <c r="K4" i="13"/>
  <c r="K21" i="13" s="1"/>
  <c r="K4" i="15" s="1"/>
  <c r="K21" i="15" s="1"/>
  <c r="L4" i="13"/>
  <c r="L21" i="13" s="1"/>
  <c r="L4" i="15" s="1"/>
  <c r="L21" i="15" s="1"/>
  <c r="M4" i="13"/>
  <c r="M21" i="13" s="1"/>
  <c r="M4" i="15" s="1"/>
  <c r="M21" i="15" s="1"/>
  <c r="N4" i="13"/>
  <c r="N21" i="13" s="1"/>
  <c r="N4" i="15" s="1"/>
  <c r="N21" i="15" s="1"/>
  <c r="O4" i="13"/>
  <c r="O21" i="13" s="1"/>
  <c r="O4" i="15" s="1"/>
  <c r="O21" i="15" s="1"/>
  <c r="P4" i="13"/>
  <c r="P21" i="13" s="1"/>
  <c r="P4" i="15" s="1"/>
  <c r="P21" i="15" s="1"/>
  <c r="Q4" i="13"/>
  <c r="Q21" i="13" s="1"/>
  <c r="Q4" i="15" s="1"/>
  <c r="Q21" i="15" s="1"/>
  <c r="R4" i="13"/>
  <c r="R21" i="13" s="1"/>
  <c r="T4" i="13"/>
  <c r="T21" i="13" s="1"/>
  <c r="T4" i="15" s="1"/>
  <c r="T21" i="15" s="1"/>
  <c r="U4" i="13"/>
  <c r="U21" i="13" s="1"/>
  <c r="U4" i="15" s="1"/>
  <c r="U21" i="15" s="1"/>
  <c r="V4" i="13"/>
  <c r="V21" i="13" s="1"/>
  <c r="V4" i="15" s="1"/>
  <c r="V21" i="15" s="1"/>
  <c r="W4" i="13"/>
  <c r="W21" i="13" s="1"/>
  <c r="W4" i="15" s="1"/>
  <c r="W21" i="15" s="1"/>
  <c r="X4" i="13"/>
  <c r="X21" i="13" s="1"/>
  <c r="X4" i="15" s="1"/>
  <c r="X21" i="15" s="1"/>
  <c r="D4" i="13"/>
  <c r="D21" i="13" s="1"/>
  <c r="I21" i="13"/>
  <c r="I4" i="15" s="1"/>
  <c r="I21" i="15" s="1"/>
  <c r="V23" i="15" l="1"/>
  <c r="V4" i="16"/>
  <c r="V23" i="16" s="1"/>
  <c r="J23" i="15"/>
  <c r="J4" i="16"/>
  <c r="J23" i="16" s="1"/>
  <c r="W23" i="15"/>
  <c r="W4" i="16"/>
  <c r="W23" i="16" s="1"/>
  <c r="R23" i="13"/>
  <c r="R4" i="15"/>
  <c r="R21" i="15" s="1"/>
  <c r="F23" i="15"/>
  <c r="F4" i="16"/>
  <c r="F23" i="16" s="1"/>
  <c r="L23" i="15"/>
  <c r="L4" i="16"/>
  <c r="L23" i="16" s="1"/>
  <c r="N23" i="15"/>
  <c r="N4" i="16"/>
  <c r="N23" i="16" s="1"/>
  <c r="M23" i="15"/>
  <c r="M4" i="16"/>
  <c r="M23" i="16" s="1"/>
  <c r="E23" i="15"/>
  <c r="E4" i="16"/>
  <c r="E23" i="16" s="1"/>
  <c r="I23" i="15"/>
  <c r="I4" i="16"/>
  <c r="I23" i="16" s="1"/>
  <c r="D23" i="13"/>
  <c r="D4" i="15"/>
  <c r="D21" i="15" s="1"/>
  <c r="U23" i="15"/>
  <c r="U4" i="16"/>
  <c r="U23" i="16" s="1"/>
  <c r="P23" i="15"/>
  <c r="P4" i="16"/>
  <c r="P23" i="16" s="1"/>
  <c r="H23" i="15"/>
  <c r="H4" i="16"/>
  <c r="H23" i="16" s="1"/>
  <c r="S26" i="17"/>
  <c r="S4" i="18"/>
  <c r="S24" i="18" s="1"/>
  <c r="Q23" i="15"/>
  <c r="Q4" i="16"/>
  <c r="Q23" i="16" s="1"/>
  <c r="G23" i="15"/>
  <c r="G4" i="16"/>
  <c r="G23" i="16" s="1"/>
  <c r="X23" i="15"/>
  <c r="X4" i="16"/>
  <c r="X23" i="16" s="1"/>
  <c r="T23" i="15"/>
  <c r="T4" i="16"/>
  <c r="T23" i="16" s="1"/>
  <c r="O23" i="15"/>
  <c r="O4" i="16"/>
  <c r="O23" i="16" s="1"/>
  <c r="K4" i="16"/>
  <c r="K23" i="16" s="1"/>
  <c r="K23" i="15"/>
  <c r="J23" i="13"/>
  <c r="T23" i="13"/>
  <c r="G23" i="13"/>
  <c r="K23" i="13"/>
  <c r="O23" i="13"/>
  <c r="X23" i="13"/>
  <c r="H23" i="13"/>
  <c r="L23" i="13"/>
  <c r="P23" i="13"/>
  <c r="U23" i="13"/>
  <c r="E23" i="13"/>
  <c r="I23" i="13"/>
  <c r="M23" i="13"/>
  <c r="Q23" i="13"/>
  <c r="V23" i="13"/>
  <c r="F23" i="13"/>
  <c r="N23" i="13"/>
  <c r="W23" i="13"/>
  <c r="O25" i="16" l="1"/>
  <c r="O4" i="17"/>
  <c r="O24" i="17" s="1"/>
  <c r="Q25" i="16"/>
  <c r="Q4" i="17"/>
  <c r="Q24" i="17" s="1"/>
  <c r="H25" i="16"/>
  <c r="H4" i="17"/>
  <c r="H24" i="17" s="1"/>
  <c r="I25" i="16"/>
  <c r="I4" i="17"/>
  <c r="I24" i="17" s="1"/>
  <c r="M25" i="16"/>
  <c r="M4" i="17"/>
  <c r="M24" i="17" s="1"/>
  <c r="L25" i="16"/>
  <c r="L4" i="17"/>
  <c r="L24" i="17" s="1"/>
  <c r="R23" i="15"/>
  <c r="R4" i="16"/>
  <c r="R23" i="16" s="1"/>
  <c r="J25" i="16"/>
  <c r="J4" i="17"/>
  <c r="J24" i="17" s="1"/>
  <c r="X25" i="16"/>
  <c r="X4" i="17"/>
  <c r="X24" i="17" s="1"/>
  <c r="U25" i="16"/>
  <c r="U4" i="17"/>
  <c r="U24" i="17" s="1"/>
  <c r="T25" i="16"/>
  <c r="T4" i="17"/>
  <c r="T24" i="17" s="1"/>
  <c r="S26" i="18"/>
  <c r="S4" i="19"/>
  <c r="S27" i="19" s="1"/>
  <c r="P4" i="17"/>
  <c r="P24" i="17" s="1"/>
  <c r="P25" i="16"/>
  <c r="D23" i="15"/>
  <c r="D4" i="16"/>
  <c r="D23" i="16" s="1"/>
  <c r="E25" i="16"/>
  <c r="E4" i="17"/>
  <c r="E24" i="17" s="1"/>
  <c r="N25" i="16"/>
  <c r="N4" i="17"/>
  <c r="N24" i="17" s="1"/>
  <c r="F25" i="16"/>
  <c r="F4" i="17"/>
  <c r="F24" i="17" s="1"/>
  <c r="W25" i="16"/>
  <c r="W4" i="17"/>
  <c r="W24" i="17" s="1"/>
  <c r="V25" i="16"/>
  <c r="V4" i="17"/>
  <c r="V24" i="17" s="1"/>
  <c r="G25" i="16"/>
  <c r="G4" i="17"/>
  <c r="G24" i="17" s="1"/>
  <c r="K25" i="16"/>
  <c r="K4" i="17"/>
  <c r="K24" i="17" s="1"/>
  <c r="X25" i="13"/>
  <c r="D17" i="12"/>
  <c r="X25" i="15" l="1"/>
  <c r="D4" i="17"/>
  <c r="D24" i="17" s="1"/>
  <c r="D25" i="16"/>
  <c r="S4" i="20"/>
  <c r="S27" i="20" s="1"/>
  <c r="S29" i="19"/>
  <c r="S33" i="19"/>
  <c r="S35" i="19" s="1"/>
  <c r="U26" i="17"/>
  <c r="U4" i="18"/>
  <c r="U24" i="18" s="1"/>
  <c r="J26" i="17"/>
  <c r="J4" i="18"/>
  <c r="J24" i="18" s="1"/>
  <c r="L26" i="17"/>
  <c r="L4" i="18"/>
  <c r="L24" i="18" s="1"/>
  <c r="I26" i="17"/>
  <c r="I4" i="18"/>
  <c r="I24" i="18" s="1"/>
  <c r="Q26" i="17"/>
  <c r="Q4" i="18"/>
  <c r="Q24" i="18" s="1"/>
  <c r="G26" i="17"/>
  <c r="G4" i="18"/>
  <c r="G24" i="18" s="1"/>
  <c r="N26" i="17"/>
  <c r="N4" i="18"/>
  <c r="N24" i="18" s="1"/>
  <c r="V26" i="17"/>
  <c r="V4" i="18"/>
  <c r="V24" i="18" s="1"/>
  <c r="E26" i="17"/>
  <c r="E4" i="18"/>
  <c r="E24" i="18" s="1"/>
  <c r="T26" i="17"/>
  <c r="T4" i="18"/>
  <c r="T24" i="18" s="1"/>
  <c r="X26" i="17"/>
  <c r="X4" i="18"/>
  <c r="X24" i="18" s="1"/>
  <c r="R4" i="17"/>
  <c r="R24" i="17" s="1"/>
  <c r="R25" i="16"/>
  <c r="M26" i="17"/>
  <c r="M4" i="18"/>
  <c r="M24" i="18" s="1"/>
  <c r="H4" i="18"/>
  <c r="H24" i="18" s="1"/>
  <c r="H26" i="17"/>
  <c r="O26" i="17"/>
  <c r="O4" i="18"/>
  <c r="O24" i="18" s="1"/>
  <c r="W26" i="17"/>
  <c r="W4" i="18"/>
  <c r="W24" i="18" s="1"/>
  <c r="K26" i="17"/>
  <c r="K4" i="18"/>
  <c r="K24" i="18" s="1"/>
  <c r="F26" i="17"/>
  <c r="F4" i="18"/>
  <c r="F24" i="18" s="1"/>
  <c r="P26" i="17"/>
  <c r="P4" i="18"/>
  <c r="P24" i="18" s="1"/>
  <c r="D14" i="12"/>
  <c r="H26" i="18" l="1"/>
  <c r="H4" i="19"/>
  <c r="H27" i="19" s="1"/>
  <c r="R26" i="17"/>
  <c r="R4" i="18"/>
  <c r="R24" i="18" s="1"/>
  <c r="P26" i="18"/>
  <c r="P4" i="19"/>
  <c r="P27" i="19" s="1"/>
  <c r="O26" i="18"/>
  <c r="O4" i="19"/>
  <c r="O27" i="19" s="1"/>
  <c r="M26" i="18"/>
  <c r="M4" i="19"/>
  <c r="M27" i="19" s="1"/>
  <c r="X26" i="18"/>
  <c r="Y4" i="19"/>
  <c r="Y27" i="19" s="1"/>
  <c r="E26" i="18"/>
  <c r="E4" i="19"/>
  <c r="E27" i="19" s="1"/>
  <c r="N26" i="18"/>
  <c r="N4" i="19"/>
  <c r="N27" i="19" s="1"/>
  <c r="Q26" i="18"/>
  <c r="Q4" i="19"/>
  <c r="Q27" i="19" s="1"/>
  <c r="L26" i="18"/>
  <c r="L4" i="19"/>
  <c r="L27" i="19" s="1"/>
  <c r="U26" i="18"/>
  <c r="U4" i="19"/>
  <c r="U27" i="19" s="1"/>
  <c r="S4" i="22"/>
  <c r="S24" i="22" s="1"/>
  <c r="S29" i="20"/>
  <c r="K26" i="18"/>
  <c r="K4" i="19"/>
  <c r="K27" i="19" s="1"/>
  <c r="X27" i="16"/>
  <c r="F26" i="18"/>
  <c r="F4" i="19"/>
  <c r="F27" i="19" s="1"/>
  <c r="W26" i="18"/>
  <c r="X4" i="19"/>
  <c r="X27" i="19" s="1"/>
  <c r="T26" i="18"/>
  <c r="T4" i="19"/>
  <c r="T27" i="19" s="1"/>
  <c r="V26" i="18"/>
  <c r="V4" i="19"/>
  <c r="V27" i="19" s="1"/>
  <c r="G26" i="18"/>
  <c r="G4" i="19"/>
  <c r="G27" i="19" s="1"/>
  <c r="I26" i="18"/>
  <c r="I4" i="19"/>
  <c r="I27" i="19" s="1"/>
  <c r="J26" i="18"/>
  <c r="J4" i="19"/>
  <c r="J27" i="19" s="1"/>
  <c r="D26" i="17"/>
  <c r="D4" i="18"/>
  <c r="D24" i="18" s="1"/>
  <c r="T14" i="11"/>
  <c r="U11" i="11"/>
  <c r="J26" i="11"/>
  <c r="J25" i="11"/>
  <c r="X28" i="17" l="1"/>
  <c r="L4" i="20"/>
  <c r="L27" i="20" s="1"/>
  <c r="L29" i="19"/>
  <c r="L33" i="19"/>
  <c r="L35" i="19" s="1"/>
  <c r="N4" i="20"/>
  <c r="N27" i="20" s="1"/>
  <c r="N29" i="19"/>
  <c r="N33" i="19"/>
  <c r="N35" i="19" s="1"/>
  <c r="Y29" i="19"/>
  <c r="Y4" i="20"/>
  <c r="Y27" i="20" s="1"/>
  <c r="O4" i="20"/>
  <c r="O27" i="20" s="1"/>
  <c r="O29" i="19"/>
  <c r="O33" i="19"/>
  <c r="O35" i="19" s="1"/>
  <c r="R26" i="18"/>
  <c r="R4" i="19"/>
  <c r="R27" i="19" s="1"/>
  <c r="D26" i="18"/>
  <c r="D4" i="19"/>
  <c r="D27" i="19" s="1"/>
  <c r="I4" i="20"/>
  <c r="I27" i="20" s="1"/>
  <c r="I29" i="19"/>
  <c r="I33" i="19"/>
  <c r="I35" i="19" s="1"/>
  <c r="V4" i="20"/>
  <c r="V27" i="20" s="1"/>
  <c r="V29" i="19"/>
  <c r="V33" i="19"/>
  <c r="V35" i="19" s="1"/>
  <c r="X4" i="20"/>
  <c r="X27" i="20" s="1"/>
  <c r="X29" i="19"/>
  <c r="X33" i="19"/>
  <c r="X35" i="19" s="1"/>
  <c r="S26" i="22"/>
  <c r="S4" i="23"/>
  <c r="S24" i="23" s="1"/>
  <c r="K4" i="20"/>
  <c r="K27" i="20" s="1"/>
  <c r="K33" i="19"/>
  <c r="K35" i="19" s="1"/>
  <c r="K29" i="19"/>
  <c r="U4" i="20"/>
  <c r="U27" i="20" s="1"/>
  <c r="U29" i="19"/>
  <c r="U33" i="19"/>
  <c r="U35" i="19" s="1"/>
  <c r="Q4" i="20"/>
  <c r="Q27" i="20" s="1"/>
  <c r="Q29" i="19"/>
  <c r="Q33" i="19"/>
  <c r="Q35" i="19" s="1"/>
  <c r="E4" i="20"/>
  <c r="E27" i="20" s="1"/>
  <c r="E29" i="19"/>
  <c r="E33" i="19"/>
  <c r="E35" i="19" s="1"/>
  <c r="M4" i="20"/>
  <c r="M27" i="20" s="1"/>
  <c r="M29" i="19"/>
  <c r="M33" i="19"/>
  <c r="M35" i="19" s="1"/>
  <c r="P4" i="20"/>
  <c r="P27" i="20" s="1"/>
  <c r="P33" i="19"/>
  <c r="P35" i="19" s="1"/>
  <c r="P29" i="19"/>
  <c r="H4" i="20"/>
  <c r="H27" i="20" s="1"/>
  <c r="H33" i="19"/>
  <c r="H35" i="19" s="1"/>
  <c r="H29" i="19"/>
  <c r="J4" i="20"/>
  <c r="J27" i="20" s="1"/>
  <c r="J29" i="19"/>
  <c r="J33" i="19"/>
  <c r="J35" i="19" s="1"/>
  <c r="G4" i="20"/>
  <c r="G27" i="20" s="1"/>
  <c r="G29" i="19"/>
  <c r="G33" i="19"/>
  <c r="G35" i="19" s="1"/>
  <c r="T4" i="20"/>
  <c r="T27" i="20" s="1"/>
  <c r="T29" i="19"/>
  <c r="T33" i="19"/>
  <c r="T35" i="19" s="1"/>
  <c r="F4" i="20"/>
  <c r="F27" i="20" s="1"/>
  <c r="F29" i="19"/>
  <c r="F33" i="19"/>
  <c r="F35" i="19" s="1"/>
  <c r="J26" i="10"/>
  <c r="J25" i="10"/>
  <c r="D4" i="20" l="1"/>
  <c r="D27" i="20" s="1"/>
  <c r="D29" i="19"/>
  <c r="D33" i="19"/>
  <c r="D35" i="19" s="1"/>
  <c r="J29" i="20"/>
  <c r="J4" i="22"/>
  <c r="J24" i="22" s="1"/>
  <c r="E4" i="22"/>
  <c r="E24" i="22" s="1"/>
  <c r="E29" i="20"/>
  <c r="I29" i="20"/>
  <c r="I4" i="22"/>
  <c r="I24" i="22" s="1"/>
  <c r="Y29" i="20"/>
  <c r="Y4" i="22"/>
  <c r="Y24" i="22" s="1"/>
  <c r="N29" i="20"/>
  <c r="N4" i="22"/>
  <c r="N24" i="22" s="1"/>
  <c r="V4" i="22"/>
  <c r="V24" i="22" s="1"/>
  <c r="V29" i="20"/>
  <c r="T4" i="22"/>
  <c r="T24" i="22" s="1"/>
  <c r="T29" i="20"/>
  <c r="P4" i="22"/>
  <c r="P24" i="22" s="1"/>
  <c r="P29" i="20"/>
  <c r="U29" i="20"/>
  <c r="U4" i="22"/>
  <c r="U24" i="22" s="1"/>
  <c r="S26" i="23"/>
  <c r="S4" i="24"/>
  <c r="S23" i="24" s="1"/>
  <c r="X4" i="22"/>
  <c r="X24" i="22" s="1"/>
  <c r="X29" i="20"/>
  <c r="X28" i="18"/>
  <c r="G4" i="22"/>
  <c r="G24" i="22" s="1"/>
  <c r="G29" i="20"/>
  <c r="M4" i="22"/>
  <c r="M24" i="22" s="1"/>
  <c r="M29" i="20"/>
  <c r="K29" i="20"/>
  <c r="K4" i="22"/>
  <c r="K24" i="22" s="1"/>
  <c r="F29" i="20"/>
  <c r="F4" i="22"/>
  <c r="F24" i="22" s="1"/>
  <c r="H29" i="20"/>
  <c r="H4" i="22"/>
  <c r="H24" i="22" s="1"/>
  <c r="Q4" i="22"/>
  <c r="Q24" i="22" s="1"/>
  <c r="Q29" i="20"/>
  <c r="R4" i="20"/>
  <c r="R27" i="20" s="1"/>
  <c r="R29" i="19"/>
  <c r="R33" i="19"/>
  <c r="R35" i="19" s="1"/>
  <c r="O4" i="22"/>
  <c r="O24" i="22" s="1"/>
  <c r="O29" i="20"/>
  <c r="L29" i="20"/>
  <c r="L4" i="22"/>
  <c r="L24" i="22" s="1"/>
  <c r="P15" i="10"/>
  <c r="H26" i="22" l="1"/>
  <c r="H4" i="23"/>
  <c r="H24" i="23" s="1"/>
  <c r="K26" i="22"/>
  <c r="K4" i="23"/>
  <c r="K24" i="23" s="1"/>
  <c r="X26" i="22"/>
  <c r="X4" i="23"/>
  <c r="X24" i="23" s="1"/>
  <c r="T26" i="22"/>
  <c r="T4" i="23"/>
  <c r="T24" i="23" s="1"/>
  <c r="G26" i="22"/>
  <c r="G4" i="23"/>
  <c r="G24" i="23" s="1"/>
  <c r="S25" i="24"/>
  <c r="S4" i="25"/>
  <c r="S24" i="25" s="1"/>
  <c r="Y26" i="22"/>
  <c r="Y4" i="23"/>
  <c r="Y24" i="23" s="1"/>
  <c r="F26" i="22"/>
  <c r="F4" i="23"/>
  <c r="F24" i="23" s="1"/>
  <c r="P4" i="23"/>
  <c r="P24" i="23" s="1"/>
  <c r="P26" i="22"/>
  <c r="V26" i="22"/>
  <c r="V4" i="23"/>
  <c r="V24" i="23" s="1"/>
  <c r="E26" i="22"/>
  <c r="E4" i="23"/>
  <c r="E24" i="23" s="1"/>
  <c r="Y31" i="19"/>
  <c r="R29" i="20"/>
  <c r="R4" i="22"/>
  <c r="R24" i="22" s="1"/>
  <c r="O26" i="22"/>
  <c r="O4" i="23"/>
  <c r="O24" i="23" s="1"/>
  <c r="L26" i="22"/>
  <c r="L4" i="23"/>
  <c r="L24" i="23" s="1"/>
  <c r="Q26" i="22"/>
  <c r="Q4" i="23"/>
  <c r="Q24" i="23" s="1"/>
  <c r="M26" i="22"/>
  <c r="M4" i="23"/>
  <c r="M24" i="23" s="1"/>
  <c r="U26" i="22"/>
  <c r="U4" i="23"/>
  <c r="U24" i="23" s="1"/>
  <c r="N26" i="22"/>
  <c r="N4" i="23"/>
  <c r="N24" i="23" s="1"/>
  <c r="I26" i="22"/>
  <c r="I4" i="23"/>
  <c r="I24" i="23" s="1"/>
  <c r="J4" i="23"/>
  <c r="J24" i="23" s="1"/>
  <c r="J26" i="22"/>
  <c r="D4" i="22"/>
  <c r="D24" i="22" s="1"/>
  <c r="D29" i="20"/>
  <c r="R14" i="10"/>
  <c r="D11" i="10"/>
  <c r="Y31" i="20" l="1"/>
  <c r="J26" i="23"/>
  <c r="J4" i="24"/>
  <c r="J23" i="24" s="1"/>
  <c r="V26" i="23"/>
  <c r="V4" i="24"/>
  <c r="V23" i="24" s="1"/>
  <c r="F26" i="23"/>
  <c r="F4" i="24"/>
  <c r="F23" i="24" s="1"/>
  <c r="S26" i="25"/>
  <c r="S32" i="25"/>
  <c r="S35" i="25" s="1"/>
  <c r="T26" i="23"/>
  <c r="T4" i="24"/>
  <c r="T23" i="24" s="1"/>
  <c r="K26" i="23"/>
  <c r="K4" i="24"/>
  <c r="K23" i="24" s="1"/>
  <c r="I26" i="23"/>
  <c r="I4" i="24"/>
  <c r="I23" i="24" s="1"/>
  <c r="U26" i="23"/>
  <c r="U4" i="24"/>
  <c r="U23" i="24" s="1"/>
  <c r="Q26" i="23"/>
  <c r="Q4" i="24"/>
  <c r="Q23" i="24" s="1"/>
  <c r="O26" i="23"/>
  <c r="O4" i="24"/>
  <c r="O23" i="24" s="1"/>
  <c r="D26" i="22"/>
  <c r="D4" i="23"/>
  <c r="D24" i="23" s="1"/>
  <c r="E26" i="23"/>
  <c r="E4" i="24"/>
  <c r="E23" i="24" s="1"/>
  <c r="Y26" i="23"/>
  <c r="Y4" i="24"/>
  <c r="Y23" i="24" s="1"/>
  <c r="G26" i="23"/>
  <c r="G4" i="24"/>
  <c r="G23" i="24" s="1"/>
  <c r="X26" i="23"/>
  <c r="X4" i="24"/>
  <c r="X23" i="24" s="1"/>
  <c r="H26" i="23"/>
  <c r="H4" i="24"/>
  <c r="H23" i="24" s="1"/>
  <c r="N26" i="23"/>
  <c r="N4" i="24"/>
  <c r="N23" i="24" s="1"/>
  <c r="M26" i="23"/>
  <c r="M4" i="24"/>
  <c r="M23" i="24" s="1"/>
  <c r="L26" i="23"/>
  <c r="L4" i="24"/>
  <c r="L23" i="24" s="1"/>
  <c r="R4" i="23"/>
  <c r="R24" i="23" s="1"/>
  <c r="R26" i="22"/>
  <c r="P26" i="23"/>
  <c r="P4" i="24"/>
  <c r="P23" i="24" s="1"/>
  <c r="Y28" i="22" l="1"/>
  <c r="U25" i="24"/>
  <c r="U4" i="25"/>
  <c r="U24" i="25" s="1"/>
  <c r="K25" i="24"/>
  <c r="K4" i="25"/>
  <c r="K24" i="25" s="1"/>
  <c r="V25" i="24"/>
  <c r="V4" i="25"/>
  <c r="V24" i="25" s="1"/>
  <c r="P25" i="24"/>
  <c r="P4" i="25"/>
  <c r="P24" i="25" s="1"/>
  <c r="X25" i="24"/>
  <c r="X4" i="25"/>
  <c r="X24" i="25" s="1"/>
  <c r="Y25" i="24"/>
  <c r="Y4" i="25"/>
  <c r="Y24" i="25" s="1"/>
  <c r="R26" i="23"/>
  <c r="R4" i="24"/>
  <c r="R23" i="24" s="1"/>
  <c r="O25" i="24"/>
  <c r="O4" i="25"/>
  <c r="O24" i="25" s="1"/>
  <c r="L25" i="24"/>
  <c r="L4" i="25"/>
  <c r="L24" i="25" s="1"/>
  <c r="Q25" i="24"/>
  <c r="Q4" i="25"/>
  <c r="Q24" i="25" s="1"/>
  <c r="I25" i="24"/>
  <c r="I4" i="25"/>
  <c r="I24" i="25" s="1"/>
  <c r="T25" i="24"/>
  <c r="T4" i="25"/>
  <c r="T24" i="25" s="1"/>
  <c r="F25" i="24"/>
  <c r="F4" i="25"/>
  <c r="F24" i="25" s="1"/>
  <c r="J25" i="24"/>
  <c r="J4" i="25"/>
  <c r="J24" i="25" s="1"/>
  <c r="N25" i="24"/>
  <c r="N4" i="25"/>
  <c r="N24" i="25" s="1"/>
  <c r="D26" i="23"/>
  <c r="D4" i="24"/>
  <c r="D23" i="24" s="1"/>
  <c r="M25" i="24"/>
  <c r="M4" i="25"/>
  <c r="M24" i="25" s="1"/>
  <c r="H25" i="24"/>
  <c r="H4" i="25"/>
  <c r="H24" i="25" s="1"/>
  <c r="G25" i="24"/>
  <c r="G4" i="25"/>
  <c r="G24" i="25" s="1"/>
  <c r="E25" i="24"/>
  <c r="E4" i="25"/>
  <c r="E24" i="25" s="1"/>
  <c r="T14" i="9"/>
  <c r="Y28" i="23" l="1"/>
  <c r="T26" i="25"/>
  <c r="T32" i="25"/>
  <c r="T35" i="25" s="1"/>
  <c r="O26" i="25"/>
  <c r="O32" i="25"/>
  <c r="O35" i="25" s="1"/>
  <c r="Y26" i="25"/>
  <c r="Y32" i="25"/>
  <c r="Y35" i="25" s="1"/>
  <c r="P26" i="25"/>
  <c r="P32" i="25"/>
  <c r="P35" i="25" s="1"/>
  <c r="K26" i="25"/>
  <c r="K32" i="25"/>
  <c r="K35" i="25" s="1"/>
  <c r="D25" i="24"/>
  <c r="D4" i="25"/>
  <c r="D24" i="25" s="1"/>
  <c r="E26" i="25"/>
  <c r="E32" i="25"/>
  <c r="E35" i="25" s="1"/>
  <c r="Q26" i="25"/>
  <c r="Q32" i="25"/>
  <c r="Q35" i="25" s="1"/>
  <c r="N26" i="25"/>
  <c r="N32" i="25"/>
  <c r="N35" i="25" s="1"/>
  <c r="I26" i="25"/>
  <c r="I32" i="25"/>
  <c r="I35" i="25" s="1"/>
  <c r="R25" i="24"/>
  <c r="R4" i="25"/>
  <c r="R24" i="25" s="1"/>
  <c r="X26" i="25"/>
  <c r="X32" i="25"/>
  <c r="X35" i="25" s="1"/>
  <c r="U26" i="25"/>
  <c r="U32" i="25"/>
  <c r="U35" i="25" s="1"/>
  <c r="H32" i="25"/>
  <c r="H35" i="25" s="1"/>
  <c r="H26" i="25"/>
  <c r="J26" i="25"/>
  <c r="J32" i="25"/>
  <c r="J35" i="25" s="1"/>
  <c r="G26" i="25"/>
  <c r="G32" i="25"/>
  <c r="G35" i="25" s="1"/>
  <c r="M26" i="25"/>
  <c r="M32" i="25"/>
  <c r="M35" i="25" s="1"/>
  <c r="F26" i="25"/>
  <c r="F32" i="25"/>
  <c r="F35" i="25" s="1"/>
  <c r="L26" i="25"/>
  <c r="L32" i="25"/>
  <c r="L35" i="25" s="1"/>
  <c r="V26" i="25"/>
  <c r="V32" i="25"/>
  <c r="V35" i="25" s="1"/>
  <c r="P12" i="9"/>
  <c r="Y27" i="24" l="1"/>
  <c r="D26" i="25"/>
  <c r="D32" i="25"/>
  <c r="D35" i="25" s="1"/>
  <c r="R26" i="25"/>
  <c r="R32" i="25"/>
  <c r="R35" i="25" s="1"/>
  <c r="D16" i="8"/>
  <c r="T13" i="8"/>
  <c r="Y36" i="25" l="1"/>
  <c r="Y28" i="25"/>
  <c r="Y37" i="25" l="1"/>
  <c r="K19" i="7"/>
  <c r="D18" i="7"/>
  <c r="D14" i="7"/>
  <c r="H14" i="7"/>
  <c r="D19" i="6" l="1"/>
  <c r="D18" i="6"/>
  <c r="D14" i="6" l="1"/>
  <c r="G13" i="6"/>
  <c r="D23" i="5" l="1"/>
  <c r="T16" i="5" l="1"/>
  <c r="T14" i="4" l="1"/>
  <c r="S24" i="4"/>
  <c r="S25" i="4" s="1"/>
  <c r="H33" i="4"/>
  <c r="D12" i="3" l="1"/>
  <c r="T11" i="3" l="1"/>
  <c r="H37" i="3" l="1"/>
  <c r="D18" i="2" l="1"/>
  <c r="P16" i="2" l="1"/>
  <c r="D65" i="1" l="1"/>
  <c r="V24" i="2"/>
  <c r="E24" i="2"/>
  <c r="D24" i="2"/>
  <c r="H36" i="2"/>
  <c r="W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U24" i="2"/>
  <c r="G26" i="2" l="1"/>
  <c r="G4" i="3"/>
  <c r="G25" i="3" s="1"/>
  <c r="K26" i="2"/>
  <c r="K4" i="3"/>
  <c r="K25" i="3" s="1"/>
  <c r="O26" i="2"/>
  <c r="O4" i="3"/>
  <c r="O25" i="3" s="1"/>
  <c r="S26" i="2"/>
  <c r="S4" i="3"/>
  <c r="S25" i="3" s="1"/>
  <c r="D26" i="2"/>
  <c r="D4" i="3"/>
  <c r="H26" i="2"/>
  <c r="H4" i="3"/>
  <c r="H25" i="3" s="1"/>
  <c r="L26" i="2"/>
  <c r="L4" i="3"/>
  <c r="L25" i="3" s="1"/>
  <c r="P26" i="2"/>
  <c r="P4" i="3"/>
  <c r="P25" i="3" s="1"/>
  <c r="T26" i="2"/>
  <c r="T4" i="3"/>
  <c r="T25" i="3" s="1"/>
  <c r="E26" i="2"/>
  <c r="E4" i="3"/>
  <c r="E25" i="3" s="1"/>
  <c r="U26" i="2"/>
  <c r="U4" i="3"/>
  <c r="U25" i="3" s="1"/>
  <c r="I26" i="2"/>
  <c r="I4" i="3"/>
  <c r="I25" i="3" s="1"/>
  <c r="M26" i="2"/>
  <c r="M4" i="3"/>
  <c r="M25" i="3" s="1"/>
  <c r="Q26" i="2"/>
  <c r="Q4" i="3"/>
  <c r="Q25" i="3" s="1"/>
  <c r="W26" i="2"/>
  <c r="W4" i="3"/>
  <c r="W25" i="3" s="1"/>
  <c r="V26" i="2"/>
  <c r="V4" i="3"/>
  <c r="V25" i="3" s="1"/>
  <c r="F26" i="2"/>
  <c r="F4" i="3"/>
  <c r="F25" i="3" s="1"/>
  <c r="J26" i="2"/>
  <c r="J4" i="3"/>
  <c r="J25" i="3" s="1"/>
  <c r="N26" i="2"/>
  <c r="N4" i="3"/>
  <c r="N25" i="3" s="1"/>
  <c r="R26" i="2"/>
  <c r="R4" i="3"/>
  <c r="R25" i="3" s="1"/>
  <c r="X26" i="2" l="1"/>
  <c r="R27" i="3"/>
  <c r="R4" i="4"/>
  <c r="R21" i="4" s="1"/>
  <c r="Q27" i="3"/>
  <c r="Q4" i="4"/>
  <c r="Q21" i="4" s="1"/>
  <c r="E27" i="3"/>
  <c r="E4" i="4"/>
  <c r="E21" i="4" s="1"/>
  <c r="P27" i="3"/>
  <c r="P4" i="4"/>
  <c r="P21" i="4" s="1"/>
  <c r="S27" i="3"/>
  <c r="S4" i="4"/>
  <c r="S21" i="4" s="1"/>
  <c r="K27" i="3"/>
  <c r="K4" i="4"/>
  <c r="K21" i="4" s="1"/>
  <c r="J27" i="3"/>
  <c r="J4" i="4"/>
  <c r="J21" i="4" s="1"/>
  <c r="I27" i="3"/>
  <c r="I4" i="4"/>
  <c r="I21" i="4" s="1"/>
  <c r="H27" i="3"/>
  <c r="H4" i="4"/>
  <c r="H21" i="4" s="1"/>
  <c r="F27" i="3"/>
  <c r="F4" i="4"/>
  <c r="F21" i="4" s="1"/>
  <c r="M27" i="3"/>
  <c r="M4" i="4"/>
  <c r="M21" i="4" s="1"/>
  <c r="U27" i="3"/>
  <c r="U4" i="4"/>
  <c r="U21" i="4" s="1"/>
  <c r="L27" i="3"/>
  <c r="L4" i="4"/>
  <c r="L21" i="4" s="1"/>
  <c r="O27" i="3"/>
  <c r="O4" i="4"/>
  <c r="O21" i="4" s="1"/>
  <c r="G27" i="3"/>
  <c r="G4" i="4"/>
  <c r="G21" i="4" s="1"/>
  <c r="V27" i="3"/>
  <c r="V4" i="4"/>
  <c r="V21" i="4" s="1"/>
  <c r="N27" i="3"/>
  <c r="N4" i="4"/>
  <c r="N21" i="4" s="1"/>
  <c r="W27" i="3"/>
  <c r="W4" i="4"/>
  <c r="W21" i="4" s="1"/>
  <c r="T27" i="3"/>
  <c r="T4" i="4"/>
  <c r="T21" i="4" s="1"/>
  <c r="D25" i="3"/>
  <c r="D4" i="4" s="1"/>
  <c r="D21" i="4" s="1"/>
  <c r="G77" i="1"/>
  <c r="D23" i="4" l="1"/>
  <c r="D4" i="5"/>
  <c r="D21" i="5" s="1"/>
  <c r="V23" i="4"/>
  <c r="V4" i="5"/>
  <c r="V21" i="5" s="1"/>
  <c r="U23" i="4"/>
  <c r="U4" i="5"/>
  <c r="U21" i="5" s="1"/>
  <c r="F23" i="4"/>
  <c r="F4" i="5"/>
  <c r="F21" i="5" s="1"/>
  <c r="I23" i="4"/>
  <c r="I4" i="5"/>
  <c r="I21" i="5" s="1"/>
  <c r="P23" i="4"/>
  <c r="P4" i="5"/>
  <c r="P21" i="5" s="1"/>
  <c r="Q23" i="4"/>
  <c r="Q4" i="5"/>
  <c r="Q21" i="5" s="1"/>
  <c r="W23" i="4"/>
  <c r="W4" i="5"/>
  <c r="W21" i="5" s="1"/>
  <c r="O23" i="4"/>
  <c r="O4" i="5"/>
  <c r="O21" i="5" s="1"/>
  <c r="K23" i="4"/>
  <c r="K4" i="5"/>
  <c r="K21" i="5" s="1"/>
  <c r="D27" i="3"/>
  <c r="X27" i="3" s="1"/>
  <c r="R23" i="4"/>
  <c r="R4" i="5"/>
  <c r="R21" i="5" s="1"/>
  <c r="T23" i="4"/>
  <c r="T4" i="5"/>
  <c r="T21" i="5" s="1"/>
  <c r="N23" i="4"/>
  <c r="N4" i="5"/>
  <c r="N21" i="5" s="1"/>
  <c r="G23" i="4"/>
  <c r="G4" i="5"/>
  <c r="G21" i="5" s="1"/>
  <c r="L23" i="4"/>
  <c r="L4" i="5"/>
  <c r="L21" i="5" s="1"/>
  <c r="M23" i="4"/>
  <c r="M4" i="5"/>
  <c r="M21" i="5" s="1"/>
  <c r="H23" i="4"/>
  <c r="H4" i="5"/>
  <c r="H21" i="5" s="1"/>
  <c r="J23" i="4"/>
  <c r="J4" i="5"/>
  <c r="J21" i="5" s="1"/>
  <c r="S23" i="4"/>
  <c r="S4" i="5"/>
  <c r="S21" i="5" s="1"/>
  <c r="E23" i="4"/>
  <c r="E4" i="5"/>
  <c r="E21" i="5" s="1"/>
  <c r="T24" i="1"/>
  <c r="T65" i="1" s="1"/>
  <c r="T67" i="1" s="1"/>
  <c r="U65" i="1"/>
  <c r="U67" i="1" s="1"/>
  <c r="S65" i="1"/>
  <c r="S67" i="1" s="1"/>
  <c r="R65" i="1"/>
  <c r="R67" i="1" s="1"/>
  <c r="Q65" i="1"/>
  <c r="Q67" i="1" s="1"/>
  <c r="P65" i="1"/>
  <c r="P67" i="1" s="1"/>
  <c r="O65" i="1"/>
  <c r="O67" i="1" s="1"/>
  <c r="N65" i="1"/>
  <c r="N67" i="1" s="1"/>
  <c r="M65" i="1"/>
  <c r="M67" i="1" s="1"/>
  <c r="L65" i="1"/>
  <c r="L67" i="1" s="1"/>
  <c r="K65" i="1"/>
  <c r="K67" i="1" s="1"/>
  <c r="J65" i="1"/>
  <c r="J67" i="1" s="1"/>
  <c r="I65" i="1"/>
  <c r="I67" i="1" s="1"/>
  <c r="H65" i="1"/>
  <c r="H67" i="1" s="1"/>
  <c r="G65" i="1"/>
  <c r="G67" i="1" s="1"/>
  <c r="F65" i="1"/>
  <c r="F67" i="1" s="1"/>
  <c r="E65" i="1"/>
  <c r="E67" i="1" s="1"/>
  <c r="D67" i="1"/>
  <c r="L23" i="5" l="1"/>
  <c r="L4" i="6"/>
  <c r="L22" i="6" s="1"/>
  <c r="L26" i="5"/>
  <c r="X23" i="4"/>
  <c r="K23" i="5"/>
  <c r="K26" i="5"/>
  <c r="K4" i="6"/>
  <c r="K22" i="6" s="1"/>
  <c r="W23" i="5"/>
  <c r="W4" i="6"/>
  <c r="W22" i="6" s="1"/>
  <c r="W26" i="5"/>
  <c r="P23" i="5"/>
  <c r="P4" i="6"/>
  <c r="P22" i="6" s="1"/>
  <c r="P26" i="5"/>
  <c r="F23" i="5"/>
  <c r="F4" i="6"/>
  <c r="F22" i="6" s="1"/>
  <c r="F26" i="5"/>
  <c r="V23" i="5"/>
  <c r="V4" i="6"/>
  <c r="V22" i="6" s="1"/>
  <c r="V26" i="5"/>
  <c r="S23" i="5"/>
  <c r="S4" i="6"/>
  <c r="S22" i="6" s="1"/>
  <c r="S26" i="5"/>
  <c r="N23" i="5"/>
  <c r="N4" i="6"/>
  <c r="N22" i="6" s="1"/>
  <c r="N26" i="5"/>
  <c r="O23" i="5"/>
  <c r="O4" i="6"/>
  <c r="O22" i="6" s="1"/>
  <c r="O26" i="5"/>
  <c r="Q23" i="5"/>
  <c r="Q4" i="6"/>
  <c r="Q22" i="6" s="1"/>
  <c r="Q26" i="5"/>
  <c r="I23" i="5"/>
  <c r="I4" i="6"/>
  <c r="I22" i="6" s="1"/>
  <c r="I26" i="5"/>
  <c r="U23" i="5"/>
  <c r="U4" i="6"/>
  <c r="U22" i="6" s="1"/>
  <c r="U26" i="5"/>
  <c r="D4" i="6"/>
  <c r="D22" i="6" s="1"/>
  <c r="D26" i="5"/>
  <c r="H23" i="5"/>
  <c r="H4" i="6"/>
  <c r="H22" i="6" s="1"/>
  <c r="H26" i="5"/>
  <c r="R23" i="5"/>
  <c r="R4" i="6"/>
  <c r="R22" i="6" s="1"/>
  <c r="R26" i="5"/>
  <c r="E4" i="6"/>
  <c r="E22" i="6" s="1"/>
  <c r="E26" i="5"/>
  <c r="E23" i="5"/>
  <c r="J23" i="5"/>
  <c r="J4" i="6"/>
  <c r="J22" i="6" s="1"/>
  <c r="J26" i="5"/>
  <c r="M23" i="5"/>
  <c r="M4" i="6"/>
  <c r="M22" i="6" s="1"/>
  <c r="M26" i="5"/>
  <c r="G4" i="6"/>
  <c r="G22" i="6" s="1"/>
  <c r="G23" i="5"/>
  <c r="G26" i="5"/>
  <c r="T4" i="6"/>
  <c r="T22" i="6" s="1"/>
  <c r="T23" i="5"/>
  <c r="T26" i="5"/>
  <c r="V67" i="1"/>
  <c r="I4" i="7" l="1"/>
  <c r="I24" i="7" s="1"/>
  <c r="I24" i="6"/>
  <c r="W4" i="7"/>
  <c r="W24" i="7" s="1"/>
  <c r="W24" i="6"/>
  <c r="M4" i="7"/>
  <c r="M24" i="7" s="1"/>
  <c r="M24" i="6"/>
  <c r="H4" i="7"/>
  <c r="H24" i="7" s="1"/>
  <c r="H24" i="6"/>
  <c r="S24" i="6"/>
  <c r="S4" i="7"/>
  <c r="S24" i="7" s="1"/>
  <c r="R24" i="6"/>
  <c r="R4" i="7"/>
  <c r="R24" i="7" s="1"/>
  <c r="U4" i="7"/>
  <c r="U24" i="7" s="1"/>
  <c r="U24" i="6"/>
  <c r="N4" i="7"/>
  <c r="N24" i="7" s="1"/>
  <c r="N24" i="6"/>
  <c r="P4" i="7"/>
  <c r="P24" i="7" s="1"/>
  <c r="P24" i="6"/>
  <c r="X23" i="5"/>
  <c r="G4" i="7"/>
  <c r="G24" i="7" s="1"/>
  <c r="G24" i="6"/>
  <c r="O4" i="7"/>
  <c r="O24" i="7" s="1"/>
  <c r="O24" i="6"/>
  <c r="F4" i="7"/>
  <c r="F24" i="7" s="1"/>
  <c r="F24" i="6"/>
  <c r="K4" i="7"/>
  <c r="K24" i="7" s="1"/>
  <c r="K24" i="6"/>
  <c r="T4" i="7"/>
  <c r="T24" i="7" s="1"/>
  <c r="T24" i="6"/>
  <c r="J4" i="7"/>
  <c r="J24" i="7" s="1"/>
  <c r="J24" i="6"/>
  <c r="E4" i="7"/>
  <c r="E24" i="7" s="1"/>
  <c r="E24" i="6"/>
  <c r="D24" i="6"/>
  <c r="D4" i="7"/>
  <c r="D24" i="7" s="1"/>
  <c r="Q4" i="7"/>
  <c r="Q24" i="7" s="1"/>
  <c r="Q24" i="6"/>
  <c r="V4" i="7"/>
  <c r="V24" i="7" s="1"/>
  <c r="V24" i="6"/>
  <c r="L4" i="7"/>
  <c r="L24" i="7" s="1"/>
  <c r="L24" i="6"/>
  <c r="X24" i="6" l="1"/>
  <c r="J4" i="8"/>
  <c r="J21" i="8" s="1"/>
  <c r="J26" i="7"/>
  <c r="J29" i="7"/>
  <c r="D29" i="7"/>
  <c r="D4" i="8"/>
  <c r="D21" i="8" s="1"/>
  <c r="D26" i="7"/>
  <c r="N4" i="8"/>
  <c r="N21" i="8" s="1"/>
  <c r="N29" i="7"/>
  <c r="N26" i="7"/>
  <c r="K4" i="8"/>
  <c r="K21" i="8" s="1"/>
  <c r="K29" i="7"/>
  <c r="K26" i="7"/>
  <c r="W4" i="8"/>
  <c r="W21" i="8" s="1"/>
  <c r="W26" i="7"/>
  <c r="W29" i="7"/>
  <c r="P4" i="8"/>
  <c r="P21" i="8" s="1"/>
  <c r="P29" i="7"/>
  <c r="P26" i="7"/>
  <c r="U29" i="7"/>
  <c r="U4" i="8"/>
  <c r="U21" i="8" s="1"/>
  <c r="U26" i="7"/>
  <c r="S4" i="8"/>
  <c r="S21" i="8" s="1"/>
  <c r="S29" i="7"/>
  <c r="S26" i="7"/>
  <c r="V4" i="8"/>
  <c r="V21" i="8" s="1"/>
  <c r="V29" i="7"/>
  <c r="V26" i="7"/>
  <c r="O4" i="8"/>
  <c r="O21" i="8" s="1"/>
  <c r="O26" i="7"/>
  <c r="O29" i="7"/>
  <c r="H4" i="8"/>
  <c r="H21" i="8" s="1"/>
  <c r="H29" i="7"/>
  <c r="H26" i="7"/>
  <c r="L26" i="7"/>
  <c r="L4" i="8"/>
  <c r="L21" i="8" s="1"/>
  <c r="L29" i="7"/>
  <c r="Q4" i="8"/>
  <c r="Q21" i="8" s="1"/>
  <c r="Q26" i="7"/>
  <c r="Q29" i="7"/>
  <c r="E4" i="8"/>
  <c r="E21" i="8" s="1"/>
  <c r="E26" i="7"/>
  <c r="E29" i="7"/>
  <c r="T4" i="8"/>
  <c r="T21" i="8" s="1"/>
  <c r="T26" i="7"/>
  <c r="T29" i="7"/>
  <c r="F4" i="8"/>
  <c r="F21" i="8" s="1"/>
  <c r="F29" i="7"/>
  <c r="F26" i="7"/>
  <c r="G4" i="8"/>
  <c r="G21" i="8" s="1"/>
  <c r="G29" i="7"/>
  <c r="G26" i="7"/>
  <c r="R4" i="8"/>
  <c r="R21" i="8" s="1"/>
  <c r="R26" i="7"/>
  <c r="R29" i="7"/>
  <c r="M26" i="7"/>
  <c r="M4" i="8"/>
  <c r="M21" i="8" s="1"/>
  <c r="M29" i="7"/>
  <c r="I4" i="8"/>
  <c r="I21" i="8" s="1"/>
  <c r="I29" i="7"/>
  <c r="I26" i="7"/>
  <c r="M4" i="9" l="1"/>
  <c r="M21" i="9" s="1"/>
  <c r="M23" i="8"/>
  <c r="M26" i="8"/>
  <c r="R4" i="9"/>
  <c r="R21" i="9" s="1"/>
  <c r="R26" i="8"/>
  <c r="R23" i="8"/>
  <c r="E26" i="8"/>
  <c r="E4" i="9"/>
  <c r="E21" i="9" s="1"/>
  <c r="E23" i="8"/>
  <c r="O4" i="9"/>
  <c r="O21" i="9" s="1"/>
  <c r="O23" i="8"/>
  <c r="O26" i="8"/>
  <c r="U4" i="9"/>
  <c r="U21" i="9" s="1"/>
  <c r="U23" i="8"/>
  <c r="U26" i="8"/>
  <c r="P4" i="9"/>
  <c r="P23" i="8"/>
  <c r="P26" i="8"/>
  <c r="T4" i="9"/>
  <c r="T21" i="9" s="1"/>
  <c r="T26" i="8"/>
  <c r="T23" i="8"/>
  <c r="L4" i="9"/>
  <c r="L21" i="9" s="1"/>
  <c r="L26" i="8"/>
  <c r="L23" i="8"/>
  <c r="H4" i="9"/>
  <c r="H21" i="9" s="1"/>
  <c r="H26" i="8"/>
  <c r="H23" i="8"/>
  <c r="N4" i="9"/>
  <c r="N21" i="9" s="1"/>
  <c r="N26" i="8"/>
  <c r="N23" i="8"/>
  <c r="I4" i="9"/>
  <c r="I21" i="9" s="1"/>
  <c r="I26" i="8"/>
  <c r="I23" i="8"/>
  <c r="F4" i="9"/>
  <c r="F21" i="9" s="1"/>
  <c r="F26" i="8"/>
  <c r="F23" i="8"/>
  <c r="S4" i="9"/>
  <c r="S21" i="9" s="1"/>
  <c r="S26" i="8"/>
  <c r="S23" i="8"/>
  <c r="K4" i="9"/>
  <c r="K21" i="9" s="1"/>
  <c r="K23" i="8"/>
  <c r="K26" i="8"/>
  <c r="X26" i="7"/>
  <c r="G4" i="9"/>
  <c r="G21" i="9" s="1"/>
  <c r="G23" i="8"/>
  <c r="G26" i="8"/>
  <c r="Q4" i="9"/>
  <c r="Q21" i="9" s="1"/>
  <c r="Q23" i="8"/>
  <c r="Q26" i="8"/>
  <c r="V4" i="9"/>
  <c r="V21" i="9" s="1"/>
  <c r="V26" i="8"/>
  <c r="V23" i="8"/>
  <c r="W4" i="9"/>
  <c r="W21" i="9" s="1"/>
  <c r="W23" i="8"/>
  <c r="W26" i="8"/>
  <c r="D4" i="9"/>
  <c r="D21" i="9" s="1"/>
  <c r="D23" i="8"/>
  <c r="D26" i="8"/>
  <c r="J4" i="9"/>
  <c r="J21" i="9" s="1"/>
  <c r="J26" i="8"/>
  <c r="J23" i="8"/>
  <c r="D23" i="9" l="1"/>
  <c r="D4" i="10"/>
  <c r="D21" i="10" s="1"/>
  <c r="G23" i="9"/>
  <c r="G4" i="10"/>
  <c r="G21" i="10" s="1"/>
  <c r="K23" i="9"/>
  <c r="K4" i="10"/>
  <c r="K21" i="10" s="1"/>
  <c r="N23" i="9"/>
  <c r="N4" i="10"/>
  <c r="N21" i="10" s="1"/>
  <c r="P21" i="9"/>
  <c r="P4" i="10" s="1"/>
  <c r="P21" i="10" s="1"/>
  <c r="E23" i="9"/>
  <c r="E4" i="10"/>
  <c r="E21" i="10" s="1"/>
  <c r="R23" i="9"/>
  <c r="R4" i="10"/>
  <c r="R21" i="10" s="1"/>
  <c r="Q23" i="9"/>
  <c r="Q4" i="10"/>
  <c r="Q21" i="10" s="1"/>
  <c r="I23" i="9"/>
  <c r="I4" i="10"/>
  <c r="I21" i="10" s="1"/>
  <c r="T23" i="9"/>
  <c r="T4" i="10"/>
  <c r="T21" i="10" s="1"/>
  <c r="V23" i="9"/>
  <c r="V4" i="10"/>
  <c r="V21" i="10" s="1"/>
  <c r="F23" i="9"/>
  <c r="F4" i="10"/>
  <c r="F21" i="10" s="1"/>
  <c r="L23" i="9"/>
  <c r="L4" i="10"/>
  <c r="L21" i="10" s="1"/>
  <c r="O23" i="9"/>
  <c r="O4" i="10"/>
  <c r="O21" i="10" s="1"/>
  <c r="J23" i="9"/>
  <c r="J4" i="10"/>
  <c r="J21" i="10" s="1"/>
  <c r="X23" i="8"/>
  <c r="W23" i="9"/>
  <c r="W4" i="10"/>
  <c r="W21" i="10" s="1"/>
  <c r="S23" i="9"/>
  <c r="S4" i="10"/>
  <c r="S21" i="10" s="1"/>
  <c r="H23" i="9"/>
  <c r="H4" i="10"/>
  <c r="H21" i="10" s="1"/>
  <c r="U23" i="9"/>
  <c r="U4" i="10"/>
  <c r="U21" i="10" s="1"/>
  <c r="M23" i="9"/>
  <c r="M4" i="10"/>
  <c r="M21" i="10" s="1"/>
  <c r="O23" i="10" l="1"/>
  <c r="O4" i="11"/>
  <c r="O21" i="11" s="1"/>
  <c r="F23" i="10"/>
  <c r="F4" i="11"/>
  <c r="F21" i="11" s="1"/>
  <c r="T23" i="10"/>
  <c r="T4" i="11"/>
  <c r="T21" i="11" s="1"/>
  <c r="Q4" i="11"/>
  <c r="Q21" i="11" s="1"/>
  <c r="Q23" i="10"/>
  <c r="E23" i="10"/>
  <c r="E4" i="11"/>
  <c r="E21" i="11" s="1"/>
  <c r="N23" i="10"/>
  <c r="N4" i="11"/>
  <c r="N21" i="11" s="1"/>
  <c r="G23" i="10"/>
  <c r="G4" i="11"/>
  <c r="G21" i="11" s="1"/>
  <c r="U23" i="10"/>
  <c r="U4" i="11"/>
  <c r="U21" i="11" s="1"/>
  <c r="S23" i="10"/>
  <c r="S4" i="11"/>
  <c r="S21" i="11" s="1"/>
  <c r="J23" i="10"/>
  <c r="J4" i="11"/>
  <c r="J21" i="11" s="1"/>
  <c r="L23" i="10"/>
  <c r="L4" i="11"/>
  <c r="L21" i="11" s="1"/>
  <c r="V23" i="10"/>
  <c r="V4" i="11"/>
  <c r="V21" i="11" s="1"/>
  <c r="I23" i="10"/>
  <c r="I4" i="11"/>
  <c r="I21" i="11" s="1"/>
  <c r="R23" i="10"/>
  <c r="R4" i="11"/>
  <c r="R21" i="11" s="1"/>
  <c r="P23" i="10"/>
  <c r="P4" i="11"/>
  <c r="P21" i="11" s="1"/>
  <c r="K23" i="10"/>
  <c r="K4" i="11"/>
  <c r="K21" i="11" s="1"/>
  <c r="D23" i="10"/>
  <c r="D4" i="11"/>
  <c r="D21" i="11" s="1"/>
  <c r="M23" i="10"/>
  <c r="M4" i="11"/>
  <c r="M21" i="11" s="1"/>
  <c r="H23" i="10"/>
  <c r="H4" i="11"/>
  <c r="H21" i="11" s="1"/>
  <c r="W23" i="10"/>
  <c r="W4" i="11"/>
  <c r="W21" i="11" s="1"/>
  <c r="P23" i="9"/>
  <c r="X23" i="9"/>
  <c r="M23" i="11" l="1"/>
  <c r="M4" i="12"/>
  <c r="M21" i="12" s="1"/>
  <c r="V23" i="11"/>
  <c r="V4" i="12"/>
  <c r="V21" i="12" s="1"/>
  <c r="J23" i="11"/>
  <c r="J4" i="12"/>
  <c r="J21" i="12" s="1"/>
  <c r="U23" i="11"/>
  <c r="U4" i="12"/>
  <c r="U21" i="12" s="1"/>
  <c r="N23" i="11"/>
  <c r="N4" i="12"/>
  <c r="N21" i="12" s="1"/>
  <c r="F23" i="11"/>
  <c r="F4" i="12"/>
  <c r="F21" i="12" s="1"/>
  <c r="R23" i="11"/>
  <c r="R4" i="12"/>
  <c r="R21" i="12" s="1"/>
  <c r="Q23" i="11"/>
  <c r="Q4" i="12"/>
  <c r="Q21" i="12" s="1"/>
  <c r="K23" i="11"/>
  <c r="K4" i="12"/>
  <c r="K21" i="12" s="1"/>
  <c r="H23" i="11"/>
  <c r="H4" i="12"/>
  <c r="H21" i="12" s="1"/>
  <c r="P23" i="11"/>
  <c r="P4" i="12"/>
  <c r="P21" i="12" s="1"/>
  <c r="I23" i="11"/>
  <c r="I4" i="12"/>
  <c r="I21" i="12" s="1"/>
  <c r="S23" i="11"/>
  <c r="S4" i="12"/>
  <c r="S21" i="12" s="1"/>
  <c r="G23" i="11"/>
  <c r="G4" i="12"/>
  <c r="G21" i="12" s="1"/>
  <c r="E23" i="11"/>
  <c r="E4" i="12"/>
  <c r="E21" i="12" s="1"/>
  <c r="T23" i="11"/>
  <c r="T4" i="12"/>
  <c r="T21" i="12" s="1"/>
  <c r="O23" i="11"/>
  <c r="O4" i="12"/>
  <c r="O21" i="12" s="1"/>
  <c r="W23" i="11"/>
  <c r="W4" i="12"/>
  <c r="W21" i="12" s="1"/>
  <c r="D23" i="11"/>
  <c r="D4" i="12"/>
  <c r="D21" i="12" s="1"/>
  <c r="L23" i="11"/>
  <c r="L4" i="12"/>
  <c r="L21" i="12" s="1"/>
  <c r="X23" i="10"/>
  <c r="T23" i="12" l="1"/>
  <c r="T27" i="12"/>
  <c r="T29" i="12" s="1"/>
  <c r="I23" i="12"/>
  <c r="I27" i="12"/>
  <c r="I29" i="12" s="1"/>
  <c r="Q23" i="12"/>
  <c r="Q27" i="12"/>
  <c r="Q28" i="12" s="1"/>
  <c r="F23" i="12"/>
  <c r="F27" i="12"/>
  <c r="F29" i="12" s="1"/>
  <c r="U23" i="12"/>
  <c r="U27" i="12"/>
  <c r="U29" i="12" s="1"/>
  <c r="V23" i="12"/>
  <c r="V27" i="12"/>
  <c r="V28" i="12" s="1"/>
  <c r="H23" i="12"/>
  <c r="H27" i="12"/>
  <c r="H28" i="12" s="1"/>
  <c r="D23" i="12"/>
  <c r="D27" i="12"/>
  <c r="D28" i="12" s="1"/>
  <c r="W23" i="12"/>
  <c r="W27" i="12"/>
  <c r="W29" i="12" s="1"/>
  <c r="O27" i="12"/>
  <c r="O23" i="12"/>
  <c r="S23" i="12"/>
  <c r="S27" i="12"/>
  <c r="P23" i="12"/>
  <c r="P27" i="12"/>
  <c r="P29" i="12" s="1"/>
  <c r="R23" i="12"/>
  <c r="R27" i="12"/>
  <c r="R28" i="12" s="1"/>
  <c r="N23" i="12"/>
  <c r="N27" i="12"/>
  <c r="J27" i="12"/>
  <c r="J29" i="12" s="1"/>
  <c r="J23" i="12"/>
  <c r="M23" i="12"/>
  <c r="M27" i="12"/>
  <c r="G23" i="12"/>
  <c r="G27" i="12"/>
  <c r="G29" i="12" s="1"/>
  <c r="X23" i="11"/>
  <c r="E23" i="12"/>
  <c r="E27" i="12"/>
  <c r="E28" i="12" s="1"/>
  <c r="K23" i="12"/>
  <c r="K27" i="12"/>
  <c r="K28" i="12" s="1"/>
  <c r="L23" i="12"/>
  <c r="L27" i="12"/>
  <c r="X28" i="12" l="1"/>
  <c r="X29" i="12"/>
  <c r="X23" i="12"/>
  <c r="X21" i="12" l="1"/>
  <c r="X19" i="12" s="1"/>
  <c r="AD25" i="137"/>
  <c r="E125" i="138"/>
  <c r="E125" i="138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P16" authorId="0" shapeId="0" xr:uid="{E39708BB-4B26-4353-9507-AFFA0FB4F938}">
      <text>
        <r>
          <rPr>
            <b/>
            <sz val="9"/>
            <color indexed="81"/>
            <rFont val="Tahoma"/>
            <family val="2"/>
          </rPr>
          <t>NO SALIO 300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13" authorId="0" shapeId="0" xr:uid="{EE50B710-71B9-4D35-A58F-29D08696F47D}">
      <text>
        <r>
          <rPr>
            <b/>
            <sz val="9"/>
            <color indexed="81"/>
            <rFont val="Tahoma"/>
            <family val="2"/>
          </rPr>
          <t>SOLO LLEVO 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17" authorId="0" shapeId="0" xr:uid="{97BBC459-B2D6-4203-A25E-4BDC3FC982D2}">
      <text>
        <r>
          <rPr>
            <b/>
            <sz val="9"/>
            <color indexed="81"/>
            <rFont val="Tahoma"/>
            <family val="2"/>
          </rPr>
          <t>NAPO LUCAS 10/11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M457" authorId="0" shapeId="0" xr:uid="{B4304CF5-00C7-48AB-891B-CA33A3B4E63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1000 T 15 ITAL 
1000 T 12 ITAL 
5000 PAND TAYSON
12 MIL PAND FORTES </t>
        </r>
      </text>
    </comment>
    <comment ref="M522" authorId="0" shapeId="0" xr:uid="{4360BFC0-2277-45FE-85BF-0B68CDB3DC9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1000 T 15 ITAL 
1000 T 12 ITAL 
5000 PAND TAYSON
12 MIL PAND FORTES </t>
        </r>
      </text>
    </comment>
    <comment ref="M571" authorId="0" shapeId="0" xr:uid="{9A94B0A6-1A01-40E6-8637-614ECD26D4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1000 T 15 ITAL 
1000 T 12 ITAL 
5000 PAND TAYSON
12 MIL PAND FORTES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<sst xmlns="http://schemas.openxmlformats.org/spreadsheetml/2006/main" count="15303" uniqueCount="1450">
  <si>
    <t>PANDERETA</t>
  </si>
  <si>
    <t>18 HUECOS</t>
  </si>
  <si>
    <t>TECHO 12</t>
  </si>
  <si>
    <t>TECHO 15</t>
  </si>
  <si>
    <t>ARTESANAL</t>
  </si>
  <si>
    <t>TECHO 08</t>
  </si>
  <si>
    <t>FECHA</t>
  </si>
  <si>
    <t>CLIENTE</t>
  </si>
  <si>
    <t>SIPAN</t>
  </si>
  <si>
    <t>CERAMICOS</t>
  </si>
  <si>
    <t>CALCA</t>
  </si>
  <si>
    <t>TORRE FUERTE</t>
  </si>
  <si>
    <t>LARK</t>
  </si>
  <si>
    <t>FORTALEZA</t>
  </si>
  <si>
    <t>CRUZ CHALPON</t>
  </si>
  <si>
    <t>TAISON</t>
  </si>
  <si>
    <t>ITAL</t>
  </si>
  <si>
    <t>BODOQUE</t>
  </si>
  <si>
    <t>PEQUEÑO</t>
  </si>
  <si>
    <t>INGRESO</t>
  </si>
  <si>
    <t>INICIAL</t>
  </si>
  <si>
    <t>SALIDADA</t>
  </si>
  <si>
    <t>VENTAS H&amp;C</t>
  </si>
  <si>
    <t>SALDO</t>
  </si>
  <si>
    <t>M5P-711</t>
  </si>
  <si>
    <t>AZABACHE</t>
  </si>
  <si>
    <t>ARCENIO MEJIA</t>
  </si>
  <si>
    <t>M6I-897</t>
  </si>
  <si>
    <t>DEVOLUCION</t>
  </si>
  <si>
    <t>JH</t>
  </si>
  <si>
    <t>CHALPON</t>
  </si>
  <si>
    <t>TIPO 4</t>
  </si>
  <si>
    <t>PATRICIA</t>
  </si>
  <si>
    <t>KELY</t>
  </si>
  <si>
    <t>CERAM</t>
  </si>
  <si>
    <t>REAL</t>
  </si>
  <si>
    <t>DIFERENCIA</t>
  </si>
  <si>
    <t>182015Mj</t>
  </si>
  <si>
    <t>VENTAS JORDY</t>
  </si>
  <si>
    <t>DEV MORANTE</t>
  </si>
  <si>
    <t>MERMAS</t>
  </si>
  <si>
    <t>H&amp;C VENTAS</t>
  </si>
  <si>
    <t>JORDY H</t>
  </si>
  <si>
    <t>CANTIDAD</t>
  </si>
  <si>
    <t>ARCENIO</t>
  </si>
  <si>
    <t>VENTA JORDY</t>
  </si>
  <si>
    <t>M8B-893</t>
  </si>
  <si>
    <t>SUPER KK</t>
  </si>
  <si>
    <t>DIF/SOLES</t>
  </si>
  <si>
    <t>STOCK REAL</t>
  </si>
  <si>
    <t>NAPO GUEVARA</t>
  </si>
  <si>
    <t>TUMAN</t>
  </si>
  <si>
    <t>P.UNITARIO</t>
  </si>
  <si>
    <t>TOTAL</t>
  </si>
  <si>
    <t>VENTASJORDY</t>
  </si>
  <si>
    <t>M8B-897</t>
  </si>
  <si>
    <t>JH FERROC</t>
  </si>
  <si>
    <t>COSTO</t>
  </si>
  <si>
    <t>DIF EN SOLES</t>
  </si>
  <si>
    <t>DIF STOCK</t>
  </si>
  <si>
    <t>INICIO S/.</t>
  </si>
  <si>
    <t>CHICLAYO24h</t>
  </si>
  <si>
    <t>SALIDA</t>
  </si>
  <si>
    <t>ZERAMIX</t>
  </si>
  <si>
    <t>FISICO</t>
  </si>
  <si>
    <t>M6I-893</t>
  </si>
  <si>
    <t>RAMOS</t>
  </si>
  <si>
    <t>TOTAL S/.</t>
  </si>
  <si>
    <t>COLEGIO</t>
  </si>
  <si>
    <t>GALCA</t>
  </si>
  <si>
    <t>160*1.8</t>
  </si>
  <si>
    <t>FLETE</t>
  </si>
  <si>
    <t>ANGEL</t>
  </si>
  <si>
    <t>FALTANTE</t>
  </si>
  <si>
    <t>PRECIO</t>
  </si>
  <si>
    <t>PROMAT-JH</t>
  </si>
  <si>
    <t>ANTERIOR</t>
  </si>
  <si>
    <t>TAYSON</t>
  </si>
  <si>
    <t>M7A-897</t>
  </si>
  <si>
    <t>VENTA H&amp;C</t>
  </si>
  <si>
    <t>M8B-973</t>
  </si>
  <si>
    <t>JBC-BLANCO</t>
  </si>
  <si>
    <t>ESTELA</t>
  </si>
  <si>
    <t>CORPORACION</t>
  </si>
  <si>
    <t>soldar tanque radeador, tapa de radeador, gasolina</t>
  </si>
  <si>
    <t>ricardo</t>
  </si>
  <si>
    <t>M2Q-717</t>
  </si>
  <si>
    <t>ZERAMIK</t>
  </si>
  <si>
    <t>JBC</t>
  </si>
  <si>
    <t>MB8-893</t>
  </si>
  <si>
    <t>FUSO</t>
  </si>
  <si>
    <t>TIPO 12</t>
  </si>
  <si>
    <t>CONCRETO</t>
  </si>
  <si>
    <t>H&amp;C</t>
  </si>
  <si>
    <t>FIFERENCIA</t>
  </si>
  <si>
    <t>NAPO</t>
  </si>
  <si>
    <t>M8B-983</t>
  </si>
  <si>
    <t>CARLOS</t>
  </si>
  <si>
    <t>JAIRO</t>
  </si>
  <si>
    <t xml:space="preserve">JAIRO </t>
  </si>
  <si>
    <t>SERVIGON</t>
  </si>
  <si>
    <t>JBC/M7A</t>
  </si>
  <si>
    <t>FRANK</t>
  </si>
  <si>
    <t>ENEQUE</t>
  </si>
  <si>
    <t>JMC</t>
  </si>
  <si>
    <t>18 H</t>
  </si>
  <si>
    <t>SIPAN/2DA</t>
  </si>
  <si>
    <t>DEV</t>
  </si>
  <si>
    <t>AZAVACHE</t>
  </si>
  <si>
    <t>CONTEO REAL</t>
  </si>
  <si>
    <t>BRENILDA</t>
  </si>
  <si>
    <t>150 PEQ</t>
  </si>
  <si>
    <t>JBC-GUEVARA</t>
  </si>
  <si>
    <t>FORLAND</t>
  </si>
  <si>
    <t>SUP KK</t>
  </si>
  <si>
    <t>M5P-879</t>
  </si>
  <si>
    <t>CEERAMICOS</t>
  </si>
  <si>
    <t>SOLES</t>
  </si>
  <si>
    <t>CAJA/BANCO</t>
  </si>
  <si>
    <t>FLORES</t>
  </si>
  <si>
    <t>CREDITO/MAT</t>
  </si>
  <si>
    <t>PRESTAMO</t>
  </si>
  <si>
    <t>FAC/VENTA</t>
  </si>
  <si>
    <t>FAC/COMPRA</t>
  </si>
  <si>
    <t>CONTA</t>
  </si>
  <si>
    <t>SALDO CAJA</t>
  </si>
  <si>
    <t>RANDO</t>
  </si>
  <si>
    <t>PRESTAMO 1</t>
  </si>
  <si>
    <t>PRESTAMO 2</t>
  </si>
  <si>
    <t>OTROS</t>
  </si>
  <si>
    <t xml:space="preserve">ESTANDAR TORRE FUERTE </t>
  </si>
  <si>
    <t xml:space="preserve">VENTAS PROMAT </t>
  </si>
  <si>
    <t>VENTAS H&amp;C - PROMAT</t>
  </si>
  <si>
    <t xml:space="preserve">TRAILER </t>
  </si>
  <si>
    <t>JORDY</t>
  </si>
  <si>
    <t>VENTAS JORDIN-NAPO</t>
  </si>
  <si>
    <t>FORTE SIPAN</t>
  </si>
  <si>
    <t>PERDIDA</t>
  </si>
  <si>
    <t>INGRESO/OBSERVACION</t>
  </si>
  <si>
    <t xml:space="preserve"> </t>
  </si>
  <si>
    <t xml:space="preserve">VENTAS H&amp;C - HUARANCA </t>
  </si>
  <si>
    <t>SAN JOSE</t>
  </si>
  <si>
    <t>VENTAS H&amp;C - VILMA</t>
  </si>
  <si>
    <t>VENTAS H&amp;C - HAMERSON</t>
  </si>
  <si>
    <t>VENTAS H&amp;C ZEBALLOS</t>
  </si>
  <si>
    <t>VENTAS H&amp;C - SOLANO</t>
  </si>
  <si>
    <t>VENTAS H&amp;C BAROBZA</t>
  </si>
  <si>
    <t>VENTAS H&amp;C LUCERO</t>
  </si>
  <si>
    <t xml:space="preserve">NAPO GUEVARA </t>
  </si>
  <si>
    <t>ESTANDAR FORTALEZA</t>
  </si>
  <si>
    <t xml:space="preserve">FISICCO </t>
  </si>
  <si>
    <t>JHON</t>
  </si>
  <si>
    <t xml:space="preserve">REPORTE </t>
  </si>
  <si>
    <t xml:space="preserve">FALTA </t>
  </si>
  <si>
    <t>VENTAS H&amp;C - SANTA ANGELA - JORDI</t>
  </si>
  <si>
    <t>VENTAS H&amp;C - MORANTE</t>
  </si>
  <si>
    <t xml:space="preserve">VENTAS H &amp;C - SANTA ANGELA </t>
  </si>
  <si>
    <t xml:space="preserve">VENTAS H &amp;C -  SANTA ANGELA </t>
  </si>
  <si>
    <t xml:space="preserve">PANDERETA FORTALEZA </t>
  </si>
  <si>
    <t>FALTA</t>
  </si>
  <si>
    <t>VENTAS H &amp;C -  HIDROGO</t>
  </si>
  <si>
    <t>VENTAS H&amp;C MALCA- PATAPO</t>
  </si>
  <si>
    <t>FORTE</t>
  </si>
  <si>
    <t xml:space="preserve">VENTAS H&amp;C CHONGOYAPE </t>
  </si>
  <si>
    <t>M6Y-897</t>
  </si>
  <si>
    <t>VENTAS H6C - BAUTISTA RECOJO</t>
  </si>
  <si>
    <t xml:space="preserve">VENTAS H&amp;C - PEDRO AGUILAR </t>
  </si>
  <si>
    <t xml:space="preserve">VENTAS H&amp;C - SAUCEDO </t>
  </si>
  <si>
    <t>VENTAS H&amp;C JH</t>
  </si>
  <si>
    <t xml:space="preserve">VENTAS H&amp;C PROMAT </t>
  </si>
  <si>
    <t>VENTAS H&amp;C PEDRO AGUILAR</t>
  </si>
  <si>
    <t>VENTAS H&amp;C MONTALVAN</t>
  </si>
  <si>
    <t xml:space="preserve">VENTAS H&amp;C ZEVALLOS </t>
  </si>
  <si>
    <t>VENTAS H&amp;C AQUINO</t>
  </si>
  <si>
    <t xml:space="preserve">VENTAS H&amp;C - JHOVANY </t>
  </si>
  <si>
    <t>VENTAS H&amp;C CALUA - RECOJO</t>
  </si>
  <si>
    <t>punitario actual</t>
  </si>
  <si>
    <t>VENTAS H&amp;C - RECOJO HERNANDEZ</t>
  </si>
  <si>
    <t>PERDDIDA</t>
  </si>
  <si>
    <t>VENTAS H &amp;C - ANA VILLEGAS</t>
  </si>
  <si>
    <t>VENTAS H&amp;C GONZALES RUBIO</t>
  </si>
  <si>
    <t>TRAILER</t>
  </si>
  <si>
    <t>AAA</t>
  </si>
  <si>
    <t>VENTAS H&amp;C - POR RECOGER WALTER</t>
  </si>
  <si>
    <t xml:space="preserve">VENTAS H&amp;C - MONTALVAN </t>
  </si>
  <si>
    <t>VENTAS H&amp;C ANDY</t>
  </si>
  <si>
    <t>VENTAS H&amp;C SAMILLAN PIMENTEL</t>
  </si>
  <si>
    <t xml:space="preserve">LARIOS </t>
  </si>
  <si>
    <t>DBEMOS</t>
  </si>
  <si>
    <t>VENTAS H&amp;C - GASTELO MUNDACA</t>
  </si>
  <si>
    <t xml:space="preserve">VENTAS H&amp;C </t>
  </si>
  <si>
    <t>MANAY</t>
  </si>
  <si>
    <t xml:space="preserve">SAUCEDO </t>
  </si>
  <si>
    <t>CANCELADO</t>
  </si>
  <si>
    <t xml:space="preserve">VENTAS H&amp;C ANDY RUIZ </t>
  </si>
  <si>
    <t xml:space="preserve">VENTAS H&amp;C GUEVARA EL ROLLO </t>
  </si>
  <si>
    <t>VENTAS H&amp;C MAXIMO</t>
  </si>
  <si>
    <t>VENTAS H&amp;C MAYKEN</t>
  </si>
  <si>
    <t>VENTAS H&amp; C - CORREA</t>
  </si>
  <si>
    <t xml:space="preserve">VENTAS H&amp;C - CAMPOS </t>
  </si>
  <si>
    <t xml:space="preserve">JH </t>
  </si>
  <si>
    <t xml:space="preserve">STOCK ANTIGUO </t>
  </si>
  <si>
    <t xml:space="preserve">DIFERENCIA </t>
  </si>
  <si>
    <t xml:space="preserve">GUSTAVO GUEVARA </t>
  </si>
  <si>
    <t xml:space="preserve">DARIO </t>
  </si>
  <si>
    <t>BALANCE LADRILLO JH</t>
  </si>
  <si>
    <t>DESCRIPCION</t>
  </si>
  <si>
    <t xml:space="preserve">REFERENCIA </t>
  </si>
  <si>
    <t xml:space="preserve">28 MILLARES - 8.5 </t>
  </si>
  <si>
    <t>DEUDA ULT PEDIDO T 15 PERU</t>
  </si>
  <si>
    <t xml:space="preserve">100 T 15 ITAL Y 3000 PANDERETA FORTALEZA </t>
  </si>
  <si>
    <t>MOTOTAXI NUEVA</t>
  </si>
  <si>
    <t>KINK TORREFUERTE</t>
  </si>
  <si>
    <t xml:space="preserve">FERRETERIA HERRERA TUMAN </t>
  </si>
  <si>
    <t>JONATHAN</t>
  </si>
  <si>
    <t xml:space="preserve">2730 COMPRADOS SR AYASTA </t>
  </si>
  <si>
    <t xml:space="preserve">AYASTA </t>
  </si>
  <si>
    <t xml:space="preserve">DESCRIPCION </t>
  </si>
  <si>
    <t xml:space="preserve">MONTO </t>
  </si>
  <si>
    <t>REPORTE SEC</t>
  </si>
  <si>
    <t>6.5 MILLAR KK RAMOS</t>
  </si>
  <si>
    <t xml:space="preserve">CARRO JORDI </t>
  </si>
  <si>
    <t xml:space="preserve">CUADRADO </t>
  </si>
  <si>
    <t xml:space="preserve">FECHA </t>
  </si>
  <si>
    <t xml:space="preserve">STOCK LADRILLO </t>
  </si>
  <si>
    <t xml:space="preserve">A FAVOR </t>
  </si>
  <si>
    <t>EN CONTRA</t>
  </si>
  <si>
    <t>A FAVOR - CONTRA</t>
  </si>
  <si>
    <t xml:space="preserve">CAJA EFECTIVO </t>
  </si>
  <si>
    <t>ZAMORA</t>
  </si>
  <si>
    <t xml:space="preserve">CARRERO </t>
  </si>
  <si>
    <t xml:space="preserve">ZAMORA </t>
  </si>
  <si>
    <t>BAZAN</t>
  </si>
  <si>
    <t>ROCA FUERTE</t>
  </si>
  <si>
    <t xml:space="preserve">RECOJO </t>
  </si>
  <si>
    <t xml:space="preserve">CAJA EECTIVO </t>
  </si>
  <si>
    <t xml:space="preserve">CAJA NAYELY </t>
  </si>
  <si>
    <t xml:space="preserve">CORPORACION MARVID </t>
  </si>
  <si>
    <t>IMPERIO -EDINSON 4.5 ESTANDAR *0.80</t>
  </si>
  <si>
    <t>VENTAS LADRILLO JORDIN</t>
  </si>
  <si>
    <t>BALANCE</t>
  </si>
  <si>
    <t>4.5 ESTANDAR TAYSON *800</t>
  </si>
  <si>
    <t>4500 ESTANDAR TAYSON *0.8</t>
  </si>
  <si>
    <t xml:space="preserve">CAJA EFECTIVO  </t>
  </si>
  <si>
    <t>CHONGOYAPE</t>
  </si>
  <si>
    <t xml:space="preserve">SEÑOR CAUTIVO </t>
  </si>
  <si>
    <t xml:space="preserve">PAMPAGRANDE </t>
  </si>
  <si>
    <t>EDINSON - IMPERIO</t>
  </si>
  <si>
    <t>5000 PANDERETA TAYSON *0.6</t>
  </si>
  <si>
    <t xml:space="preserve">AZAÑERO </t>
  </si>
  <si>
    <t>COMBUSTIBLE M8B-893</t>
  </si>
  <si>
    <t>SEPARADO/CANCELADO</t>
  </si>
  <si>
    <t xml:space="preserve">LLUEN SECLEN </t>
  </si>
  <si>
    <t xml:space="preserve">ELICEO </t>
  </si>
  <si>
    <t xml:space="preserve">1000 T 15 ITAL  </t>
  </si>
  <si>
    <t xml:space="preserve">TECHO 15 ITAL </t>
  </si>
  <si>
    <t xml:space="preserve">TECHO 12 ITAL </t>
  </si>
  <si>
    <t xml:space="preserve">ESTELA </t>
  </si>
  <si>
    <t>PANDERETA SIPAN 3000*0.66 LILI</t>
  </si>
  <si>
    <t>MANAYAY</t>
  </si>
  <si>
    <t>ROMERO - SAUL CANTORAL</t>
  </si>
  <si>
    <t xml:space="preserve">SEPARADO/CANCELADO </t>
  </si>
  <si>
    <t xml:space="preserve">CORONEL </t>
  </si>
  <si>
    <t>ACOSTA  DE SANTA CRUZ</t>
  </si>
  <si>
    <t xml:space="preserve">LUCELINA Y RAMOS </t>
  </si>
  <si>
    <t>HERNANDEZ</t>
  </si>
  <si>
    <t>14/03/20256</t>
  </si>
  <si>
    <t>PEJERREY</t>
  </si>
  <si>
    <t xml:space="preserve">BECERRA </t>
  </si>
  <si>
    <t>CHUQUIPOMA</t>
  </si>
  <si>
    <t xml:space="preserve">MULTISERVICIOS </t>
  </si>
  <si>
    <t xml:space="preserve">6500 MILLARES KINK RAMOS </t>
  </si>
  <si>
    <t>COMBUSTIBLE M6I-897</t>
  </si>
  <si>
    <t>FLETE PAMPAGRANDE - JORDY (13/03)</t>
  </si>
  <si>
    <t>FLETE KAREN AQUINO - JONATHAN (09/03)</t>
  </si>
  <si>
    <t>FLETE JHON SANCHEZ - JORDY (09/03)</t>
  </si>
  <si>
    <t>APOYO CARGUI JORDY (10/03)</t>
  </si>
  <si>
    <t xml:space="preserve">PAGO JORDY VILLANUEVA </t>
  </si>
  <si>
    <t>PAGO DENILSON</t>
  </si>
  <si>
    <t xml:space="preserve">MONTALVAN - ANTICIPADO </t>
  </si>
  <si>
    <t>4000 PANDERETA SIPAN * 0.46</t>
  </si>
  <si>
    <t>AYASTA</t>
  </si>
  <si>
    <t>ANAYELY</t>
  </si>
  <si>
    <t>MOTO</t>
  </si>
  <si>
    <t xml:space="preserve">PAGO JONATHAN </t>
  </si>
  <si>
    <t xml:space="preserve">CAJA NAYELY  </t>
  </si>
  <si>
    <t xml:space="preserve">BALANCE </t>
  </si>
  <si>
    <t>H&amp;C DEBE</t>
  </si>
  <si>
    <t xml:space="preserve">VENTAS DEL DIA </t>
  </si>
  <si>
    <t xml:space="preserve">CHAVEZ PAZ </t>
  </si>
  <si>
    <t xml:space="preserve">CHINCHAY </t>
  </si>
  <si>
    <t>700*280</t>
  </si>
  <si>
    <t>FLETE JORDY VILLANUEVA -TUMAN</t>
  </si>
  <si>
    <t xml:space="preserve">RAMOS -3.5 ESTANDAR FORTALEZA </t>
  </si>
  <si>
    <t xml:space="preserve">H&amp;C </t>
  </si>
  <si>
    <t xml:space="preserve">CHUQUIPOMA </t>
  </si>
  <si>
    <t>VENTAS DEL DIA</t>
  </si>
  <si>
    <t xml:space="preserve">CHAVEZ </t>
  </si>
  <si>
    <t xml:space="preserve">PEREZ CHINCHAY </t>
  </si>
  <si>
    <t xml:space="preserve">ELICEO - SAN FRANCISCO </t>
  </si>
  <si>
    <t>RAMOS -3.5 ESTANDAR FORTALEZA *0.99 - M6I-897</t>
  </si>
  <si>
    <t>RAMOS 4.5 ESTANDAR FORTALEZA*0.95 -M8B-893</t>
  </si>
  <si>
    <t>LARIOS</t>
  </si>
  <si>
    <t xml:space="preserve">AGRIPINA </t>
  </si>
  <si>
    <t xml:space="preserve">FERROCONSTRUCTORA JH </t>
  </si>
  <si>
    <t xml:space="preserve">SANTACRUZ CERVANTES </t>
  </si>
  <si>
    <t xml:space="preserve">DEYVIS RIMARACHIN TUMAN </t>
  </si>
  <si>
    <t xml:space="preserve">KAREN AQUINO </t>
  </si>
  <si>
    <t xml:space="preserve">SORIANO </t>
  </si>
  <si>
    <t xml:space="preserve">ACOSTA </t>
  </si>
  <si>
    <t>ADELANTO JORDIN</t>
  </si>
  <si>
    <t>JOAQUIN</t>
  </si>
  <si>
    <t xml:space="preserve">1400 TECHO 12 LARK </t>
  </si>
  <si>
    <t>PAGO H&amp;C 14/03</t>
  </si>
  <si>
    <t xml:space="preserve">ADICIONAL </t>
  </si>
  <si>
    <t>TECHO 15 ITAL (1000)</t>
  </si>
  <si>
    <t>TECHO 12 ITAL (1000)</t>
  </si>
  <si>
    <t>PANDERETA TAYSON (5000*0.6)</t>
  </si>
  <si>
    <t>IMPERIO</t>
  </si>
  <si>
    <t>SANCHEZ QUINTOS</t>
  </si>
  <si>
    <t xml:space="preserve">CHIRINOS </t>
  </si>
  <si>
    <t xml:space="preserve">URIARTE </t>
  </si>
  <si>
    <t xml:space="preserve">FRANK ALEX </t>
  </si>
  <si>
    <t xml:space="preserve">ANDY </t>
  </si>
  <si>
    <t xml:space="preserve">FREDY </t>
  </si>
  <si>
    <t>ESTANDAR FORTALEZA 18500*0.93</t>
  </si>
  <si>
    <t xml:space="preserve">PRESTAMO JORDIN </t>
  </si>
  <si>
    <t>ESTANDAR FORTALEZA 18500*0.93 (17205-12000)</t>
  </si>
  <si>
    <t xml:space="preserve">A CUENTA SR RAMOS 18500 ESTANDAR FORTALEZA </t>
  </si>
  <si>
    <t xml:space="preserve">PRESTAMO JORDIN HERRERA </t>
  </si>
  <si>
    <t xml:space="preserve">28 MILLARES - 8.5 - 3(20/03) </t>
  </si>
  <si>
    <t xml:space="preserve">PEREZ CHILET </t>
  </si>
  <si>
    <t>PROMAT</t>
  </si>
  <si>
    <t>FLETE ORLANDO 500 CONCRETO *0.35</t>
  </si>
  <si>
    <t xml:space="preserve">DESCARGADA LADRILLO ESTANDAR FORTALEZA </t>
  </si>
  <si>
    <t>COMBUSTIBLE M8B-893 + YAPE JORDIN(100)</t>
  </si>
  <si>
    <t xml:space="preserve">AUTOFACIL </t>
  </si>
  <si>
    <t xml:space="preserve">FLETE ORLANDO </t>
  </si>
  <si>
    <t xml:space="preserve">MOTOTAXI NUEVA </t>
  </si>
  <si>
    <t xml:space="preserve">RECARGA JORDY HERRERA </t>
  </si>
  <si>
    <t>JORDIN DEPOSITO BBVA 21996.69-13020</t>
  </si>
  <si>
    <t xml:space="preserve">TECHO 12 1000*2.35 </t>
  </si>
  <si>
    <t>TECHO 15  1000*2.45</t>
  </si>
  <si>
    <t>BALANCE LADRILLO JH - 23/03</t>
  </si>
  <si>
    <t xml:space="preserve">ADELANTO JORDY VILLANUEVA </t>
  </si>
  <si>
    <t xml:space="preserve">PAGO JORDY </t>
  </si>
  <si>
    <t xml:space="preserve">JORDIN HERRERA/ CUENTA BCP </t>
  </si>
  <si>
    <t>2000 ESTANDAR LARK *1.08</t>
  </si>
  <si>
    <t>PANDERETA SIPAN 4000*0.46</t>
  </si>
  <si>
    <t xml:space="preserve">FERRETERIA OBLITAS /PANDERETA SIPAN </t>
  </si>
  <si>
    <t>4000*0.66</t>
  </si>
  <si>
    <t xml:space="preserve">M8B-893 </t>
  </si>
  <si>
    <t xml:space="preserve">FERRETERIA OBLITAS </t>
  </si>
  <si>
    <t xml:space="preserve">PROMAT </t>
  </si>
  <si>
    <t xml:space="preserve">CHILET </t>
  </si>
  <si>
    <t>HENRRY CRUZ</t>
  </si>
  <si>
    <t>UCEDA</t>
  </si>
  <si>
    <t>LADRILLO H&amp;C</t>
  </si>
  <si>
    <t>BALANCE LADRILLO JH - 24/03</t>
  </si>
  <si>
    <t xml:space="preserve">FERRETERIA OBLITAS /PANDERETA SIPAN - JORDIN DEBE </t>
  </si>
  <si>
    <t>FERRETERIA OBLITAS TUMAN -1000 TECHO 12*2.85</t>
  </si>
  <si>
    <t xml:space="preserve">SOBRANTE </t>
  </si>
  <si>
    <t>CHAMBA</t>
  </si>
  <si>
    <t xml:space="preserve">OJEDA </t>
  </si>
  <si>
    <t xml:space="preserve">MAXIMO </t>
  </si>
  <si>
    <t xml:space="preserve">OBLITAS </t>
  </si>
  <si>
    <t>1400 TECHO 12 LARK * 2.35</t>
  </si>
  <si>
    <t>BALANCE LADRILLO JH - 25/03</t>
  </si>
  <si>
    <t>LADRILLO H&amp;C 24/03</t>
  </si>
  <si>
    <t>LADRILLO H&amp;C 23/03</t>
  </si>
  <si>
    <t xml:space="preserve">2000 ESTANDAR LARK *1.08 PROMAT </t>
  </si>
  <si>
    <t xml:space="preserve">PAGO 4000 PANDERETA *0.66 - ARSENIO MEJIA </t>
  </si>
  <si>
    <t>28 MILLARES - 8.5 - 3(20/03) - 6(25/03)</t>
  </si>
  <si>
    <t>10.5*0.68</t>
  </si>
  <si>
    <t xml:space="preserve">ARSENIO MEJIA </t>
  </si>
  <si>
    <t>PELAEZ</t>
  </si>
  <si>
    <t xml:space="preserve">SALDO ESTANDAR FORTALEZA SR RAMOS </t>
  </si>
  <si>
    <t>PANDERETA TAYSON 5000*0.62</t>
  </si>
  <si>
    <t>IMPERIO EDINSON</t>
  </si>
  <si>
    <t>FERRETERIA OBLITAS TUMAN -1000 TECHO 12*2.85 - 1500(25/03)</t>
  </si>
  <si>
    <t xml:space="preserve">JORDIN DEBE </t>
  </si>
  <si>
    <t xml:space="preserve">LADRILLO H&amp;C </t>
  </si>
  <si>
    <t>EBERSON</t>
  </si>
  <si>
    <t xml:space="preserve">VINCI </t>
  </si>
  <si>
    <t xml:space="preserve">ISAIAS </t>
  </si>
  <si>
    <t>ADELANTO JORDY VILLANUEVA 23/03</t>
  </si>
  <si>
    <t xml:space="preserve">PAGO JORDIN </t>
  </si>
  <si>
    <t>BALANCE LADRILLO JH - 26/03</t>
  </si>
  <si>
    <t>28 MILLARES - 8.5 - 3(20/03) - 6(25/03) - 3(26/03)</t>
  </si>
  <si>
    <t>7.5*0.68</t>
  </si>
  <si>
    <t xml:space="preserve">PAGO A JORDIN HERRERA </t>
  </si>
  <si>
    <t>COMBUSTIBLE 38B-893</t>
  </si>
  <si>
    <t xml:space="preserve">DIAZ BARCO </t>
  </si>
  <si>
    <t>BALANCE LADRILLO JH - 27/03</t>
  </si>
  <si>
    <t xml:space="preserve">TERRANOVA </t>
  </si>
  <si>
    <t>PAGO ESTANDAR TERRANOVA 7500*0.72</t>
  </si>
  <si>
    <t xml:space="preserve">LARK </t>
  </si>
  <si>
    <t>PEDIDO DE JORDIN</t>
  </si>
  <si>
    <t>ADELANTO DENILSON</t>
  </si>
  <si>
    <t>28 MILLARES - 8.5 - 3(20/03) - 6(25/03) - 3(26/03) - 4(27/03)</t>
  </si>
  <si>
    <t>3.5*0.68</t>
  </si>
  <si>
    <t>TERRANOVA 4000*0.72</t>
  </si>
  <si>
    <t xml:space="preserve">ESTANDAR 18 HUECOS </t>
  </si>
  <si>
    <t>BALANCE LADRILLO JH - 28/03</t>
  </si>
  <si>
    <t>ESTANDAR TAYSON 3000*0.83</t>
  </si>
  <si>
    <t>TECHO 15 ITAL 1000*2.45</t>
  </si>
  <si>
    <t xml:space="preserve">CUYUMALCA </t>
  </si>
  <si>
    <t>DEYVI RIMARACHIN</t>
  </si>
  <si>
    <t xml:space="preserve">PAGO JONATHAN SAAVEDRA </t>
  </si>
  <si>
    <t>FLETE LAMBAYEQUE - TECNOPOR M6I-897</t>
  </si>
  <si>
    <t>BALANCE LADRILLO JH - 30/03</t>
  </si>
  <si>
    <t>TECHO 12 ITAL 1500*2.35</t>
  </si>
  <si>
    <t>ASTONITAS VALLEJOS 26/03</t>
  </si>
  <si>
    <t>TECHO 12 FORTES 1200*2.05</t>
  </si>
  <si>
    <t xml:space="preserve">VASQUEZ ROJAS </t>
  </si>
  <si>
    <t>CORREA - RECOJO</t>
  </si>
  <si>
    <t>JOSE MORE 10/03</t>
  </si>
  <si>
    <t>PAGO DE  PANDERETA TAYSON 5000*0.62</t>
  </si>
  <si>
    <t>PAGO A CUENTA DE ESTANDAR TAYSON 3000*0.83</t>
  </si>
  <si>
    <t xml:space="preserve">SALDO DE ESTANDAR TAYSON </t>
  </si>
  <si>
    <t xml:space="preserve">IMPERIO </t>
  </si>
  <si>
    <t xml:space="preserve">JAMES DIAZ - JORDIN </t>
  </si>
  <si>
    <t>CUYUMALCA</t>
  </si>
  <si>
    <t>PAGO LADRILLO TECHO 15*2.58</t>
  </si>
  <si>
    <t xml:space="preserve">FREDY ALVA </t>
  </si>
  <si>
    <t>ELVIS PEREZ</t>
  </si>
  <si>
    <t>FERROCONSTRUCTORA JH</t>
  </si>
  <si>
    <t>FRANK  ALEX</t>
  </si>
  <si>
    <t xml:space="preserve">B&amp;B INGENIEROS </t>
  </si>
  <si>
    <t xml:space="preserve">CUENTA CORRIENTE BCP SOLES </t>
  </si>
  <si>
    <t>HYC FERROMATERIALES</t>
  </si>
  <si>
    <t>BALANCE LADRILLO JH - 31/03</t>
  </si>
  <si>
    <t>BALANCE LADRILLO JH - 01/04</t>
  </si>
  <si>
    <t>PAGO PROMAT 1000*2.6</t>
  </si>
  <si>
    <t>ANTICONA</t>
  </si>
  <si>
    <t>CLIENTE VENTAS</t>
  </si>
  <si>
    <t xml:space="preserve">4000 PANDERETA SIPAN*0.65 - FERRETERIA OBLITAS </t>
  </si>
  <si>
    <t xml:space="preserve">COMPRA DE DISCOS </t>
  </si>
  <si>
    <t xml:space="preserve">PAGO DIFERENCIA DEL ESTANDAR </t>
  </si>
  <si>
    <t xml:space="preserve">GASOLINA JORDIN </t>
  </si>
  <si>
    <t>BALANCE LADRILLO JH - 02/04</t>
  </si>
  <si>
    <t>CUYUMALCA 1200T12FORTES*2.6 + 70 T12GALCA*2.6</t>
  </si>
  <si>
    <t>SOBRANTE</t>
  </si>
  <si>
    <t>PAGO JORDIN 100 ESTANDAR FORTALEZA*1.45</t>
  </si>
  <si>
    <t>DIFERENCIA DE LADRILLO TECHO 12 FORTE*2.6 - JORDIN</t>
  </si>
  <si>
    <t xml:space="preserve">LARIOS BERNAL </t>
  </si>
  <si>
    <t xml:space="preserve"> LADRILLO T12 FORTALEZA PROMAT 400.*3</t>
  </si>
  <si>
    <t>PAGO LADRILLO TECHO 12 FORTALEZA 1600*2.75</t>
  </si>
  <si>
    <t>LLANTAS M6I-897+ CAMBIO</t>
  </si>
  <si>
    <t>DENILSON-GASOLINA MOTO</t>
  </si>
  <si>
    <t>ANDY RUIZ</t>
  </si>
  <si>
    <t>MEJIA</t>
  </si>
  <si>
    <t xml:space="preserve">VELA </t>
  </si>
  <si>
    <t xml:space="preserve">SEPARADO </t>
  </si>
  <si>
    <t xml:space="preserve">LILI TUMAN </t>
  </si>
  <si>
    <t xml:space="preserve">Inicio </t>
  </si>
  <si>
    <t xml:space="preserve">A cuenta ladrillo Estadar torre Fuerte </t>
  </si>
  <si>
    <t>Pago de Ladrillo Estandar Tayson - edinson 4 millares *0.83</t>
  </si>
  <si>
    <t>BALANCE LADRILLO JH - 04/04</t>
  </si>
  <si>
    <t>COMPRA DE LADRILLO 30 M ESTANDAR TORREFUERTE *0.78</t>
  </si>
  <si>
    <t>COMPRA DE ESTANDAR TORREFUERTE - DIFERENCIA</t>
  </si>
  <si>
    <t>TECHO 12 ITAL 1000*2.35</t>
  </si>
  <si>
    <t>PANDERETA SIPAN 5000*0.46</t>
  </si>
  <si>
    <t>MANUEL 30 -10(04/04)</t>
  </si>
  <si>
    <t>20000 LADRILLO</t>
  </si>
  <si>
    <t>ARSENIO MEJIA PANDERETA SIPAN 5000*066</t>
  </si>
  <si>
    <t xml:space="preserve">CLIENTE VENTAS </t>
  </si>
  <si>
    <t xml:space="preserve">PAGO DENILSON </t>
  </si>
  <si>
    <t xml:space="preserve">H&amp;C FERROMATERIALES </t>
  </si>
  <si>
    <t>FERROCONSTRUCTORA JH 4000 EST TAYSON * 0.93</t>
  </si>
  <si>
    <t xml:space="preserve">SANTACRUZ </t>
  </si>
  <si>
    <t xml:space="preserve">JHON SANCHEZ </t>
  </si>
  <si>
    <t xml:space="preserve">JORDIN DEBE - JHON SANCHEZ </t>
  </si>
  <si>
    <t xml:space="preserve">MOTO TAXI </t>
  </si>
  <si>
    <t>BALANCE LADRILLO JH - 06/04</t>
  </si>
  <si>
    <t>TECHO 12 SIPAN 1000*2.05</t>
  </si>
  <si>
    <t>ARSENIO MEJIA 1000*2.58 TECHO 12 SIPAN</t>
  </si>
  <si>
    <t xml:space="preserve">PANDERETON TORREFUERTE </t>
  </si>
  <si>
    <t>PANDERETA SIPAN 5000*0.78 (1000 EN YAPE JORDIN) - CHONGOYAPE</t>
  </si>
  <si>
    <t>PANDERETON 1000*1.04- SR RENATO  (540 YAPE  JORDIN)</t>
  </si>
  <si>
    <t xml:space="preserve">YESO </t>
  </si>
  <si>
    <t xml:space="preserve">DEBEN - YESO </t>
  </si>
  <si>
    <t xml:space="preserve">A CUENTA SUPERKINKON </t>
  </si>
  <si>
    <t>SUPERKINKON TORREFUERTE 1000*2.8</t>
  </si>
  <si>
    <t xml:space="preserve">JORDIN-JHON SANCHEZ </t>
  </si>
  <si>
    <t>CLIENTE CHONGOYAPE</t>
  </si>
  <si>
    <t>RENATO - PANDERETON</t>
  </si>
  <si>
    <t xml:space="preserve">DEPOSITO MANUEL TORREFUERTE </t>
  </si>
  <si>
    <t>HERIBERTO -SUPERKINKON</t>
  </si>
  <si>
    <t>DEBE JORDIN</t>
  </si>
  <si>
    <t>PEAJE</t>
  </si>
  <si>
    <t xml:space="preserve">PROMAT - 3000 ESTANDAR TORREFUERTE *0.965 </t>
  </si>
  <si>
    <t>HERIBERTO  VASQUEZ (1800YAPE JORDIN)</t>
  </si>
  <si>
    <t>FERROCONSTRUCTORA JH TECHO 1000 T12 ITAL*2.6</t>
  </si>
  <si>
    <t>NAYELY</t>
  </si>
  <si>
    <t xml:space="preserve">CANCELADO </t>
  </si>
  <si>
    <t>BALANCE LADRILLO JH - 07/04</t>
  </si>
  <si>
    <t>JORDIN HERRERA</t>
  </si>
  <si>
    <t>JORDIN HERRERA -SR ESPINOZA</t>
  </si>
  <si>
    <t>SALDO AYASTA</t>
  </si>
  <si>
    <t xml:space="preserve">A CUENTA LADRILLO - AYASTA </t>
  </si>
  <si>
    <t>DEBEN - YESO 1250BLS*3.3</t>
  </si>
  <si>
    <t xml:space="preserve">FERROCONSTRUCTORA JH TECHO 1000 T12 ITAL*2.6 </t>
  </si>
  <si>
    <t>PROMAT 2895(LAD EST TAYSON 3000*0.965 + YESO 500*3.3 + 5T12ITAL*2.7)</t>
  </si>
  <si>
    <t>CORPORATIVO HERRERA - 250YESO*3.3</t>
  </si>
  <si>
    <t>JORDIN HERRERA - DEPOSITO SR ESPINOZA</t>
  </si>
  <si>
    <t xml:space="preserve">ALMUERZO JONATHAN </t>
  </si>
  <si>
    <t>H&amp;C-ELVIS PEREZ</t>
  </si>
  <si>
    <t xml:space="preserve">CELSO </t>
  </si>
  <si>
    <t>DEPOSITO EDISNSON 3000 EST TAYSON*0.83</t>
  </si>
  <si>
    <t>INDALO</t>
  </si>
  <si>
    <t xml:space="preserve">ARCE PALOMINO </t>
  </si>
  <si>
    <t>CORDOVA - 13/03</t>
  </si>
  <si>
    <t>FLETE PAMPAGRANDE</t>
  </si>
  <si>
    <t xml:space="preserve">A CUENTA NAPO GUEVARA </t>
  </si>
  <si>
    <t>GASTOS TRANSPORTE Y ESTIBA 10000 EST TORREFUERTE 04/04</t>
  </si>
  <si>
    <t>BALANCE LADRILLO JH - 08/04</t>
  </si>
  <si>
    <t xml:space="preserve">DEPOSITO A CUENTA BCP </t>
  </si>
  <si>
    <t xml:space="preserve">BANCARIZACION -INVERSIONES </t>
  </si>
  <si>
    <t xml:space="preserve">JORDIN HERRERA </t>
  </si>
  <si>
    <t>JORDIN HERRERA - DEPOSITO</t>
  </si>
  <si>
    <t>WALTER TELLO 3MIL PANSIPAN*0.71 + 2MIL EST TORREFUERT * 0.95</t>
  </si>
  <si>
    <t>MANUEL 30 -10(04/04) - 3(08/04)</t>
  </si>
  <si>
    <t>17000 LADRILLO</t>
  </si>
  <si>
    <t>COMBUSTIBLE  M8B-893</t>
  </si>
  <si>
    <t>ALMUERZO JONATHAN - DENILSON</t>
  </si>
  <si>
    <t>CULQUI 200*3.3</t>
  </si>
  <si>
    <t>DEBEN - YESO 1050BLS*3.3</t>
  </si>
  <si>
    <t>PROMAT  T12 FORTA 1200*2.9</t>
  </si>
  <si>
    <t>TECHO 12FORT 1500*2.8</t>
  </si>
  <si>
    <t>A CUENTA DE LADRILLO T12 1500*2.8</t>
  </si>
  <si>
    <t>DISCOTECA NIGH EST FORT 4000*1.15</t>
  </si>
  <si>
    <t xml:space="preserve">CANCELADO /SEPARADO </t>
  </si>
  <si>
    <t>JORDY VILLANUEVA - CARGA DE LADRILLO</t>
  </si>
  <si>
    <t>FLETE -CARLOS HERRERA PARA EL CENTRO</t>
  </si>
  <si>
    <t>ITF</t>
  </si>
  <si>
    <t>DISCOTECA NIGH</t>
  </si>
  <si>
    <t xml:space="preserve">ERIBERTO </t>
  </si>
  <si>
    <t xml:space="preserve">POOL </t>
  </si>
  <si>
    <t>BALANCE LADRILLO JH - 09/04</t>
  </si>
  <si>
    <t>NAPO GUEVARA TECHO 12 1200*2.6</t>
  </si>
  <si>
    <t>DEPOSITO JORDIN</t>
  </si>
  <si>
    <t>CELENY</t>
  </si>
  <si>
    <t>DEBEMOS A JORDIN</t>
  </si>
  <si>
    <t xml:space="preserve">A CUENTA FERRETERIA OBLITAS </t>
  </si>
  <si>
    <t xml:space="preserve">CELENY - SR ESTELA </t>
  </si>
  <si>
    <t>ESTAN SIPAN 2000*0.7</t>
  </si>
  <si>
    <t>CULQUI (600  EFECTIVO)</t>
  </si>
  <si>
    <t>CULQUI YESO ( 60 EN YAPE)</t>
  </si>
  <si>
    <t xml:space="preserve">PUCALA </t>
  </si>
  <si>
    <t>DIAZ BARCO</t>
  </si>
  <si>
    <t xml:space="preserve">FLETE WILSON QUEVEDO </t>
  </si>
  <si>
    <t xml:space="preserve">ITF </t>
  </si>
  <si>
    <t>BALANCE LADRILLO JH - 10/04</t>
  </si>
  <si>
    <t>PAGO AL SR MANUEL CORONEL - PANDERETON/SUPERKINKON</t>
  </si>
  <si>
    <t>MOVIMIENTO JORDIN</t>
  </si>
  <si>
    <t>MANUEL 30 -10(04/04) - 3(08/04) - 4(10/04)</t>
  </si>
  <si>
    <t>13000 LADRILLOS</t>
  </si>
  <si>
    <t xml:space="preserve">FLETE - RIMARACHIN - LA CRIA </t>
  </si>
  <si>
    <t>LOTE PROPIO</t>
  </si>
  <si>
    <t>CASA BLANCA</t>
  </si>
  <si>
    <t>RIMARACHIN</t>
  </si>
  <si>
    <t xml:space="preserve">SALDO AYASTA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</si>
  <si>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</si>
  <si>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BALANCE LADRILLO JH - 11/04</t>
  </si>
  <si>
    <t>PANDERETA SIPAN 5000*0.5</t>
  </si>
  <si>
    <t>1050 YESO *3.3</t>
  </si>
  <si>
    <t>VASQUEZ ROJAS- SEPARADO</t>
  </si>
  <si>
    <t>ORLANDO LADRILLO CONCRETO 2350*1.5</t>
  </si>
  <si>
    <t>JHON SANCHEZ 2350*1.9</t>
  </si>
  <si>
    <t>REPORTE - DEPOSITOS</t>
  </si>
  <si>
    <t>OBLITAS</t>
  </si>
  <si>
    <t>PAGO JHOSMER  + COMISION(21.5)</t>
  </si>
  <si>
    <t xml:space="preserve">ISMAEL </t>
  </si>
  <si>
    <t>DENILSON</t>
  </si>
  <si>
    <t>FLETES CARRO NILSO 04/04 - 11/04</t>
  </si>
  <si>
    <t>PAGO JONATHAN</t>
  </si>
  <si>
    <t xml:space="preserve">MOTOTAXI </t>
  </si>
  <si>
    <t>PROMAT 10/04</t>
  </si>
  <si>
    <t>SEMPERTEGUI</t>
  </si>
  <si>
    <t>ARSENIO MEJIA 4000*0.66</t>
  </si>
  <si>
    <t>TECHO 12 ITAL 1200*2.35</t>
  </si>
  <si>
    <t>TECHO 12 ITAL 600*2.6 - OBRA CRUZ DE LA ESPERANZA</t>
  </si>
  <si>
    <t xml:space="preserve">TECHO 12 ITAL 1000*2.63 - JEINER HERRERA </t>
  </si>
  <si>
    <t xml:space="preserve">OBRA CRUZ DE LA ESPERANZA </t>
  </si>
  <si>
    <t>ESTANDAR SIPAN 500*0.98</t>
  </si>
  <si>
    <t xml:space="preserve">VENTA 3000 PAND SIPAN*00.66 + 700 ESTAN SIPAN *0.9 </t>
  </si>
  <si>
    <t>EDINSON 4000 EST TAYS*0.83 + 4000ESTAN LARK *0.97</t>
  </si>
  <si>
    <t>ESTANDAR SIPAN 3000*0.7</t>
  </si>
  <si>
    <t>ESTANDAR LARK H&amp;c 2000*1.14</t>
  </si>
  <si>
    <t>ESTANDAR TORREFUERTE 4000*0.88 PROMAT</t>
  </si>
  <si>
    <t>PROMAT  ESTANDAR LARK 2000*1.1</t>
  </si>
  <si>
    <t>FIERRO H&amp;C - RAPIMIX</t>
  </si>
  <si>
    <t>DEV DDE DEPOSITO H&amp;C RAPIMIX</t>
  </si>
  <si>
    <t>MOVIMIENTOS JORDIN</t>
  </si>
  <si>
    <t xml:space="preserve">DEBIAMOS -SABADO PASADO </t>
  </si>
  <si>
    <t>QUEDA EN LA CUENTA</t>
  </si>
  <si>
    <t xml:space="preserve">NAYELY </t>
  </si>
  <si>
    <t xml:space="preserve">CERAMICA - SERVICIO OLMOS </t>
  </si>
  <si>
    <t>MOVIMIENTOS JORDIN - SERVICIO OLMOS</t>
  </si>
  <si>
    <t>BALANCE LADRILLO JH - 14/04</t>
  </si>
  <si>
    <t xml:space="preserve">PANDERETA 3000*0.6 - POR SACAR DE ALMACEN  </t>
  </si>
  <si>
    <t>BALANCE LADRILLO JH - 15/04</t>
  </si>
  <si>
    <t xml:space="preserve">PANDERETA1000*0.6 - POR SACAR DE ALMACEN  </t>
  </si>
  <si>
    <t>PAGO POOL TECHO 12 FORTALEZA</t>
  </si>
  <si>
    <t>DEV. PAGO JORDY VILLANUEVA</t>
  </si>
  <si>
    <t xml:space="preserve">PAGO DE JHON SANCHEZ </t>
  </si>
  <si>
    <t>DANIEL VILLEGAS -VENTA DE JORDIN</t>
  </si>
  <si>
    <t>BALANCE LADRILLO JH - 16/04</t>
  </si>
  <si>
    <t>CUYUMALCA  T12 FORTA 1200*2.9</t>
  </si>
  <si>
    <t>DILMER RODAS</t>
  </si>
  <si>
    <t>NAPO GUEVARA ESTANDAR 3000*0.85</t>
  </si>
  <si>
    <t xml:space="preserve">TOTAL </t>
  </si>
  <si>
    <t xml:space="preserve">NAPO GUEVARA  - DEUDA ANTERIOR </t>
  </si>
  <si>
    <t xml:space="preserve">MOVIMIENTOS JORDIN </t>
  </si>
  <si>
    <t xml:space="preserve">DEPOSITO AYASTA </t>
  </si>
  <si>
    <t>PROMAT  T12 FORTA 200*2.9</t>
  </si>
  <si>
    <t>BALANCE LADRILLO JH - 17/04</t>
  </si>
  <si>
    <t xml:space="preserve">COMPRA DE TANQUES DE AGUA </t>
  </si>
  <si>
    <t>DEPOSITO CUYUMALCA</t>
  </si>
  <si>
    <t>FLETE A PAMPAGRANDE VEGA</t>
  </si>
  <si>
    <t>PANDERETA SIPAN 4000*0.5</t>
  </si>
  <si>
    <t xml:space="preserve">FLETE  ORLANDO </t>
  </si>
  <si>
    <t>JORDIN</t>
  </si>
  <si>
    <t>ING RIMARACHIN - LOS SAUCES</t>
  </si>
  <si>
    <t>GUEVARA</t>
  </si>
  <si>
    <t>CASA SIPAN  - M6I-897</t>
  </si>
  <si>
    <t>NAPO GUEVARA ANTERIOR</t>
  </si>
  <si>
    <t>BALANCE LADRILLO JH - 18/04</t>
  </si>
  <si>
    <t>PANDERETON 2000*0.87</t>
  </si>
  <si>
    <t>ARSENIO MEJIA 3000.*0.84</t>
  </si>
  <si>
    <t>COMPRA DE SUPERKINKON 350*3.9</t>
  </si>
  <si>
    <t xml:space="preserve">VENTA SUPERKINKON </t>
  </si>
  <si>
    <t>SEAPARADO</t>
  </si>
  <si>
    <t>FLETE CASA SIPAN 17/04 CARRO NILSON</t>
  </si>
  <si>
    <t xml:space="preserve">FLETE FABRICA - HUMBOLT </t>
  </si>
  <si>
    <t xml:space="preserve">JORDY VILLANUEVA </t>
  </si>
  <si>
    <t xml:space="preserve">DENILSON </t>
  </si>
  <si>
    <t xml:space="preserve">JONATHAN </t>
  </si>
  <si>
    <t>MOTO TAXI</t>
  </si>
  <si>
    <t xml:space="preserve">PANDERETON </t>
  </si>
  <si>
    <t>INGRESO DE EFECTIVO CARRO NILSON</t>
  </si>
  <si>
    <t xml:space="preserve">LILIANA </t>
  </si>
  <si>
    <t>ARCE</t>
  </si>
  <si>
    <t>SANTACRUZ</t>
  </si>
  <si>
    <t xml:space="preserve">TAVARA </t>
  </si>
  <si>
    <t>BALANCE LADRILLO JH - 20/04</t>
  </si>
  <si>
    <t xml:space="preserve">INGRESO DE JORDY VILLANUEVA </t>
  </si>
  <si>
    <t>FERRETERIA OBLITAS 500*2.1</t>
  </si>
  <si>
    <t>COMBUSTIBLE CARRO NILSO</t>
  </si>
  <si>
    <t>COMPRA DE LADRILLO CONCRETO 500*1.65</t>
  </si>
  <si>
    <t>DEPOSITO JORDIN HERRERA</t>
  </si>
  <si>
    <t>PAGO URRUNAGA -JORDIN YAPE</t>
  </si>
  <si>
    <t>AQUINO -PAMPAGRANDE</t>
  </si>
  <si>
    <t>DAVILA</t>
  </si>
  <si>
    <t>VALDIVIA</t>
  </si>
  <si>
    <t xml:space="preserve">CUBAS </t>
  </si>
  <si>
    <t xml:space="preserve">BLANCA </t>
  </si>
  <si>
    <t>HERMES 18/04</t>
  </si>
  <si>
    <t>BALANCE LADRILLO JH - 21/04</t>
  </si>
  <si>
    <t>MAXIMO</t>
  </si>
  <si>
    <t>PAGO LADRILLO TECHO 12 LARK *2.43</t>
  </si>
  <si>
    <t>ALMUERZO NILSO</t>
  </si>
  <si>
    <t>SOAT M8B-893</t>
  </si>
  <si>
    <t>COMPRA DE CEMENTO ROJO MOCHICA 150*29.4</t>
  </si>
  <si>
    <t>DEVOLUCION COMPRA DE CEMENTO ROJO MOCHICA 150*29.4</t>
  </si>
  <si>
    <t>ABONO A ESTELA</t>
  </si>
  <si>
    <t>PEDIDO JORDIN - LA VICTORIA</t>
  </si>
  <si>
    <t xml:space="preserve">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</si>
  <si>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</si>
  <si>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BALANCE LADRILLO JH - 22/04</t>
  </si>
  <si>
    <t xml:space="preserve">DIFERENCIA SR ESTELA </t>
  </si>
  <si>
    <t>COMPRA ESTANDAR TAYSON º</t>
  </si>
  <si>
    <t>FERRETERIA OBLITAS 5PAN SIP 4000*0.645</t>
  </si>
  <si>
    <t>COMPRA 2100 PANDERETON *0.87</t>
  </si>
  <si>
    <t xml:space="preserve">SR RIMARACHIN PANDERETON Y TECHO </t>
  </si>
  <si>
    <t xml:space="preserve">SR RIMARACHIN DIFERENCIA PANDERETON </t>
  </si>
  <si>
    <t>SR RENATO 1000*1.04 PANDERETON TORREFUERTE</t>
  </si>
  <si>
    <t xml:space="preserve">ACEROS LAMBAYEQUE </t>
  </si>
  <si>
    <t>ACEROS LAMBAYEQUE - JORDIN</t>
  </si>
  <si>
    <t>COMPRA DELADRILLO CONCRETO 500*1.65</t>
  </si>
  <si>
    <t>COMPRA DE LADRILLO ARTESANAL BODOQUE 1000*0.5</t>
  </si>
  <si>
    <t xml:space="preserve">DIAZ LINARES </t>
  </si>
  <si>
    <t xml:space="preserve">HERMES </t>
  </si>
  <si>
    <t>NOTA: DE EL SEÑOR RIMARACHIN FALTA LLEVARLE 600 TECHO 15, NO SE LE COLOCO EN EL REPORTE, SU EFECTIVODE ESE LADRILLO  ESTA SEPARADO PARA MAÑANA CUADRARLO</t>
  </si>
  <si>
    <t xml:space="preserve">FERRETERIA OBLITAS ANTERIOR </t>
  </si>
  <si>
    <t>CUENTA BCP</t>
  </si>
  <si>
    <t xml:space="preserve">INGRESO - DEPOSITO </t>
  </si>
  <si>
    <t>FLETE NILSON</t>
  </si>
  <si>
    <t>VIVIAN</t>
  </si>
  <si>
    <t>SR VEGA 1000T15*2.85</t>
  </si>
  <si>
    <t>SR VEGA 600T15*2.95</t>
  </si>
  <si>
    <t>RIVAS ROSAS 11/04</t>
  </si>
  <si>
    <t>LA CRIA - MARCOS</t>
  </si>
  <si>
    <t xml:space="preserve">BRAVO            </t>
  </si>
  <si>
    <t xml:space="preserve">PAGO AYASTA </t>
  </si>
  <si>
    <t>FERRETERIA OBLITAS LADRILLO CONCRETO</t>
  </si>
  <si>
    <t>CHICHA</t>
  </si>
  <si>
    <t>BALANCE LADRILLO JH - 23/04</t>
  </si>
  <si>
    <t>BALANCE LADRILLO JH - 24/04</t>
  </si>
  <si>
    <t xml:space="preserve">PANDERETA SIPAN 3000*0.7 ALDUBAR </t>
  </si>
  <si>
    <t>COMPRA PANDERETON 1000*0.87</t>
  </si>
  <si>
    <t>CONSTRUCCIONES INDALO PANDERETON 1000*1.04</t>
  </si>
  <si>
    <t>COMPRA DE 2 TANQUES AZUL *450</t>
  </si>
  <si>
    <t>LADRILLO H&amp;C 23/04</t>
  </si>
  <si>
    <t>FAP</t>
  </si>
  <si>
    <t>CORPORATIVO HERRERA</t>
  </si>
  <si>
    <t xml:space="preserve">POR CUADRAR ESE PAGO </t>
  </si>
  <si>
    <t>PASAJE DENILSON</t>
  </si>
  <si>
    <t>BALANCE LADRILLO JH - 25/04</t>
  </si>
  <si>
    <t>JAHIR PADILLA</t>
  </si>
  <si>
    <t>YOVER  - H&amp;C</t>
  </si>
  <si>
    <t>BURGA RUIZ 1000T15*2.75</t>
  </si>
  <si>
    <t xml:space="preserve">MAESTRO JHOSMER </t>
  </si>
  <si>
    <t>JHOSMER - JORDIN</t>
  </si>
  <si>
    <t xml:space="preserve">JONATHAN PAGO </t>
  </si>
  <si>
    <t>JORDIN OLMOS</t>
  </si>
  <si>
    <t>JORDIN OLMOS - CARRO NILSON</t>
  </si>
  <si>
    <t xml:space="preserve">JORDY VILLANUEVA PAGO </t>
  </si>
  <si>
    <t>CARRO NILSO</t>
  </si>
  <si>
    <t>BALANCE LADRILLO JH - 27/04</t>
  </si>
  <si>
    <t>CUYUMALCA 2 TANQUES</t>
  </si>
  <si>
    <t>COMPRA DE SUPERKINKON 1000</t>
  </si>
  <si>
    <t>CUYUMALCA 1000 SUPERKINKON*3.25</t>
  </si>
  <si>
    <t>600 TECHO 15*2.65 (   JONATHAN)</t>
  </si>
  <si>
    <t>ELMER</t>
  </si>
  <si>
    <t>MEOÑO</t>
  </si>
  <si>
    <t>JANET 25/04</t>
  </si>
  <si>
    <t>GUERRERO 07/03</t>
  </si>
  <si>
    <t xml:space="preserve">SAUL POLLO - MECANICO </t>
  </si>
  <si>
    <t>BALANCE LADRILLO JH - 28/04</t>
  </si>
  <si>
    <t>7000 LADRILLOS</t>
  </si>
  <si>
    <t>MANUEL 30 -10(04/04) - 3(08/04) - 4(10/04) - 6(28/04)</t>
  </si>
  <si>
    <t xml:space="preserve">COMPRA DE TECLE </t>
  </si>
  <si>
    <t>RECARGA CELULAR LADRILLOS</t>
  </si>
  <si>
    <t xml:space="preserve">PAGO ESTELA </t>
  </si>
  <si>
    <t xml:space="preserve">DEV-COMPRA DE TECLE </t>
  </si>
  <si>
    <t>DEUDA ANTERIOR</t>
  </si>
  <si>
    <t>BALANCE LADRILLO JH - 29/04</t>
  </si>
  <si>
    <t xml:space="preserve">YAPE A JORDIN -CHAVEZ STD SIPAN </t>
  </si>
  <si>
    <t>DIFERENCIA CHAVEZ STD SIPAN 3000*0.83</t>
  </si>
  <si>
    <t>TECHO 12 ITAL 1000*2.3</t>
  </si>
  <si>
    <t>TECHO 12 ITAL 1000*2.6 - OBLITAS</t>
  </si>
  <si>
    <t>M6I-897 - CLIENTE NAYELY</t>
  </si>
  <si>
    <t>2500 EST TAYSON * 0.99</t>
  </si>
  <si>
    <t>CAMISAN</t>
  </si>
  <si>
    <t>YOVER 28/04(800)   + 29/04(1000)</t>
  </si>
  <si>
    <t>ROBERTO RODRIGUEZ</t>
  </si>
  <si>
    <t xml:space="preserve">ADELANTO JORDY </t>
  </si>
  <si>
    <t xml:space="preserve">PAGO DE CUYUMALCA </t>
  </si>
  <si>
    <t>COMBUSTIBLE CARRO DE NILSO - POR DEVOLVER</t>
  </si>
  <si>
    <t>DEBE</t>
  </si>
  <si>
    <t>BALANCE LADRILLO JH -30/04</t>
  </si>
  <si>
    <t>MOVIMIENTO JORDIN - H&amp;C CEMENTO</t>
  </si>
  <si>
    <t>FERRETERIA JH TECHO 12</t>
  </si>
  <si>
    <t>MANUEL 30 -10(04/04) - 3(08/04) - 4(10/04) - 6(28/04)-4(30/04)</t>
  </si>
  <si>
    <t>TECHO 12 ITAL 1000*2.65 - OBLITAS</t>
  </si>
  <si>
    <t>TECHO 12 ITAL 1000*2.7 - OBLITAS</t>
  </si>
  <si>
    <t>INGRESO DE JORDIN</t>
  </si>
  <si>
    <t xml:space="preserve">COMPRA DE TECNOPOR </t>
  </si>
  <si>
    <t>SALIDA A  JORDIN</t>
  </si>
  <si>
    <t>DIFERENCIA 15000(JORDIN) - DEV COMPRA DE CEMENTO (5400)</t>
  </si>
  <si>
    <t xml:space="preserve">DEV DEPOSITO COMPRA DE CEMENTO </t>
  </si>
  <si>
    <t xml:space="preserve">DEBE </t>
  </si>
  <si>
    <t>JHON SANCHEZ PAND SIP 3080*0.65</t>
  </si>
  <si>
    <t>H&amp;C - 29/04</t>
  </si>
  <si>
    <t>H&amp;C 30/04</t>
  </si>
  <si>
    <t>PARQUE PEREGRINOS</t>
  </si>
  <si>
    <t>PROMAT 2895(LAD EST TORREFUERTE 3000*0.965 + YESO 500*3.3 + 5T12ITAL*2.7)</t>
  </si>
  <si>
    <t>PANDER FORTES5000*0.645</t>
  </si>
  <si>
    <t xml:space="preserve">WALTER </t>
  </si>
  <si>
    <t>DEV- JORDY VILLANUEVA</t>
  </si>
  <si>
    <t>JORDIN HERRERA 01/05</t>
  </si>
  <si>
    <t xml:space="preserve">JORDIN HERRERA - JULIO RODRIGUEZ </t>
  </si>
  <si>
    <t>JORDIN HERRERA - JULIO RODRIGUEZ</t>
  </si>
  <si>
    <t>JORDIN HERRERA - YANINA TIRADO</t>
  </si>
  <si>
    <t>MANTENIMIENTO DE LA CUENTA</t>
  </si>
  <si>
    <t>ENVIO EST CUENTA</t>
  </si>
  <si>
    <t xml:space="preserve">DENILSON - BONO DIA TRABAJADOR </t>
  </si>
  <si>
    <t xml:space="preserve">JORDY VILLANUEVA ANTERIOR </t>
  </si>
  <si>
    <t>JORDIN ADELANDO</t>
  </si>
  <si>
    <t>DEV-COMBUSTIBLE NILSO 29/04</t>
  </si>
  <si>
    <t>INGRESO CARRO DE NILSO</t>
  </si>
  <si>
    <t>TECHO 15 FORTES 500*2.6</t>
  </si>
  <si>
    <t>H&amp;C 29/04 AL 02/05</t>
  </si>
  <si>
    <t>BALANCE LADRILLO JH -02/05</t>
  </si>
  <si>
    <t>BALANCE LADRILLO JH -04/05</t>
  </si>
  <si>
    <t xml:space="preserve">LADRILLO TECHO JONATAN </t>
  </si>
  <si>
    <t>MOTOTAXI</t>
  </si>
  <si>
    <t>PAGO JONATHAN + 25(DIA TRABAJADOR )</t>
  </si>
  <si>
    <t>DIFERENCIA DE LADRILLO JONATAHN</t>
  </si>
  <si>
    <t>ARSENIO MEJIA - M6I-897</t>
  </si>
  <si>
    <t>ARSENIO MEJIA KK TORREFUERTE 3000*0.84</t>
  </si>
  <si>
    <t>DIFERENCIA LADRILLO KK ARSENIO MEJIA</t>
  </si>
  <si>
    <t xml:space="preserve">YOVER </t>
  </si>
  <si>
    <t>JHON SANCHEZ</t>
  </si>
  <si>
    <t xml:space="preserve">VALDIVIEZO </t>
  </si>
  <si>
    <t>PANTALLA DE IPHONE - JORDIN</t>
  </si>
  <si>
    <t>PAGO TARJETA JORDIN</t>
  </si>
  <si>
    <t>SUPERKINKON</t>
  </si>
  <si>
    <t xml:space="preserve">TORREFUERTE </t>
  </si>
  <si>
    <t>BALANCE LADRILLO JH -05/05</t>
  </si>
  <si>
    <t xml:space="preserve">BANCARIZACION </t>
  </si>
  <si>
    <t>BANCARIZACION</t>
  </si>
  <si>
    <t>JORDIN BANCARIZACION</t>
  </si>
  <si>
    <t>MEJIA EST SIP 4000*0.84</t>
  </si>
  <si>
    <t>MANUEL CORONEL SUPERKK 500*2.8</t>
  </si>
  <si>
    <t>WALTER (4000-900AFAVOR)</t>
  </si>
  <si>
    <t>ESTELA 29/04 - 04/05</t>
  </si>
  <si>
    <t xml:space="preserve">OSCAR </t>
  </si>
  <si>
    <t>ARSENIO MEJIATECHO 15 FORTES 1000*2.65</t>
  </si>
  <si>
    <t>CHAMBA - JONATHAN</t>
  </si>
  <si>
    <t>PANDERETA SIPAN 2000*0.72</t>
  </si>
  <si>
    <t>COMPRA DE 256 PAN SIPAN *0.65</t>
  </si>
  <si>
    <t>CLIENTE JORDIN</t>
  </si>
  <si>
    <t>ELECTROTEC - OLMOS</t>
  </si>
  <si>
    <t>ORLANDO VASQUEZ FLETE ANTERIOR-CARRO NILSO</t>
  </si>
  <si>
    <t>GASEOSA JORDY VILLANUEVA 05/05</t>
  </si>
  <si>
    <t>PEAJE OLMOS M8B-893</t>
  </si>
  <si>
    <t>950*0.6</t>
  </si>
  <si>
    <t>H&amp;C - PRESTAMO</t>
  </si>
  <si>
    <t xml:space="preserve">FLETE LILI LA CRIA </t>
  </si>
  <si>
    <t>COMPRA DE 2 CUBOS DE ARENILLA * 22</t>
  </si>
  <si>
    <t>BALANCE LADRILLO JH -06/05</t>
  </si>
  <si>
    <t>BALANCE LADRILLO JH -07/05</t>
  </si>
  <si>
    <t xml:space="preserve">DEPOSITO </t>
  </si>
  <si>
    <t>COMPRA LADRILLO ARTESANAL 2550*0.4</t>
  </si>
  <si>
    <t>ARSENIO MEJIA ARTESANAL PEQUEÑO 2250*0.48</t>
  </si>
  <si>
    <t>JORDY VILLANUEVA CONFUSION NAYELY</t>
  </si>
  <si>
    <t>COMPRA PAND FORTALEZA 1000*0.71</t>
  </si>
  <si>
    <t>MEJIA 2000 EST TAYSON + 1000PAN FORTALE</t>
  </si>
  <si>
    <t>JEINER</t>
  </si>
  <si>
    <t>JEINER - EDWIN HERRERA</t>
  </si>
  <si>
    <t>BANCARIZACIONES</t>
  </si>
  <si>
    <t xml:space="preserve">NAPO GUEVARA SALDO </t>
  </si>
  <si>
    <t>NAPO GUEVARA 2400+600</t>
  </si>
  <si>
    <t xml:space="preserve">FLETES ORLANDO 2 VIAJES </t>
  </si>
  <si>
    <t>BALANCE LADRILLO JH -08/05</t>
  </si>
  <si>
    <t xml:space="preserve">CERAMICOS </t>
  </si>
  <si>
    <t>COMPRA PAND CERAMICOS LAMB 5000*0.6</t>
  </si>
  <si>
    <t>ARSENIO MEJIA TECHO 12 1000*2.6  (300EN YAPE)</t>
  </si>
  <si>
    <t>BARBOZA</t>
  </si>
  <si>
    <t xml:space="preserve">VENTAS </t>
  </si>
  <si>
    <t xml:space="preserve">SIPAN RODRIGUEZ </t>
  </si>
  <si>
    <t>BALANCE LADRILLO JH -09/05</t>
  </si>
  <si>
    <t>HAMERSON</t>
  </si>
  <si>
    <t xml:space="preserve">IRMA </t>
  </si>
  <si>
    <t>TEONILA</t>
  </si>
  <si>
    <t>COMPRA DE LADR CONCRETO 500*1.65</t>
  </si>
  <si>
    <t>FERRETERIA OBLITAS 500*2.1 LADRILLO CONCRETO</t>
  </si>
  <si>
    <t>ORLANDO FLETE</t>
  </si>
  <si>
    <t>ABONO AYASTA 02 AL 09 DE MAYO</t>
  </si>
  <si>
    <t>H&amp;C - PRESTAMO PANDERETA SIPAN</t>
  </si>
  <si>
    <t xml:space="preserve">FERRETERIA OBLITAS - TUMAN </t>
  </si>
  <si>
    <t>A CUENTA</t>
  </si>
  <si>
    <t>JONATHAN SAAVEDRA</t>
  </si>
  <si>
    <t xml:space="preserve">FERRETERIA ALPEN OBLITAS </t>
  </si>
  <si>
    <t xml:space="preserve">SALDO TOTAL FERRETERIA ALPEN </t>
  </si>
  <si>
    <t>H&amp;C (8MAYO)</t>
  </si>
  <si>
    <t>H&amp;C (9MAYO)</t>
  </si>
  <si>
    <t>BACA</t>
  </si>
  <si>
    <t>PANDER FORTES5000*0.645 OBLITAS</t>
  </si>
  <si>
    <t>1000PAN FORTALE *0.75</t>
  </si>
  <si>
    <t>MEJIA 2000 EST TAYSON 0.99</t>
  </si>
  <si>
    <t>BALANCE LADRILLO JH -11/05</t>
  </si>
  <si>
    <t>SUPERKINKON 1400*3.1</t>
  </si>
  <si>
    <t>WALTER TELLO A CUENTA LADRILLO SUPERKK 1400*3.95</t>
  </si>
  <si>
    <t xml:space="preserve">SALDO WALTER TELLO </t>
  </si>
  <si>
    <t>COMPRA SUPERKIKON 500*2.8</t>
  </si>
  <si>
    <t xml:space="preserve">CORREA </t>
  </si>
  <si>
    <t>ELAR</t>
  </si>
  <si>
    <t>VENTAS</t>
  </si>
  <si>
    <t>COFESEG</t>
  </si>
  <si>
    <t>CORREA</t>
  </si>
  <si>
    <t>COMBUSTIBLE M6I-897 (JORDY PUSO TEMPRANO)</t>
  </si>
  <si>
    <t>PANDER FORTES5000*0.65 OBLITAS</t>
  </si>
  <si>
    <t>BALANCE LADRILLO JH -12/05</t>
  </si>
  <si>
    <t xml:space="preserve">VILLAR BRAVO LUIS </t>
  </si>
  <si>
    <t>AGUSTIIN EST TAYSON 3000*0.99 (2000EFECTIVO)</t>
  </si>
  <si>
    <t>AGUSTIN 3000 ESTT TAYSON *0.99 (970YAPE)</t>
  </si>
  <si>
    <t xml:space="preserve"> 2000 EST TAYSON 0.99</t>
  </si>
  <si>
    <t>PANDERETA CERAMICOS 5000*0.6</t>
  </si>
  <si>
    <t>NAPO GUEVARA 5000*0.675</t>
  </si>
  <si>
    <t>JEINER HERRERA</t>
  </si>
  <si>
    <t>AGUSTIN</t>
  </si>
  <si>
    <t>LADRILLO CONCRETO 1000*1.9</t>
  </si>
  <si>
    <t xml:space="preserve">ORLANDO VASQUEZ </t>
  </si>
  <si>
    <t>PANDERETA CERAMICOS 500*0.68 PROMAT</t>
  </si>
  <si>
    <t>CLUB DE CAZA</t>
  </si>
  <si>
    <t>ISAIAS (DOMINGO)</t>
  </si>
  <si>
    <t>VILLA BOBADILLA</t>
  </si>
  <si>
    <t xml:space="preserve">RECARGA DE CELULAR </t>
  </si>
  <si>
    <t xml:space="preserve">CARRO PLOMITO </t>
  </si>
  <si>
    <t>ESTELA 07/05 AL 09/05</t>
  </si>
  <si>
    <t>BALANCE LADRILLO JH -13/05</t>
  </si>
  <si>
    <t xml:space="preserve">PROMAT ESTANDAR LARK </t>
  </si>
  <si>
    <t xml:space="preserve">MEJIA </t>
  </si>
  <si>
    <t>PANDERETA CERAMICOS 4000*0.6</t>
  </si>
  <si>
    <t>JONATHAN 2000PAN CERAMICOS *0.69</t>
  </si>
  <si>
    <t>DEVOLUCION JONATHAN -ERINZON</t>
  </si>
  <si>
    <t xml:space="preserve">OBLITAS DEBERIA - MAÑANA LO LLEVAN </t>
  </si>
  <si>
    <t>ALDUBAR</t>
  </si>
  <si>
    <t xml:space="preserve">GRIMALDINA ANTERIOR </t>
  </si>
  <si>
    <t xml:space="preserve">JHON SANCHEZ DEPOSITO DE H&amp;C </t>
  </si>
  <si>
    <t>H&amp;C 5583 (DEPOSITO H&amp;C) -4151.94</t>
  </si>
  <si>
    <t>RETIRO VENTANILLA</t>
  </si>
  <si>
    <t xml:space="preserve">RETIRO </t>
  </si>
  <si>
    <t xml:space="preserve">DEBE JORDIN </t>
  </si>
  <si>
    <t>BALANCE LADRILLO JH -14/05</t>
  </si>
  <si>
    <t>MEJIA TECHO 12 FORTES</t>
  </si>
  <si>
    <t>WALTER TELLO DIFERENCIA</t>
  </si>
  <si>
    <t>TECHO 12 ITAL*2.6 PROMAT</t>
  </si>
  <si>
    <t>500 TECHO 12 ITAL - H&amp;C PRESTADO *2.6</t>
  </si>
  <si>
    <t>HUGO VASQUEZ</t>
  </si>
  <si>
    <t>FERROCONSTRUCTORA JH  11/04</t>
  </si>
  <si>
    <t>TECHO 12 FORTES MEJIA QUEBRADOS</t>
  </si>
  <si>
    <t xml:space="preserve">ORLANDO VASQUEZ DIFERENCIA </t>
  </si>
  <si>
    <t xml:space="preserve">SE ENTREGO A JORDIN PARA BANCARIZAR </t>
  </si>
  <si>
    <t xml:space="preserve">INGRESO A LA CUENTA </t>
  </si>
  <si>
    <t>INGRESO A LA CUENTA DE INVERSIONES YAMMAR - JORDIN</t>
  </si>
  <si>
    <t xml:space="preserve">ABONO JHON SANCHEZ </t>
  </si>
  <si>
    <t>ABONO DE JHON SANCHEZ</t>
  </si>
  <si>
    <t xml:space="preserve">H6C DIFRENCIA REPORTE </t>
  </si>
  <si>
    <t>FERRETERIA ALPES</t>
  </si>
  <si>
    <t>BALANCE LADRILLO JH -15/05</t>
  </si>
  <si>
    <t>AUTOFACIL</t>
  </si>
  <si>
    <t xml:space="preserve">PUYEN </t>
  </si>
  <si>
    <t xml:space="preserve">FERRETERIA ALPES ACUENTA </t>
  </si>
  <si>
    <t>CARRITO PLOMO -CAMBIO DE ACEITE Y LAVADO</t>
  </si>
  <si>
    <t>CARRITO PLOMO - CAMBIO DE ACEITE - LAVADO (DEVOLUCION</t>
  </si>
  <si>
    <t>BALANCE LADRILLO JH -16/05</t>
  </si>
  <si>
    <t>TECHO 12 ITAL*2.65 JONTHAN</t>
  </si>
  <si>
    <t>100 TECHO 12 ITAL - H&amp;C PRESTADO *2.6</t>
  </si>
  <si>
    <t>SE DEVOLVIO UNA PARTE H&amp;C -SALDO 100</t>
  </si>
  <si>
    <t>WALTER CASA BLANCA</t>
  </si>
  <si>
    <t>PAGO JORDY VILLANUEVA</t>
  </si>
  <si>
    <t>DENILSON DESAYUNO 15/05</t>
  </si>
  <si>
    <t>CARRO PLOMITO (95FLETE LUNES Y MARTES +360 LADRILLOS)</t>
  </si>
  <si>
    <t xml:space="preserve">DENILSON  </t>
  </si>
  <si>
    <t xml:space="preserve">MANTENIMIENTO CUENTA </t>
  </si>
  <si>
    <t>BALANCE LADRILLO JH -18/05</t>
  </si>
  <si>
    <t>A CUENTA FERRETERIA ALPES</t>
  </si>
  <si>
    <t xml:space="preserve">JORDY HERRERA </t>
  </si>
  <si>
    <t xml:space="preserve">ADELANTO SR BETO </t>
  </si>
  <si>
    <t>SR BETO - EFECTIVO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</si>
  <si>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</si>
  <si>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VOLQUTE GRIS</t>
  </si>
  <si>
    <t>COMPRA 500 LADRILLO CONCRETO *1.65</t>
  </si>
  <si>
    <t xml:space="preserve">H&amp;C DEVOLUCION </t>
  </si>
  <si>
    <t>ELMER BAUTISTA</t>
  </si>
  <si>
    <t xml:space="preserve">ATOCHE </t>
  </si>
  <si>
    <t xml:space="preserve">JORDY HERRRERA - JORDY VILLANUEVA </t>
  </si>
  <si>
    <t>CHONGOYAPE MAJIN</t>
  </si>
  <si>
    <t xml:space="preserve">CHONGOYAPE - MAJIN </t>
  </si>
  <si>
    <t xml:space="preserve">FLETE VOLQUETE GRIS </t>
  </si>
  <si>
    <t>RETIRO JORDIN</t>
  </si>
  <si>
    <t>CAMBIOS DE ACEITE JORDIN</t>
  </si>
  <si>
    <t>BALANCE LADRILLO JH -19/05</t>
  </si>
  <si>
    <t xml:space="preserve">DISCO 7 DEWALT </t>
  </si>
  <si>
    <t xml:space="preserve">SUPERSITO </t>
  </si>
  <si>
    <t>ARSENIO MEJIA 3000EST SIPAN *0.84</t>
  </si>
  <si>
    <t>MAJIN</t>
  </si>
  <si>
    <t xml:space="preserve">FERNANDEZ </t>
  </si>
  <si>
    <t>BANCARIZACIONES JORDIN</t>
  </si>
  <si>
    <t>BANCARIZACION JORDIN</t>
  </si>
  <si>
    <t>DEUDA DE JORDIN + 21000</t>
  </si>
  <si>
    <t xml:space="preserve">ESTELA 12 AL 19 DE MAYO </t>
  </si>
  <si>
    <t xml:space="preserve">POLOS DE ESTAMPA </t>
  </si>
  <si>
    <t>LILI  4000 ESTANDAR *0.86</t>
  </si>
  <si>
    <t>SR MANUEL 4000*0.75</t>
  </si>
  <si>
    <t>COMPRA DE ARTESANAL PEQUEÑO</t>
  </si>
  <si>
    <t>PEAJE JORDIN</t>
  </si>
  <si>
    <t>COMBUSTIBLES M6I-897</t>
  </si>
  <si>
    <t>ESTAMPAS POLOS</t>
  </si>
  <si>
    <t>BALANCE LADRILLO JH - 20/05</t>
  </si>
  <si>
    <t>ESTAN FORTES 3000*0.84</t>
  </si>
  <si>
    <t>COMPRA PAN CERAMICOS 7000*0.6</t>
  </si>
  <si>
    <t xml:space="preserve">AYASTA 11 AL 20 DE MAYO </t>
  </si>
  <si>
    <t>SR RAMOS SUPERKKON</t>
  </si>
  <si>
    <t>JORDIN LADRILLO EST TORREFUERTE</t>
  </si>
  <si>
    <t xml:space="preserve">COMPRA DE 25 MIL ESTANDAR TORREFUERTE </t>
  </si>
  <si>
    <t>SR MANUEL -4(19/04)</t>
  </si>
  <si>
    <t>AYUDANTE LADRILLO - 19/05</t>
  </si>
  <si>
    <t>WALTER - CASA BLANCA</t>
  </si>
  <si>
    <t>BONILLA</t>
  </si>
  <si>
    <t>DEBEMOS</t>
  </si>
  <si>
    <t xml:space="preserve">LAVADO DE CAMIONETA </t>
  </si>
  <si>
    <t>LAVADO DE CAMIONETA JORDIN</t>
  </si>
  <si>
    <t>H&amp;C 19/05</t>
  </si>
  <si>
    <t>H&amp;C 20/05</t>
  </si>
  <si>
    <t>RIMARACHIN 600 TECHO 12 *3.2 FORTALEZA</t>
  </si>
  <si>
    <t>RIMARACHIN LA CRIA</t>
  </si>
  <si>
    <t>PANDERETA CERAMICOS 5000*0.53</t>
  </si>
  <si>
    <t>BALANCE LADRILLO JH - 21/05</t>
  </si>
  <si>
    <t>EDINSON</t>
  </si>
  <si>
    <t>LILI  - GRUPO CORPORATIVO HERRERA TUMAN</t>
  </si>
  <si>
    <t>FLORES SILVA</t>
  </si>
  <si>
    <t>TAFUR</t>
  </si>
  <si>
    <t>PEDIDO SIPAN</t>
  </si>
  <si>
    <t xml:space="preserve">RIMARACHIN - LA CRIA </t>
  </si>
  <si>
    <t>ADELANTO JONATHAN</t>
  </si>
  <si>
    <t>ADELANTO JORDY VILLANUEVA</t>
  </si>
  <si>
    <t xml:space="preserve">PRESTAMO H&amp;C </t>
  </si>
  <si>
    <t>PRESTAMO JORDIN</t>
  </si>
  <si>
    <t xml:space="preserve">SE LE PRESTO A  H&amp;C </t>
  </si>
  <si>
    <t>JORDIN LADRILLO EST TORREFUERTE + 6000</t>
  </si>
  <si>
    <t>BALANCE LADRILLO JH - 22/05</t>
  </si>
  <si>
    <t xml:space="preserve">ESTRELLA -  LA UNION </t>
  </si>
  <si>
    <t>ESTRELLA 1000 ESTANDA TAYSON*1.02</t>
  </si>
  <si>
    <t xml:space="preserve">EDINSON TECHO 15 LARK Y ESTANDAR TAYSON </t>
  </si>
  <si>
    <t>JORDIN - A AFAVOR EDINSON</t>
  </si>
  <si>
    <t>PANDERETA CERAMICOS 8000*0.53</t>
  </si>
  <si>
    <t>LARIOS PANDERETA CERAMICOS 2000*0.73</t>
  </si>
  <si>
    <t xml:space="preserve">YOVER - PROMAT </t>
  </si>
  <si>
    <t>HUGO</t>
  </si>
  <si>
    <t>ALMUERZO JORDY VILLANUEVA</t>
  </si>
  <si>
    <t>BALANCE LADRILLO JH - 23/05</t>
  </si>
  <si>
    <t xml:space="preserve">FANY </t>
  </si>
  <si>
    <t xml:space="preserve">EDWIN DIAZ </t>
  </si>
  <si>
    <t>CARRITO GRIS</t>
  </si>
  <si>
    <t xml:space="preserve">COCOLISO </t>
  </si>
  <si>
    <t xml:space="preserve">PROMAT A CUENTA </t>
  </si>
  <si>
    <t>PAGO JORDY VILLANNUEVA</t>
  </si>
  <si>
    <t>DESAYUNOMODESTO</t>
  </si>
  <si>
    <t xml:space="preserve">ADELANTO JONATAN </t>
  </si>
  <si>
    <t>BALANCE LADRILLO JH - 25/05</t>
  </si>
  <si>
    <t>RIMARACHIN (M6I-897)</t>
  </si>
  <si>
    <t>RECARGA DENILSON</t>
  </si>
  <si>
    <t>STICKERS Y POLARIZADO M8B-893</t>
  </si>
  <si>
    <t>ACEITE M8B-893</t>
  </si>
  <si>
    <t xml:space="preserve">RECARGA CELULAR LADRILLOS </t>
  </si>
  <si>
    <t xml:space="preserve">VALERIO </t>
  </si>
  <si>
    <t xml:space="preserve">BANCARIZACIONES </t>
  </si>
  <si>
    <t xml:space="preserve">TRACTO -JORDIN </t>
  </si>
  <si>
    <t>TRACTO - JORDIN</t>
  </si>
  <si>
    <t>DEVOLUCION - BANCARIZACIONES</t>
  </si>
  <si>
    <t xml:space="preserve">PRESTAMO </t>
  </si>
  <si>
    <t xml:space="preserve">DESCUENTO DE PRESTAMO </t>
  </si>
  <si>
    <t>SR MANUEL -4(19/04)-4.5(26/05)</t>
  </si>
  <si>
    <t>BALANCE LADRILLO JH - 26/05</t>
  </si>
  <si>
    <t xml:space="preserve">ALMUERZO ALVARO </t>
  </si>
  <si>
    <t xml:space="preserve">MARVIC </t>
  </si>
  <si>
    <t>H&amp;C - MARVIC</t>
  </si>
  <si>
    <t>BALANCE LADRILLO JH - 27/05</t>
  </si>
  <si>
    <t>SR MANUEL -4(19/04)-4.5(26/05)-4(27/05)</t>
  </si>
  <si>
    <t>ZARPAN</t>
  </si>
  <si>
    <t>CALUA</t>
  </si>
  <si>
    <t>BUENAÑO</t>
  </si>
  <si>
    <t>POLOS -POLERA</t>
  </si>
  <si>
    <t>LADRILLOS H&amp;C</t>
  </si>
  <si>
    <t>A CUENTA H&amp;C PRESTAMO 21/05</t>
  </si>
  <si>
    <t xml:space="preserve">A CUENTA FERRETERIA ALPES </t>
  </si>
  <si>
    <t>SR ORLANDO 3 FLETES VOLQUETE GRIS(350)- M6I-897(210)</t>
  </si>
  <si>
    <t>DEVOLUCION FLETES VOLQUETE GRIS - SR ORLANDO 2 FLETES (YAPE JORDIN)</t>
  </si>
  <si>
    <t xml:space="preserve">POLOS </t>
  </si>
  <si>
    <t>BALANCE LADRILLO JH - 28/05</t>
  </si>
  <si>
    <t xml:space="preserve">A CUENTA GRUPO CORPORATIVO HERRERA </t>
  </si>
  <si>
    <t>SEÑOR ESTELA</t>
  </si>
  <si>
    <t>ARSENIO MEJIA 4000 PANDERETA *0.645</t>
  </si>
  <si>
    <t xml:space="preserve">VOLQUETE GRIS </t>
  </si>
  <si>
    <t>SR MANUEL SUPEKK 500*2.8</t>
  </si>
  <si>
    <t>FREDY ALVA</t>
  </si>
  <si>
    <t>BALANCE LADRILLO JH - 29/05</t>
  </si>
  <si>
    <t xml:space="preserve">JEINER HERRERA </t>
  </si>
  <si>
    <t>SR MANUEL -4(19/04)-4.5(26/05)-4(27/05) - 4(29/05)-3(29/05-FELIX)</t>
  </si>
  <si>
    <t>ELVA</t>
  </si>
  <si>
    <t>FELIX SERVIGON 3000*0.78</t>
  </si>
  <si>
    <t>JHON SANCHEZ VENTA H&amp;C</t>
  </si>
  <si>
    <t>DEV.H&amp;C</t>
  </si>
  <si>
    <t xml:space="preserve">LINEA CELULAR BETO </t>
  </si>
  <si>
    <t xml:space="preserve">LINEA DE CELULAR BETO </t>
  </si>
  <si>
    <t>VENTAS DEL DIA 28/05</t>
  </si>
  <si>
    <t xml:space="preserve">100 TECHO 15 *2.75 ITAL </t>
  </si>
  <si>
    <t>BALANCE LADRILLO JH - 30/05</t>
  </si>
  <si>
    <t>DEVOLUCION H&amp;C PRESTAMO</t>
  </si>
  <si>
    <t>A CUENTA H&amp;C - DEPOSITO MARVID</t>
  </si>
  <si>
    <t>YAPE-JORDIN VILLANUEVA</t>
  </si>
  <si>
    <t>VENTA DE 10 POLOS * 10</t>
  </si>
  <si>
    <t>YAPE JORDIN - DEVOLUCION</t>
  </si>
  <si>
    <t>JEINER HERRERA ESTANDAR TORREFUERTE COLLIQUE *0.86</t>
  </si>
  <si>
    <t>ARSENIO MEJIA 800 TECHO 15 PERUANOS *2.6</t>
  </si>
  <si>
    <t>MARCO VASQUEZ  1100 TECHO 15 ITAL *2.7</t>
  </si>
  <si>
    <t>FELICIANA</t>
  </si>
  <si>
    <t>PAGO DENILSON + BONO(30SOLES)</t>
  </si>
  <si>
    <t xml:space="preserve">JORDIN - PRESTAMO </t>
  </si>
  <si>
    <t>DEV PRESTAMO MARVID</t>
  </si>
  <si>
    <t>PERDIDA NAYELY</t>
  </si>
  <si>
    <t>BALANCE LADRILLO JH - 01/06</t>
  </si>
  <si>
    <t>ARSENIO MEJIA</t>
  </si>
  <si>
    <t>SR MANUEL -4(19/04)-4.5(26/05)-4(27/05) - 4(29/05)-3(29/05-FELIX)-4(01/06)</t>
  </si>
  <si>
    <t xml:space="preserve">VENTA JORDIN-CALETA SAN JOSE </t>
  </si>
  <si>
    <t xml:space="preserve">CALETA SAN JOSE </t>
  </si>
  <si>
    <t>ROCIO 31/05</t>
  </si>
  <si>
    <t>FACTURA COINSSA</t>
  </si>
  <si>
    <t>FLETE  DEL SEÑOR NAPO A MEJIA(800 TECHO 15 PERUANOS)</t>
  </si>
  <si>
    <t>DEVOLUCION -SR MARCO</t>
  </si>
  <si>
    <t>ENV-ESTADO DE CUENTA</t>
  </si>
  <si>
    <t xml:space="preserve">MANTENIMIENTO </t>
  </si>
  <si>
    <t>PAGO SUNAT-SEGURO JONATHAN</t>
  </si>
  <si>
    <t>IMPUESTO ITF</t>
  </si>
  <si>
    <t xml:space="preserve">COMISION DE DEPOSITO DEVOLUCION  SR MARCO </t>
  </si>
  <si>
    <t xml:space="preserve">DEVOLUCION DEPOSITO SR MARCO </t>
  </si>
  <si>
    <t>NAYELY 30/05</t>
  </si>
  <si>
    <t xml:space="preserve">PAGO SEÑOR BETO </t>
  </si>
  <si>
    <t>BALANCE LADRILLO JH - 02/06</t>
  </si>
  <si>
    <t>H&amp;C 01/06</t>
  </si>
  <si>
    <t>JONATHAN TECHO 12 ITAL 400*2.7</t>
  </si>
  <si>
    <t>BURGOS PANDERETA FORTES 4000*0.68</t>
  </si>
  <si>
    <t>JACOBITA</t>
  </si>
  <si>
    <t>CARLOS CABRERA</t>
  </si>
  <si>
    <t>VASQUEZ CALUA</t>
  </si>
  <si>
    <t xml:space="preserve">ALMUERZO MODESTO </t>
  </si>
  <si>
    <t xml:space="preserve">DESAYUNO DENILSON ADELANTO </t>
  </si>
  <si>
    <t xml:space="preserve">PEAJE </t>
  </si>
  <si>
    <t xml:space="preserve">RPM JONATHAN  ADELANTO </t>
  </si>
  <si>
    <t>LETRA DEL CARRO</t>
  </si>
  <si>
    <t xml:space="preserve">LETRA DEL CARRO </t>
  </si>
  <si>
    <t>A CUENTA NAPO GUEVARA</t>
  </si>
  <si>
    <t>BALANCE LADRILLO JH - 03/06</t>
  </si>
  <si>
    <t>ARSENIO MEJIA 3500*0.86  ESTAN TORREFUERT</t>
  </si>
  <si>
    <t xml:space="preserve">MANUEL TORREFUERTE REPORTE </t>
  </si>
  <si>
    <t xml:space="preserve">FLETE SEÑOR NAPO </t>
  </si>
  <si>
    <t>DEPOSITO INVERSIONES YAMMAR</t>
  </si>
  <si>
    <t xml:space="preserve">H&amp;C - PRESTAMO </t>
  </si>
  <si>
    <t xml:space="preserve">JORDIN - RETIRO </t>
  </si>
  <si>
    <t>BCP</t>
  </si>
  <si>
    <t xml:space="preserve">SR MANUEL TORREFUERTE REPORTE </t>
  </si>
  <si>
    <t>COMBUSTIBLE M6I-897 /SEÑOR BETO MODESTO 01/06</t>
  </si>
  <si>
    <t>H&amp;C LADRILLO</t>
  </si>
  <si>
    <t>CHOMBA</t>
  </si>
  <si>
    <t>BALANCE LADRILLO JH - 04/06</t>
  </si>
  <si>
    <t>DEVOLUCION DE PRESTAMO H&amp;C</t>
  </si>
  <si>
    <t>INVERSIONES YAMMAR DEVOLUCION</t>
  </si>
  <si>
    <t>COMPRA DE PANDERETA TORREFUERTE 5000*0.59</t>
  </si>
  <si>
    <t>ALMUERZO JONTAHN - DENILSON</t>
  </si>
  <si>
    <t>JHON SANCHEZ MATERIALES H&amp;C 03/06</t>
  </si>
  <si>
    <t>DEVOLUCION A H&amp;C - JHON SANCHEZ</t>
  </si>
  <si>
    <t>ROCIO - CHACUPE</t>
  </si>
  <si>
    <t>CORONADO DIAZ</t>
  </si>
  <si>
    <t xml:space="preserve">FERNNANDEZ MEGO </t>
  </si>
  <si>
    <t>CLIENTE SAN JOSE</t>
  </si>
  <si>
    <t>ANAYELY PRESTAMO</t>
  </si>
  <si>
    <t xml:space="preserve">ANAYELY PRESTAMO </t>
  </si>
  <si>
    <t xml:space="preserve">YAPE CALI- VOLQUETE GRIS </t>
  </si>
  <si>
    <t xml:space="preserve">DEV YAPE EN EFECTIVO - CALIN/VOLQUETE GRIS </t>
  </si>
  <si>
    <t>BALANCE LADRILLO JH - 05/06</t>
  </si>
  <si>
    <t>SR MANUEL: 5(5/06) - 4(5/06) - 3(5/06) - 5(5/06)</t>
  </si>
  <si>
    <t>SR MANUEL COMPRA DE 20 ESTANDAR(760) Y 30 DE PANDER(590)</t>
  </si>
  <si>
    <t xml:space="preserve">ENCARGO JORDIN </t>
  </si>
  <si>
    <t xml:space="preserve">JORDIN ENCARGO </t>
  </si>
  <si>
    <t>A CUENTA GRUPO CORPORATIVO TUMAN - LILI</t>
  </si>
  <si>
    <t>COMPRA DE 30 MIL PANDERETA TORREFUERTE (590)</t>
  </si>
  <si>
    <t>COMPRA DE 20 ESTANDAR TORREFUERTE (760)</t>
  </si>
  <si>
    <t>DEYVI RIMARACHIN PAND TORREFUERTE 3000*0.62</t>
  </si>
  <si>
    <t>PUYEN</t>
  </si>
  <si>
    <t xml:space="preserve">REAL </t>
  </si>
  <si>
    <t>DEIFERENCIA</t>
  </si>
  <si>
    <t>EST TORREFUERTE</t>
  </si>
  <si>
    <t>EST SIPNA</t>
  </si>
  <si>
    <t xml:space="preserve">EXCEL </t>
  </si>
  <si>
    <t>DEPOSITO PAKATNAMU- H6C</t>
  </si>
  <si>
    <t xml:space="preserve">DEPOSITO PAKATNAMU </t>
  </si>
  <si>
    <t xml:space="preserve">CLIENTE SAN JOSE </t>
  </si>
  <si>
    <t xml:space="preserve">PAGO JONTAHN </t>
  </si>
  <si>
    <t>PARLANTES</t>
  </si>
  <si>
    <t xml:space="preserve">A CUENTA H&amp;C PAKATNAMU </t>
  </si>
  <si>
    <t xml:space="preserve">DEVOLUCION DE PRESTAMO NAYELY </t>
  </si>
  <si>
    <t>BALANCE LADRILLO JH - 06/06</t>
  </si>
  <si>
    <t>BALANCE LADRILLO JH - 08/06</t>
  </si>
  <si>
    <t>GAMBOA</t>
  </si>
  <si>
    <t>FRANKLIN</t>
  </si>
  <si>
    <t>WALTER - CAS BLANCA</t>
  </si>
  <si>
    <t>MILDER</t>
  </si>
  <si>
    <t xml:space="preserve">SABADO </t>
  </si>
  <si>
    <t>LADRILLO COLLIQUE JEINER 06/06</t>
  </si>
  <si>
    <t>SR MANUEL : 4(8/06) - 2(08/06)</t>
  </si>
  <si>
    <t xml:space="preserve">H&amp;C DEPOSITO </t>
  </si>
  <si>
    <t>H&amp;C EFECTIVO</t>
  </si>
  <si>
    <t>FLETE VOLQUETE PLOMO</t>
  </si>
  <si>
    <t xml:space="preserve">50 SOLES </t>
  </si>
  <si>
    <t>BALANCE LADRILLO JH - 09/06</t>
  </si>
  <si>
    <t>CRISTHIAN TAFUR</t>
  </si>
  <si>
    <t>CRHISTIAN TAFUR-LA CRIA</t>
  </si>
  <si>
    <t xml:space="preserve">LILI </t>
  </si>
  <si>
    <t>FLETE COLLIQUE</t>
  </si>
  <si>
    <t xml:space="preserve">ELVA </t>
  </si>
  <si>
    <t>QUISPE</t>
  </si>
  <si>
    <t>H&amp;C DEVOLUCION DE PRESTAMO - PAKATNAMU</t>
  </si>
  <si>
    <t>PARCHE  DE LLANTA M8B-893</t>
  </si>
  <si>
    <t>SR RAMOS LADRILLO TECHO 15 DFORTALEZA</t>
  </si>
  <si>
    <t>INVERSIONES YAMMAR</t>
  </si>
  <si>
    <t>COBRAR</t>
  </si>
  <si>
    <t>BALANCE LADRILLO JH - 10/06</t>
  </si>
  <si>
    <t>FLETE COLLQUE 250+10</t>
  </si>
  <si>
    <t>SR MANUEL: 5(5/06) - 4(5/06) - 3(5/06) - 5(5/06) - 2.5(10/06)</t>
  </si>
  <si>
    <t>DEVOLUCION-INVERSIONES YAMMAR</t>
  </si>
  <si>
    <t>A FAVOR DE JORDIN</t>
  </si>
  <si>
    <t>PRESTAMO A H&amp;C</t>
  </si>
  <si>
    <t>PRESTAMOS H&amp;C</t>
  </si>
  <si>
    <t>CLIENTE DE JORDIN</t>
  </si>
  <si>
    <t>ALMUERZO JONATHAN-DENILSON</t>
  </si>
  <si>
    <t>LADRILLO H&amp;C 09/06</t>
  </si>
  <si>
    <t>LADRILLO H&amp;C 10/06</t>
  </si>
  <si>
    <t>SR MANUEL : 4(8/06) - 2(08/06) -3(10/06) -6(11/06)</t>
  </si>
  <si>
    <t xml:space="preserve">SR MANUEL : 4(8/06) - 2(08/06) -3(10/06) </t>
  </si>
  <si>
    <t>CLIENTE DE JORDIN - LAMBAYEQUE</t>
  </si>
  <si>
    <t>ARSENIO MEJIA LADRILLO EST SIPAN 3000*0.87</t>
  </si>
  <si>
    <t>TAPIA</t>
  </si>
  <si>
    <t>PRESTAMO H&amp;C</t>
  </si>
  <si>
    <t>BALANCE LADRILLO JH - 12/06</t>
  </si>
  <si>
    <t>BALANCE LADRILLO JH - 11/06</t>
  </si>
  <si>
    <t xml:space="preserve">CLIENTE DE SAN JOSE </t>
  </si>
  <si>
    <t xml:space="preserve">DEYSI VALDIVIESO </t>
  </si>
  <si>
    <t>NEGRON</t>
  </si>
  <si>
    <t>13421.03+15850.29</t>
  </si>
  <si>
    <t>SR MANUEL : 4(8/06) - 2(08/06) -3(10/06) -6(11/06) - 4</t>
  </si>
  <si>
    <t>BALANCE LADRILLO JH - 13/06</t>
  </si>
  <si>
    <t xml:space="preserve">SR MANUEL : 4(8/06) - 2(08/06) -3(10/06) -6(11/06) </t>
  </si>
  <si>
    <t>SR MANUEL: 5(5/06) - 4(5/06) - 3(5/06) - 5(5/06) - 2.5(10/06) - 4(13/06)</t>
  </si>
  <si>
    <t>LADRILLO H&amp;C 12/06</t>
  </si>
  <si>
    <t>LADRILLO H&amp;C 13/06</t>
  </si>
  <si>
    <t xml:space="preserve">DIFERENCIA JORDIN </t>
  </si>
  <si>
    <t>BALANCE LADRILLO JH - 15/06</t>
  </si>
  <si>
    <t>EDINSON - PANDERETA TAYSON 3000*0.64</t>
  </si>
  <si>
    <t xml:space="preserve">WALTER TELLO </t>
  </si>
  <si>
    <t xml:space="preserve">REPORTE LILI </t>
  </si>
  <si>
    <t xml:space="preserve">SIXTO </t>
  </si>
  <si>
    <t xml:space="preserve">SEGIK </t>
  </si>
  <si>
    <t xml:space="preserve">SABADO NAYELY </t>
  </si>
  <si>
    <t>BALANCE LADRILLO JH - 16/06</t>
  </si>
  <si>
    <t>REPORTE :23000</t>
  </si>
  <si>
    <t>COMPRA DE 30 MILL DE PAND TORREFUERTE *590</t>
  </si>
  <si>
    <t>VOLQUETE GRIS</t>
  </si>
  <si>
    <t>FLETE TRAILER</t>
  </si>
  <si>
    <t>EDINSON - PANDERETA TAYSON 4500*0.64</t>
  </si>
  <si>
    <t>JONATHAN SAAVEDRA - ESTA SIPAN 1000*0.86</t>
  </si>
  <si>
    <t>JONATHAN SAAVEDRA - PAND SIPAN 4000*0.66</t>
  </si>
  <si>
    <t xml:space="preserve">CALUA </t>
  </si>
  <si>
    <t>NORIEGA</t>
  </si>
  <si>
    <t>A CUENTA H&amp;C DEUDA</t>
  </si>
  <si>
    <t>BALANCE LADRILLO JH - 17/06</t>
  </si>
  <si>
    <t xml:space="preserve">A CUENTA WALTER TELLO </t>
  </si>
  <si>
    <t xml:space="preserve">DIAZ PALMA </t>
  </si>
  <si>
    <t xml:space="preserve">VIVIAN </t>
  </si>
  <si>
    <t xml:space="preserve">FLETE - SIXTO BURGOS </t>
  </si>
  <si>
    <t xml:space="preserve">COMBUSTIBLE M8B-893 / MADRUGADA </t>
  </si>
  <si>
    <t xml:space="preserve">PEAJE CHONGOYAPE </t>
  </si>
  <si>
    <t xml:space="preserve">JORDIN -JHOSMER </t>
  </si>
  <si>
    <t>BODOQUE-JORDIN</t>
  </si>
  <si>
    <t>JHOSMER</t>
  </si>
  <si>
    <t>COCOLISO</t>
  </si>
  <si>
    <t>1500 BODOQUE*0.5</t>
  </si>
  <si>
    <t xml:space="preserve">FLETE VOLQUETE PLOMO 1500 BODOQUE </t>
  </si>
  <si>
    <t>RIMARACHIN 500 PAN TORREFUERTE*0.72</t>
  </si>
  <si>
    <t>FLETE VOLQUETE PLOMO 500 PAND TORREFUERTE- RIMARACHIN</t>
  </si>
  <si>
    <t xml:space="preserve">CLIENTE </t>
  </si>
  <si>
    <t>BALANCE LADRILLO JH - 18/06</t>
  </si>
  <si>
    <t>COCOLISO LADDRILL BODOQUE 1500*0.5</t>
  </si>
  <si>
    <t>COCOLISO LADDRILL ART PEQUEÑO 3000*0.4</t>
  </si>
  <si>
    <t xml:space="preserve">A CUENTA PROMAT </t>
  </si>
  <si>
    <t>PROMAT 420 SUPERKINKON *2.3</t>
  </si>
  <si>
    <t>VIVIAN 100 TECHO 15 CERAMICOS * 2.78 (JONATHAN)</t>
  </si>
  <si>
    <t>LEON</t>
  </si>
  <si>
    <t>COMBUSTIBLE M6I-897 (MADRUGADA)</t>
  </si>
  <si>
    <t xml:space="preserve">COMBUSTIBLE M6I-897 </t>
  </si>
  <si>
    <t>CRISTHIAN</t>
  </si>
  <si>
    <t>RAYNULFO</t>
  </si>
  <si>
    <t>FLETE VOLQUETE PLOMO - SUPERKIKON</t>
  </si>
  <si>
    <t xml:space="preserve">JORDIN  HELADOS </t>
  </si>
  <si>
    <t xml:space="preserve">ESTIBA DE LADRILLO -JORDY VILLANUEVA </t>
  </si>
  <si>
    <t xml:space="preserve">SR VEGA LADRILLO ARTESANAL </t>
  </si>
  <si>
    <t>TORREFUERTE</t>
  </si>
  <si>
    <t>BALANCE LADRILLO JH - 19/06</t>
  </si>
  <si>
    <t>REPORTE :23000 - 4(19/06)</t>
  </si>
  <si>
    <t>TECHO 12 FORTALEZA</t>
  </si>
  <si>
    <t>CERAMICOS LAMBAYEQUE TECHO 20  - 2000*3</t>
  </si>
  <si>
    <t>GRUPO FLORIDA TECHO 20 - 2000 *3.2</t>
  </si>
  <si>
    <t xml:space="preserve">GUERRERO </t>
  </si>
  <si>
    <t>EDWIN DIAZ</t>
  </si>
  <si>
    <t>REPORTE MANUEL CORONEL LADRILLO -DESCONTADO CUENTA DE H&amp;C (1180)</t>
  </si>
  <si>
    <t xml:space="preserve">REPORTE MANUEL CORONEL - SE LE VA A CANCELAR A H&amp;C DEUDA DEL SR MANUEL </t>
  </si>
  <si>
    <t>PRODAC - PRESTAMO H&amp;C</t>
  </si>
  <si>
    <t>13421.03+15850.29-21271.32+5385.1(PRODAC)</t>
  </si>
  <si>
    <t>TECHO 12 FORTALEZA 950*2.95 - HEBERT</t>
  </si>
  <si>
    <t>BALANCE LADRILLO JH - 20/06</t>
  </si>
  <si>
    <t>EDINSON LADRILLO ESTANDAR TAYSON 3000</t>
  </si>
  <si>
    <t>ISABEL CIPRIANI</t>
  </si>
  <si>
    <t>WALTER TELLO - YAPE</t>
  </si>
  <si>
    <t>PAGO JONATHAN SAAVEDRA</t>
  </si>
  <si>
    <t>PAGO SR AYASTA</t>
  </si>
  <si>
    <t xml:space="preserve">AC CONSULTORIA &amp; CONSTRUCCIÓN S.A.C.  </t>
  </si>
  <si>
    <t xml:space="preserve">JHOSMER </t>
  </si>
  <si>
    <t xml:space="preserve">JORDIN - PAGO JHOSMER </t>
  </si>
  <si>
    <t>BALANCE LADRILLO JH - 22/06</t>
  </si>
  <si>
    <t xml:space="preserve">TUÑOQUE </t>
  </si>
  <si>
    <t xml:space="preserve">VENTA DOMINGO </t>
  </si>
  <si>
    <t>DEPOSITO JORDIN - A CUENTA</t>
  </si>
  <si>
    <t xml:space="preserve">H&amp;C - DEEVOLUCION DEPOSITO </t>
  </si>
  <si>
    <t>PRESTAMO A H&amp;C - ANTERIOR</t>
  </si>
  <si>
    <t xml:space="preserve">DEVOLUCION H&amp;C </t>
  </si>
  <si>
    <t xml:space="preserve">PAGO DE LINEA - CELULAR BETO </t>
  </si>
  <si>
    <t xml:space="preserve">NAYELY SABADO </t>
  </si>
  <si>
    <t>COMPRA DE TERRENO</t>
  </si>
  <si>
    <t xml:space="preserve">COMPRA DE TERRENO </t>
  </si>
  <si>
    <t xml:space="preserve">LINEA BETO </t>
  </si>
  <si>
    <t>NAYELY COMISION</t>
  </si>
  <si>
    <t xml:space="preserve">H&amp;C DEVOLUCION DE PRESTAMO - A CUENTA </t>
  </si>
  <si>
    <t>BALANCE LADRILLO JH - 23/06</t>
  </si>
  <si>
    <t>JEINER HERRERA 750 TECHO 15 FORTES *2.75</t>
  </si>
  <si>
    <t xml:space="preserve">M6I-897 </t>
  </si>
  <si>
    <t>JUNIOR</t>
  </si>
  <si>
    <t>PRESTAMO   PRODAC</t>
  </si>
  <si>
    <t>DEVOLUCION-DEPOSITO</t>
  </si>
  <si>
    <t xml:space="preserve">DEVOLUCION EFECTIVO </t>
  </si>
  <si>
    <t>DEPOSITO A H&amp;C - PRESTAMO</t>
  </si>
  <si>
    <t xml:space="preserve">PRESTAMO H&amp;C DEPOSITO </t>
  </si>
  <si>
    <t xml:space="preserve">A CUENTA - FERRETERIA TUMAN LILI </t>
  </si>
  <si>
    <t>A CUENTA DE PRESTAMO DEL DEPOSITO QUE SE REALIZO A PAKATNAMU</t>
  </si>
  <si>
    <t>BALANCE LADRILLO JH - 24/06</t>
  </si>
  <si>
    <t>PAGO DE 1000 TECHO 15 FORTALEZA *2.75</t>
  </si>
  <si>
    <t>DESAYUNO DENILSON</t>
  </si>
  <si>
    <t>PLACIDO</t>
  </si>
  <si>
    <t>SE LE ENTREGO A JORDIN PARA BANCARIZAR</t>
  </si>
  <si>
    <t>BANCARIZACION JORDIN-JHON ASTONITAS</t>
  </si>
  <si>
    <t xml:space="preserve">A CUENTA-PEDIDO DE LADRILLO </t>
  </si>
  <si>
    <t>AC CONSULTORIA &amp; CONSTRUCCIÓN S.A.C.  - A CUENTA DE FACTURA</t>
  </si>
  <si>
    <t>LADRILLOS QUEBRADOS</t>
  </si>
  <si>
    <t xml:space="preserve">CONCRETO ORLANDO </t>
  </si>
  <si>
    <t xml:space="preserve">VOLQUETE PLOMO-DENILSON </t>
  </si>
  <si>
    <t>ORLANDO</t>
  </si>
  <si>
    <t xml:space="preserve">VOLQUETE PLOMO - 200 LADRILLO CONCRETO </t>
  </si>
  <si>
    <t>DENILSON ADELANTO</t>
  </si>
  <si>
    <t>ALCOBIADES</t>
  </si>
  <si>
    <t>JORDIN SALDO - JHOSMER</t>
  </si>
  <si>
    <t xml:space="preserve">10 LADRILLO TECHO 15 FORTES </t>
  </si>
  <si>
    <t xml:space="preserve">11 LADRILLO TECHO 12 FORTES </t>
  </si>
  <si>
    <t>BALANCE LADRILLO JH - 25/06</t>
  </si>
  <si>
    <t xml:space="preserve">RIMARACHIN </t>
  </si>
  <si>
    <t xml:space="preserve">JORDIN HERRERA - DEPOSITO </t>
  </si>
  <si>
    <t xml:space="preserve">JORDIN HERRERA - EFECTIVO </t>
  </si>
  <si>
    <t>PAGO SR ESTELA</t>
  </si>
  <si>
    <t xml:space="preserve">M6I-897 - ADICIONAL </t>
  </si>
  <si>
    <t>M86I897</t>
  </si>
  <si>
    <t>CLIENTE DE JORDIN LAMBAYEQUE</t>
  </si>
  <si>
    <t>JHOSMER ADELANTO - JORDIN</t>
  </si>
  <si>
    <t>DEVOLUCION DE PRESTAMO BCP</t>
  </si>
  <si>
    <t>CECILIO</t>
  </si>
  <si>
    <t xml:space="preserve">INGRESO DE EFECTIVO </t>
  </si>
  <si>
    <t xml:space="preserve">RETIRO DE CUENTA </t>
  </si>
  <si>
    <t>ADELANTO JHOSMER</t>
  </si>
  <si>
    <t xml:space="preserve">JORDIN - DEPOSITO  </t>
  </si>
  <si>
    <t xml:space="preserve">JORDIN DEPOSITO </t>
  </si>
  <si>
    <t>BALANCE LADRILLO JH - 26/06</t>
  </si>
  <si>
    <t xml:space="preserve"> PRESTAMO BCP</t>
  </si>
  <si>
    <t xml:space="preserve">JORDIN A CUENTA DE PRESTAMO </t>
  </si>
  <si>
    <t xml:space="preserve">JORDIN EFECTIVO </t>
  </si>
  <si>
    <t xml:space="preserve">INGRESO DE EFECTIVO - JORDIN </t>
  </si>
  <si>
    <t xml:space="preserve">A CUENTA JORDIN HERRERA - REPORTE </t>
  </si>
  <si>
    <t>JORDIN CANCELO TODA SU CUENTA</t>
  </si>
  <si>
    <t>ANA BACA</t>
  </si>
  <si>
    <t xml:space="preserve">LOBATON-VENTAS &amp; SERVICIOS </t>
  </si>
  <si>
    <t>REPORTE :23000 - 4(19/06)-4(26/06)</t>
  </si>
  <si>
    <t>BALANCE LADRILLO JH - 27/06</t>
  </si>
  <si>
    <t>LADRILLO BODOQUE JEINER- DIFERENCIA</t>
  </si>
  <si>
    <t>WALTER TELLO - 4 MIL PANDER*0.675 + MIL EST TAYSONN *1</t>
  </si>
  <si>
    <t>COMPRA DE 15 MILLARES ESTANDAR CERAMICOS LIMA (760)</t>
  </si>
  <si>
    <t>PAGO A CUENTA DE LADRILLO ESTAND CERAMICOS LIMA</t>
  </si>
  <si>
    <t xml:space="preserve">SALDO DE LOS 15 MILLARES ESTAN CERAMICOS LIMA </t>
  </si>
  <si>
    <t>COMPRA DE 1000 ARTESANAL PEQUEÑO</t>
  </si>
  <si>
    <t>SEGIK</t>
  </si>
  <si>
    <t xml:space="preserve">PAGO REALIZADO POR JORDY </t>
  </si>
  <si>
    <t>PAGO QUE REALIZO JORDIN OLMOS</t>
  </si>
  <si>
    <t>BALANCE LADRILLO JH - 29/06</t>
  </si>
  <si>
    <t>CUYUMALCA-DEVOLUCION P/ERROR</t>
  </si>
  <si>
    <t>COMPRA DE 3000 ARTESANAL BODOQUE COCOLISO</t>
  </si>
  <si>
    <t>BURGOS CABANILLAS</t>
  </si>
  <si>
    <t xml:space="preserve">WALTER CASA BLANCA </t>
  </si>
  <si>
    <t>EDINSON - 4000 ESTANDAR TAYSON *0.82</t>
  </si>
  <si>
    <t xml:space="preserve">ANAYELY- SABADO </t>
  </si>
  <si>
    <t>REPORTE JORDIN 25632-7835.8</t>
  </si>
  <si>
    <t>BALANCE LADRILLO JH - 30/06</t>
  </si>
  <si>
    <t xml:space="preserve">RECOJO - EDER </t>
  </si>
  <si>
    <t>VENTAS Y SERVICIOS</t>
  </si>
  <si>
    <t xml:space="preserve">JUNIOR PUYEN </t>
  </si>
  <si>
    <t xml:space="preserve">PLACIDO </t>
  </si>
  <si>
    <t xml:space="preserve">RAMOS </t>
  </si>
  <si>
    <t>TECHO 15 FORTALEZA 1000*2.75</t>
  </si>
  <si>
    <t>FLETE YESO - JORDY VILLANUEVA M6I-897</t>
  </si>
  <si>
    <t>JONATHAN SAAVEDRA - 390 YAPE</t>
  </si>
  <si>
    <t>YAPE DE JONATHAN</t>
  </si>
  <si>
    <t xml:space="preserve">DEVOLUCION DE PRESTAMO </t>
  </si>
  <si>
    <t xml:space="preserve">ALMUERZO BETO </t>
  </si>
  <si>
    <t xml:space="preserve">DEVOLUCION ALMUERZO BETO </t>
  </si>
  <si>
    <t xml:space="preserve">GRUPO CORPORATIVO A CUENTA </t>
  </si>
  <si>
    <t>JORDY VILLANUEVA - ARTESANAL PATAPO</t>
  </si>
  <si>
    <t xml:space="preserve">interes </t>
  </si>
  <si>
    <t xml:space="preserve">1 cuota </t>
  </si>
  <si>
    <t>BALANCE LADRILLO JH - 01/07</t>
  </si>
  <si>
    <t>DEPOSITO PAKATNAMU 117 ETERNIT GRAN ONDA *60.5</t>
  </si>
  <si>
    <t xml:space="preserve">FLETE BETO </t>
  </si>
  <si>
    <t>A CUENTA LADRILLO PARA 02/07</t>
  </si>
  <si>
    <t xml:space="preserve">ENVIO DE ESTADO DE CUENTA </t>
  </si>
  <si>
    <t>JAIRO HERRERA - CORPORACION DE NEGOCIOS A Y M S.A.C.</t>
  </si>
  <si>
    <t xml:space="preserve">IVAN HERRERA -INVERSIONES JAMES SERVICIOS GENERALES EIRL  </t>
  </si>
  <si>
    <t>BALANCE LADRILLO JH - 02/07</t>
  </si>
  <si>
    <t>EDINSON PANDERETA TAYSON 4*640</t>
  </si>
  <si>
    <t>SR MANUEL : 4(8/06) - 2(08/06) -3(10/06) -6(11/06) -4.5(02/07)</t>
  </si>
  <si>
    <t>JOSE LLANTAS 2000 ESTANDAR TORREFUERTE*0.85</t>
  </si>
  <si>
    <t>LOBATON</t>
  </si>
  <si>
    <t>REPORTE : -2(02/07)</t>
  </si>
  <si>
    <t xml:space="preserve">MELISSA VENDEDORA DE LADRILLO </t>
  </si>
  <si>
    <t xml:space="preserve">MELISSA VENDEDORA </t>
  </si>
  <si>
    <t>SANCHEZ MUGUERZA</t>
  </si>
  <si>
    <t xml:space="preserve">FERRETERIA ALPES CANCELO TODO </t>
  </si>
  <si>
    <t xml:space="preserve">FACTURA AC CONSULTORIA Y CONSTRUCCION </t>
  </si>
  <si>
    <t xml:space="preserve">A CUENTA FACTURAS JAIRO HERRERA </t>
  </si>
  <si>
    <t>1 LETRA</t>
  </si>
  <si>
    <t xml:space="preserve">MAYO </t>
  </si>
  <si>
    <t xml:space="preserve">JUNIO </t>
  </si>
  <si>
    <t>2 LETRA</t>
  </si>
  <si>
    <t>LETRA DEL VOLQUETE PLOMO</t>
  </si>
  <si>
    <t>INGRESO JORDIN-BANCARIZACION</t>
  </si>
  <si>
    <t>RETIRO JORDIN HERRERA -BANCARIZACION</t>
  </si>
  <si>
    <t>RETIRO DE LA CUENTA HYC</t>
  </si>
  <si>
    <t>H&amp;C FERROMATERIALES</t>
  </si>
  <si>
    <t xml:space="preserve">YAPE JONATHAN </t>
  </si>
  <si>
    <t xml:space="preserve">JORDIN HERERRA </t>
  </si>
  <si>
    <t xml:space="preserve">FAJAS CARRO M8B-893 </t>
  </si>
  <si>
    <t xml:space="preserve">ALMUERZO JORDY -MIGUELITO </t>
  </si>
  <si>
    <t>CARGUIO AYUDANTE DE DON JEINER</t>
  </si>
  <si>
    <t>COMBUSTIBLE M8B-893 JONTAHAN</t>
  </si>
  <si>
    <t>AGREGADOS Y TRANSPORTES HERRERA E.I.R.L.</t>
  </si>
  <si>
    <t>BALANCE LADRILLO JH - 03/07</t>
  </si>
  <si>
    <t>CLIENTE 20/06</t>
  </si>
  <si>
    <t xml:space="preserve">PAGO EDINSON </t>
  </si>
  <si>
    <t>ZELADA</t>
  </si>
  <si>
    <t>CUCULI -JORDY PEDIDO MARO</t>
  </si>
  <si>
    <t xml:space="preserve">CORPORACION HERRERA </t>
  </si>
  <si>
    <t xml:space="preserve">ALMUERZO MIGUELITO </t>
  </si>
  <si>
    <t xml:space="preserve">ALMUERZO JORDY </t>
  </si>
  <si>
    <t xml:space="preserve">ALMUERZO DENILSON </t>
  </si>
  <si>
    <t xml:space="preserve">INGRESO DE ALMUERZO BETO </t>
  </si>
  <si>
    <t xml:space="preserve">CLIENTE MOCUPE </t>
  </si>
  <si>
    <t xml:space="preserve">YAPE CLIENTE MOCUPE </t>
  </si>
  <si>
    <t>PAGO A H&amp;C</t>
  </si>
  <si>
    <t>SR MANUEL : 4(8/06) - 2(08/06) -3(10/06) -6(11/06) -4.5(02/07)- 500 (03/07)</t>
  </si>
  <si>
    <t>VOLQUETE PLOMO</t>
  </si>
  <si>
    <t xml:space="preserve">VOLQUETE PLOMO </t>
  </si>
  <si>
    <t>VUELTO DE COMBUSTIBLE 02/07 M8B-893 DE LOS 100 SOLES</t>
  </si>
  <si>
    <t>MANO DE OBRA - FAJAS M8B-893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</si>
</sst>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S/&quot;\ * #,##0.00_-;\-&quot;S/&quot;\ * #,##0.00_-;_-&quot;S/&quot;\ * &quot;-&quot;??_-;_-@_-"/>
    <numFmt numFmtId="164" formatCode="0.000000"/>
    <numFmt numFmtId="165" formatCode="0.0000000"/>
    <numFmt numFmtId="166" formatCode="0.00000"/>
    <numFmt numFmtId="167" formatCode="0.0000"/>
    <numFmt numFmtId="168" formatCode="0.000"/>
  </numFmts>
  <fonts count="28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777777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9F8FF"/>
        <bgColor indexed="64"/>
      </patternFill>
    </fill>
    <fill>
      <patternFill patternType="solid">
        <fgColor rgb="FFFFC6B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14" fontId="0" fillId="0" borderId="5" xfId="0" applyNumberFormat="1" applyBorder="1"/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3" borderId="1" xfId="0" applyFill="1" applyBorder="1"/>
    <xf numFmtId="0" fontId="0" fillId="3" borderId="5" xfId="0" applyFill="1" applyBorder="1"/>
    <xf numFmtId="0" fontId="0" fillId="3" borderId="9" xfId="0" applyFill="1" applyBorder="1"/>
    <xf numFmtId="0" fontId="5" fillId="3" borderId="12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6" xfId="0" applyFill="1" applyBorder="1"/>
    <xf numFmtId="0" fontId="0" fillId="3" borderId="10" xfId="0" applyFill="1" applyBorder="1"/>
    <xf numFmtId="0" fontId="5" fillId="3" borderId="13" xfId="0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0" xfId="0" applyFill="1"/>
    <xf numFmtId="0" fontId="0" fillId="3" borderId="11" xfId="0" applyFill="1" applyBorder="1"/>
    <xf numFmtId="0" fontId="5" fillId="3" borderId="14" xfId="0" applyFont="1" applyFill="1" applyBorder="1" applyAlignment="1">
      <alignment horizontal="center" vertical="center"/>
    </xf>
    <xf numFmtId="12" fontId="0" fillId="0" borderId="0" xfId="0" applyNumberFormat="1"/>
    <xf numFmtId="0" fontId="6" fillId="0" borderId="0" xfId="0" applyFont="1"/>
    <xf numFmtId="0" fontId="1" fillId="0" borderId="2" xfId="0" applyFont="1" applyBorder="1" applyAlignment="1">
      <alignment horizontal="center"/>
    </xf>
    <xf numFmtId="0" fontId="0" fillId="4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/>
    <xf numFmtId="0" fontId="0" fillId="5" borderId="0" xfId="0" applyFill="1"/>
    <xf numFmtId="0" fontId="7" fillId="0" borderId="4" xfId="0" applyFont="1" applyBorder="1"/>
    <xf numFmtId="0" fontId="6" fillId="6" borderId="0" xfId="0" applyFont="1" applyFill="1"/>
    <xf numFmtId="0" fontId="0" fillId="7" borderId="5" xfId="0" applyFill="1" applyBorder="1"/>
    <xf numFmtId="16" fontId="0" fillId="0" borderId="1" xfId="0" applyNumberFormat="1" applyBorder="1"/>
    <xf numFmtId="2" fontId="0" fillId="0" borderId="0" xfId="0" applyNumberFormat="1"/>
    <xf numFmtId="0" fontId="5" fillId="3" borderId="0" xfId="0" applyFont="1" applyFill="1" applyAlignment="1">
      <alignment horizontal="center" vertical="center"/>
    </xf>
    <xf numFmtId="0" fontId="0" fillId="8" borderId="0" xfId="0" applyFill="1"/>
    <xf numFmtId="0" fontId="0" fillId="10" borderId="5" xfId="0" applyFill="1" applyBorder="1"/>
    <xf numFmtId="0" fontId="0" fillId="10" borderId="0" xfId="0" applyFill="1"/>
    <xf numFmtId="0" fontId="0" fillId="6" borderId="0" xfId="0" applyFill="1"/>
    <xf numFmtId="0" fontId="0" fillId="9" borderId="0" xfId="0" applyFill="1"/>
    <xf numFmtId="0" fontId="0" fillId="11" borderId="0" xfId="0" applyFill="1"/>
    <xf numFmtId="0" fontId="0" fillId="13" borderId="0" xfId="0" applyFill="1"/>
    <xf numFmtId="0" fontId="8" fillId="13" borderId="0" xfId="0" applyFont="1" applyFill="1"/>
    <xf numFmtId="164" fontId="0" fillId="0" borderId="0" xfId="0" applyNumberFormat="1"/>
    <xf numFmtId="0" fontId="0" fillId="14" borderId="0" xfId="0" applyFill="1"/>
    <xf numFmtId="164" fontId="0" fillId="0" borderId="5" xfId="0" applyNumberFormat="1" applyBorder="1"/>
    <xf numFmtId="0" fontId="0" fillId="6" borderId="1" xfId="0" applyFill="1" applyBorder="1"/>
    <xf numFmtId="0" fontId="0" fillId="6" borderId="3" xfId="0" applyFill="1" applyBorder="1"/>
    <xf numFmtId="0" fontId="0" fillId="6" borderId="2" xfId="0" applyFill="1" applyBorder="1"/>
    <xf numFmtId="0" fontId="0" fillId="9" borderId="5" xfId="0" applyFill="1" applyBorder="1"/>
    <xf numFmtId="0" fontId="0" fillId="9" borderId="6" xfId="0" applyFill="1" applyBorder="1"/>
    <xf numFmtId="0" fontId="0" fillId="8" borderId="9" xfId="0" applyFill="1" applyBorder="1"/>
    <xf numFmtId="0" fontId="0" fillId="8" borderId="11" xfId="0" applyFill="1" applyBorder="1"/>
    <xf numFmtId="0" fontId="0" fillId="8" borderId="10" xfId="0" applyFill="1" applyBorder="1"/>
    <xf numFmtId="0" fontId="10" fillId="0" borderId="0" xfId="0" applyFont="1"/>
    <xf numFmtId="14" fontId="0" fillId="0" borderId="9" xfId="0" applyNumberFormat="1" applyBorder="1"/>
    <xf numFmtId="0" fontId="0" fillId="15" borderId="0" xfId="0" applyFill="1"/>
    <xf numFmtId="0" fontId="6" fillId="14" borderId="0" xfId="0" applyFont="1" applyFill="1"/>
    <xf numFmtId="0" fontId="10" fillId="6" borderId="0" xfId="0" applyFont="1" applyFill="1"/>
    <xf numFmtId="2" fontId="0" fillId="6" borderId="0" xfId="0" applyNumberFormat="1" applyFill="1"/>
    <xf numFmtId="0" fontId="0" fillId="16" borderId="0" xfId="0" applyFill="1"/>
    <xf numFmtId="0" fontId="0" fillId="0" borderId="16" xfId="0" applyBorder="1"/>
    <xf numFmtId="0" fontId="0" fillId="0" borderId="12" xfId="0" applyBorder="1"/>
    <xf numFmtId="0" fontId="0" fillId="0" borderId="13" xfId="0" applyBorder="1"/>
    <xf numFmtId="165" fontId="0" fillId="0" borderId="0" xfId="0" applyNumberFormat="1"/>
    <xf numFmtId="14" fontId="0" fillId="0" borderId="6" xfId="0" applyNumberFormat="1" applyBorder="1"/>
    <xf numFmtId="0" fontId="0" fillId="8" borderId="5" xfId="0" applyFill="1" applyBorder="1"/>
    <xf numFmtId="166" fontId="0" fillId="0" borderId="0" xfId="0" applyNumberFormat="1"/>
    <xf numFmtId="167" fontId="0" fillId="0" borderId="0" xfId="0" applyNumberFormat="1"/>
    <xf numFmtId="0" fontId="0" fillId="17" borderId="0" xfId="0" applyFill="1"/>
    <xf numFmtId="2" fontId="0" fillId="17" borderId="0" xfId="0" applyNumberFormat="1" applyFill="1"/>
    <xf numFmtId="0" fontId="10" fillId="17" borderId="0" xfId="0" applyFont="1" applyFill="1"/>
    <xf numFmtId="0" fontId="13" fillId="0" borderId="0" xfId="0" applyFont="1"/>
    <xf numFmtId="1" fontId="0" fillId="8" borderId="0" xfId="0" applyNumberFormat="1" applyFill="1"/>
    <xf numFmtId="16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5" fillId="3" borderId="15" xfId="0" applyFont="1" applyFill="1" applyBorder="1" applyAlignment="1">
      <alignment horizontal="center" vertical="center"/>
    </xf>
    <xf numFmtId="168" fontId="0" fillId="9" borderId="0" xfId="0" applyNumberFormat="1" applyFill="1"/>
    <xf numFmtId="168" fontId="0" fillId="0" borderId="0" xfId="0" applyNumberFormat="1"/>
    <xf numFmtId="0" fontId="14" fillId="0" borderId="0" xfId="0" applyFont="1"/>
    <xf numFmtId="0" fontId="0" fillId="6" borderId="6" xfId="0" applyFill="1" applyBorder="1"/>
    <xf numFmtId="0" fontId="6" fillId="8" borderId="0" xfId="0" applyFont="1" applyFill="1"/>
    <xf numFmtId="0" fontId="15" fillId="0" borderId="0" xfId="0" applyFont="1"/>
    <xf numFmtId="1" fontId="0" fillId="0" borderId="0" xfId="0" applyNumberFormat="1"/>
    <xf numFmtId="0" fontId="0" fillId="0" borderId="14" xfId="0" applyBorder="1"/>
    <xf numFmtId="0" fontId="0" fillId="8" borderId="6" xfId="0" applyFill="1" applyBorder="1"/>
    <xf numFmtId="0" fontId="0" fillId="18" borderId="6" xfId="0" applyFill="1" applyBorder="1"/>
    <xf numFmtId="0" fontId="5" fillId="8" borderId="14" xfId="0" applyFont="1" applyFill="1" applyBorder="1" applyAlignment="1">
      <alignment horizontal="center" vertical="center"/>
    </xf>
    <xf numFmtId="16" fontId="0" fillId="0" borderId="14" xfId="0" applyNumberFormat="1" applyBorder="1"/>
    <xf numFmtId="0" fontId="0" fillId="19" borderId="0" xfId="0" applyFill="1"/>
    <xf numFmtId="0" fontId="0" fillId="20" borderId="6" xfId="0" applyFill="1" applyBorder="1"/>
    <xf numFmtId="0" fontId="0" fillId="20" borderId="5" xfId="0" applyFill="1" applyBorder="1"/>
    <xf numFmtId="0" fontId="0" fillId="20" borderId="0" xfId="0" applyFill="1"/>
    <xf numFmtId="0" fontId="0" fillId="20" borderId="7" xfId="0" applyFill="1" applyBorder="1"/>
    <xf numFmtId="14" fontId="0" fillId="8" borderId="5" xfId="0" applyNumberFormat="1" applyFill="1" applyBorder="1"/>
    <xf numFmtId="0" fontId="0" fillId="8" borderId="7" xfId="0" applyFill="1" applyBorder="1"/>
    <xf numFmtId="0" fontId="0" fillId="21" borderId="0" xfId="0" applyFill="1"/>
    <xf numFmtId="16" fontId="0" fillId="0" borderId="16" xfId="0" applyNumberFormat="1" applyBorder="1"/>
    <xf numFmtId="0" fontId="0" fillId="0" borderId="16" xfId="0" applyBorder="1" applyAlignment="1">
      <alignment horizontal="center" vertical="center"/>
    </xf>
    <xf numFmtId="44" fontId="0" fillId="0" borderId="16" xfId="0" applyNumberFormat="1" applyBorder="1"/>
    <xf numFmtId="0" fontId="2" fillId="0" borderId="16" xfId="0" applyFont="1" applyBorder="1" applyAlignment="1">
      <alignment horizontal="center" vertical="center"/>
    </xf>
    <xf numFmtId="44" fontId="0" fillId="0" borderId="0" xfId="0" applyNumberFormat="1"/>
    <xf numFmtId="44" fontId="6" fillId="0" borderId="16" xfId="0" applyNumberFormat="1" applyFont="1" applyBorder="1"/>
    <xf numFmtId="0" fontId="0" fillId="22" borderId="0" xfId="0" applyFill="1"/>
    <xf numFmtId="44" fontId="13" fillId="0" borderId="0" xfId="0" applyNumberFormat="1" applyFont="1"/>
    <xf numFmtId="44" fontId="14" fillId="0" borderId="0" xfId="0" applyNumberFormat="1" applyFont="1"/>
    <xf numFmtId="0" fontId="14" fillId="0" borderId="16" xfId="0" applyFont="1" applyBorder="1"/>
    <xf numFmtId="44" fontId="14" fillId="0" borderId="16" xfId="0" applyNumberFormat="1" applyFont="1" applyBorder="1"/>
    <xf numFmtId="0" fontId="2" fillId="0" borderId="0" xfId="0" applyFont="1"/>
    <xf numFmtId="16" fontId="0" fillId="0" borderId="0" xfId="0" applyNumberFormat="1" applyAlignment="1">
      <alignment horizontal="left"/>
    </xf>
    <xf numFmtId="0" fontId="2" fillId="6" borderId="0" xfId="0" applyFont="1" applyFill="1"/>
    <xf numFmtId="44" fontId="2" fillId="6" borderId="0" xfId="0" applyNumberFormat="1" applyFont="1" applyFill="1"/>
    <xf numFmtId="0" fontId="2" fillId="8" borderId="0" xfId="0" applyFont="1" applyFill="1"/>
    <xf numFmtId="44" fontId="2" fillId="8" borderId="0" xfId="0" applyNumberFormat="1" applyFont="1" applyFill="1"/>
    <xf numFmtId="0" fontId="0" fillId="12" borderId="0" xfId="0" applyFill="1"/>
    <xf numFmtId="16" fontId="2" fillId="0" borderId="0" xfId="0" applyNumberFormat="1" applyFont="1" applyAlignment="1">
      <alignment horizontal="left"/>
    </xf>
    <xf numFmtId="0" fontId="14" fillId="8" borderId="0" xfId="0" applyFont="1" applyFill="1"/>
    <xf numFmtId="44" fontId="14" fillId="8" borderId="0" xfId="0" applyNumberFormat="1" applyFont="1" applyFill="1"/>
    <xf numFmtId="44" fontId="8" fillId="0" borderId="0" xfId="0" applyNumberFormat="1" applyFont="1"/>
    <xf numFmtId="0" fontId="8" fillId="0" borderId="0" xfId="0" applyFont="1"/>
    <xf numFmtId="44" fontId="2" fillId="0" borderId="16" xfId="0" applyNumberFormat="1" applyFont="1" applyBorder="1"/>
    <xf numFmtId="16" fontId="6" fillId="0" borderId="0" xfId="0" applyNumberFormat="1" applyFont="1" applyAlignment="1">
      <alignment horizontal="left"/>
    </xf>
    <xf numFmtId="16" fontId="16" fillId="0" borderId="0" xfId="0" applyNumberFormat="1" applyFont="1" applyAlignment="1">
      <alignment horizontal="left"/>
    </xf>
    <xf numFmtId="44" fontId="6" fillId="6" borderId="0" xfId="0" applyNumberFormat="1" applyFont="1" applyFill="1"/>
    <xf numFmtId="44" fontId="16" fillId="0" borderId="0" xfId="0" applyNumberFormat="1" applyFont="1"/>
    <xf numFmtId="0" fontId="8" fillId="3" borderId="5" xfId="0" applyFont="1" applyFill="1" applyBorder="1"/>
    <xf numFmtId="14" fontId="8" fillId="0" borderId="5" xfId="0" applyNumberFormat="1" applyFont="1" applyBorder="1"/>
    <xf numFmtId="14" fontId="8" fillId="0" borderId="6" xfId="0" applyNumberFormat="1" applyFont="1" applyBorder="1"/>
    <xf numFmtId="0" fontId="16" fillId="0" borderId="0" xfId="0" applyFont="1"/>
    <xf numFmtId="0" fontId="6" fillId="0" borderId="16" xfId="0" applyFont="1" applyBorder="1"/>
    <xf numFmtId="0" fontId="17" fillId="0" borderId="0" xfId="0" applyFont="1"/>
    <xf numFmtId="44" fontId="17" fillId="0" borderId="0" xfId="0" applyNumberFormat="1" applyFont="1"/>
    <xf numFmtId="16" fontId="17" fillId="0" borderId="0" xfId="0" applyNumberFormat="1" applyFont="1" applyAlignment="1">
      <alignment horizontal="left"/>
    </xf>
    <xf numFmtId="16" fontId="18" fillId="0" borderId="0" xfId="0" applyNumberFormat="1" applyFont="1" applyAlignment="1">
      <alignment horizontal="left"/>
    </xf>
    <xf numFmtId="44" fontId="14" fillId="6" borderId="0" xfId="0" applyNumberFormat="1" applyFont="1" applyFill="1"/>
    <xf numFmtId="0" fontId="0" fillId="12" borderId="16" xfId="0" applyFill="1" applyBorder="1"/>
    <xf numFmtId="44" fontId="0" fillId="12" borderId="16" xfId="0" applyNumberFormat="1" applyFill="1" applyBorder="1"/>
    <xf numFmtId="44" fontId="6" fillId="0" borderId="0" xfId="0" applyNumberFormat="1" applyFont="1"/>
    <xf numFmtId="0" fontId="19" fillId="8" borderId="0" xfId="0" applyFont="1" applyFill="1"/>
    <xf numFmtId="44" fontId="19" fillId="8" borderId="0" xfId="0" applyNumberFormat="1" applyFont="1" applyFill="1"/>
    <xf numFmtId="14" fontId="0" fillId="0" borderId="0" xfId="0" applyNumberFormat="1"/>
    <xf numFmtId="16" fontId="17" fillId="0" borderId="0" xfId="0" applyNumberFormat="1" applyFont="1"/>
    <xf numFmtId="16" fontId="20" fillId="0" borderId="0" xfId="0" applyNumberFormat="1" applyFont="1"/>
    <xf numFmtId="0" fontId="20" fillId="0" borderId="0" xfId="0" applyFont="1"/>
    <xf numFmtId="44" fontId="20" fillId="0" borderId="0" xfId="0" applyNumberFormat="1" applyFont="1"/>
    <xf numFmtId="16" fontId="6" fillId="0" borderId="0" xfId="0" applyNumberFormat="1" applyFont="1"/>
    <xf numFmtId="0" fontId="21" fillId="0" borderId="16" xfId="0" applyFont="1" applyBorder="1"/>
    <xf numFmtId="44" fontId="21" fillId="0" borderId="16" xfId="0" applyNumberFormat="1" applyFont="1" applyBorder="1"/>
    <xf numFmtId="44" fontId="0" fillId="0" borderId="20" xfId="0" applyNumberFormat="1" applyBorder="1"/>
    <xf numFmtId="44" fontId="21" fillId="0" borderId="0" xfId="0" applyNumberFormat="1" applyFont="1"/>
    <xf numFmtId="0" fontId="21" fillId="0" borderId="0" xfId="0" applyFont="1"/>
    <xf numFmtId="4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0" xfId="0" applyBorder="1"/>
    <xf numFmtId="49" fontId="0" fillId="0" borderId="16" xfId="0" applyNumberFormat="1" applyBorder="1"/>
    <xf numFmtId="0" fontId="6" fillId="0" borderId="0" xfId="0" applyFont="1" applyAlignment="1">
      <alignment horizontal="center" vertical="center"/>
    </xf>
    <xf numFmtId="0" fontId="8" fillId="0" borderId="16" xfId="0" applyFont="1" applyBorder="1"/>
    <xf numFmtId="0" fontId="17" fillId="0" borderId="16" xfId="0" applyFont="1" applyBorder="1"/>
    <xf numFmtId="44" fontId="17" fillId="0" borderId="16" xfId="0" applyNumberFormat="1" applyFont="1" applyBorder="1"/>
    <xf numFmtId="16" fontId="6" fillId="0" borderId="16" xfId="0" applyNumberFormat="1" applyFont="1" applyBorder="1"/>
    <xf numFmtId="16" fontId="2" fillId="12" borderId="16" xfId="0" applyNumberFormat="1" applyFont="1" applyFill="1" applyBorder="1"/>
    <xf numFmtId="0" fontId="2" fillId="12" borderId="16" xfId="0" applyFont="1" applyFill="1" applyBorder="1"/>
    <xf numFmtId="44" fontId="2" fillId="12" borderId="16" xfId="0" applyNumberFormat="1" applyFont="1" applyFill="1" applyBorder="1"/>
    <xf numFmtId="16" fontId="2" fillId="0" borderId="16" xfId="0" applyNumberFormat="1" applyFont="1" applyBorder="1"/>
    <xf numFmtId="0" fontId="2" fillId="0" borderId="16" xfId="0" applyFont="1" applyBorder="1"/>
    <xf numFmtId="44" fontId="10" fillId="0" borderId="0" xfId="0" applyNumberFormat="1" applyFont="1"/>
    <xf numFmtId="16" fontId="8" fillId="0" borderId="0" xfId="0" applyNumberFormat="1" applyFont="1"/>
    <xf numFmtId="44" fontId="8" fillId="0" borderId="16" xfId="0" applyNumberFormat="1" applyFont="1" applyBorder="1"/>
    <xf numFmtId="44" fontId="2" fillId="6" borderId="16" xfId="0" applyNumberFormat="1" applyFont="1" applyFill="1" applyBorder="1"/>
    <xf numFmtId="16" fontId="2" fillId="8" borderId="16" xfId="0" applyNumberFormat="1" applyFont="1" applyFill="1" applyBorder="1"/>
    <xf numFmtId="0" fontId="2" fillId="8" borderId="16" xfId="0" applyFont="1" applyFill="1" applyBorder="1"/>
    <xf numFmtId="44" fontId="2" fillId="8" borderId="16" xfId="0" applyNumberFormat="1" applyFont="1" applyFill="1" applyBorder="1"/>
    <xf numFmtId="44" fontId="0" fillId="8" borderId="0" xfId="0" applyNumberFormat="1" applyFill="1"/>
    <xf numFmtId="0" fontId="10" fillId="0" borderId="20" xfId="0" applyFont="1" applyBorder="1"/>
    <xf numFmtId="0" fontId="14" fillId="0" borderId="0" xfId="0" applyFont="1" applyAlignment="1">
      <alignment horizontal="center"/>
    </xf>
    <xf numFmtId="44" fontId="10" fillId="0" borderId="16" xfId="0" applyNumberFormat="1" applyFont="1" applyBorder="1"/>
    <xf numFmtId="0" fontId="10" fillId="0" borderId="16" xfId="0" applyFont="1" applyBorder="1"/>
    <xf numFmtId="0" fontId="4" fillId="8" borderId="0" xfId="0" applyFont="1" applyFill="1"/>
    <xf numFmtId="0" fontId="22" fillId="0" borderId="0" xfId="0" applyFont="1"/>
    <xf numFmtId="44" fontId="22" fillId="0" borderId="0" xfId="0" applyNumberFormat="1" applyFont="1"/>
    <xf numFmtId="0" fontId="23" fillId="12" borderId="16" xfId="0" applyFont="1" applyFill="1" applyBorder="1"/>
    <xf numFmtId="44" fontId="23" fillId="12" borderId="16" xfId="0" applyNumberFormat="1" applyFont="1" applyFill="1" applyBorder="1"/>
    <xf numFmtId="44" fontId="21" fillId="16" borderId="16" xfId="0" applyNumberFormat="1" applyFont="1" applyFill="1" applyBorder="1"/>
    <xf numFmtId="0" fontId="0" fillId="16" borderId="16" xfId="0" applyFill="1" applyBorder="1"/>
    <xf numFmtId="0" fontId="18" fillId="0" borderId="0" xfId="0" applyFont="1"/>
    <xf numFmtId="44" fontId="18" fillId="0" borderId="0" xfId="0" applyNumberFormat="1" applyFont="1"/>
    <xf numFmtId="0" fontId="22" fillId="8" borderId="16" xfId="0" applyFont="1" applyFill="1" applyBorder="1"/>
    <xf numFmtId="44" fontId="22" fillId="8" borderId="16" xfId="0" applyNumberFormat="1" applyFont="1" applyFill="1" applyBorder="1"/>
    <xf numFmtId="0" fontId="22" fillId="0" borderId="16" xfId="0" applyFont="1" applyBorder="1"/>
    <xf numFmtId="44" fontId="22" fillId="0" borderId="16" xfId="0" applyNumberFormat="1" applyFont="1" applyBorder="1"/>
    <xf numFmtId="44" fontId="24" fillId="0" borderId="0" xfId="0" applyNumberFormat="1" applyFont="1"/>
    <xf numFmtId="44" fontId="16" fillId="0" borderId="16" xfId="0" applyNumberFormat="1" applyFont="1" applyBorder="1"/>
    <xf numFmtId="44" fontId="24" fillId="0" borderId="16" xfId="0" applyNumberFormat="1" applyFont="1" applyBorder="1"/>
    <xf numFmtId="0" fontId="20" fillId="0" borderId="16" xfId="0" applyFont="1" applyBorder="1"/>
    <xf numFmtId="0" fontId="13" fillId="0" borderId="16" xfId="0" applyFont="1" applyBorder="1"/>
    <xf numFmtId="0" fontId="0" fillId="18" borderId="16" xfId="0" applyFill="1" applyBorder="1"/>
    <xf numFmtId="0" fontId="21" fillId="18" borderId="16" xfId="0" applyFont="1" applyFill="1" applyBorder="1"/>
    <xf numFmtId="44" fontId="21" fillId="18" borderId="16" xfId="0" applyNumberFormat="1" applyFont="1" applyFill="1" applyBorder="1"/>
    <xf numFmtId="44" fontId="20" fillId="0" borderId="16" xfId="0" applyNumberFormat="1" applyFont="1" applyBorder="1"/>
    <xf numFmtId="0" fontId="17" fillId="6" borderId="0" xfId="0" applyFont="1" applyFill="1"/>
    <xf numFmtId="44" fontId="17" fillId="6" borderId="0" xfId="0" applyNumberFormat="1" applyFont="1" applyFill="1"/>
    <xf numFmtId="0" fontId="0" fillId="23" borderId="16" xfId="0" applyFill="1" applyBorder="1"/>
    <xf numFmtId="0" fontId="21" fillId="23" borderId="16" xfId="0" applyFont="1" applyFill="1" applyBorder="1"/>
    <xf numFmtId="44" fontId="21" fillId="23" borderId="16" xfId="0" applyNumberFormat="1" applyFont="1" applyFill="1" applyBorder="1"/>
    <xf numFmtId="0" fontId="25" fillId="0" borderId="21" xfId="0" applyFont="1" applyBorder="1"/>
    <xf numFmtId="0" fontId="3" fillId="2" borderId="22" xfId="0" applyFont="1" applyFill="1" applyBorder="1" applyAlignment="1">
      <alignment horizontal="center" vertical="center" wrapText="1"/>
    </xf>
    <xf numFmtId="0" fontId="0" fillId="4" borderId="21" xfId="0" applyFill="1" applyBorder="1"/>
    <xf numFmtId="0" fontId="0" fillId="3" borderId="24" xfId="0" applyFill="1" applyBorder="1"/>
    <xf numFmtId="0" fontId="0" fillId="8" borderId="24" xfId="0" applyFill="1" applyBorder="1"/>
    <xf numFmtId="0" fontId="5" fillId="3" borderId="23" xfId="0" applyFont="1" applyFill="1" applyBorder="1" applyAlignment="1">
      <alignment horizontal="center" vertical="center"/>
    </xf>
    <xf numFmtId="14" fontId="0" fillId="0" borderId="10" xfId="0" applyNumberFormat="1" applyBorder="1"/>
    <xf numFmtId="0" fontId="0" fillId="3" borderId="22" xfId="0" applyFill="1" applyBorder="1"/>
    <xf numFmtId="0" fontId="17" fillId="0" borderId="25" xfId="0" applyFont="1" applyBorder="1"/>
    <xf numFmtId="44" fontId="21" fillId="8" borderId="16" xfId="0" applyNumberFormat="1" applyFont="1" applyFill="1" applyBorder="1"/>
    <xf numFmtId="0" fontId="14" fillId="14" borderId="16" xfId="0" applyFont="1" applyFill="1" applyBorder="1"/>
    <xf numFmtId="44" fontId="14" fillId="14" borderId="16" xfId="0" applyNumberFormat="1" applyFont="1" applyFill="1" applyBorder="1"/>
    <xf numFmtId="16" fontId="0" fillId="23" borderId="16" xfId="0" applyNumberFormat="1" applyFill="1" applyBorder="1"/>
    <xf numFmtId="0" fontId="14" fillId="0" borderId="26" xfId="0" applyFont="1" applyBorder="1" applyAlignment="1">
      <alignment horizontal="center"/>
    </xf>
    <xf numFmtId="44" fontId="0" fillId="23" borderId="0" xfId="0" applyNumberFormat="1" applyFill="1"/>
    <xf numFmtId="0" fontId="0" fillId="24" borderId="16" xfId="0" applyFill="1" applyBorder="1"/>
    <xf numFmtId="0" fontId="21" fillId="24" borderId="16" xfId="0" applyFont="1" applyFill="1" applyBorder="1"/>
    <xf numFmtId="44" fontId="21" fillId="24" borderId="16" xfId="0" applyNumberFormat="1" applyFont="1" applyFill="1" applyBorder="1"/>
    <xf numFmtId="0" fontId="21" fillId="0" borderId="17" xfId="0" applyFont="1" applyBorder="1"/>
    <xf numFmtId="44" fontId="16" fillId="0" borderId="27" xfId="0" applyNumberFormat="1" applyFont="1" applyBorder="1"/>
    <xf numFmtId="44" fontId="2" fillId="0" borderId="27" xfId="0" applyNumberFormat="1" applyFont="1" applyBorder="1"/>
    <xf numFmtId="44" fontId="22" fillId="0" borderId="27" xfId="0" applyNumberFormat="1" applyFont="1" applyBorder="1"/>
    <xf numFmtId="0" fontId="0" fillId="0" borderId="16" xfId="0" applyBorder="1" applyAlignment="1">
      <alignment horizontal="left" vertical="center"/>
    </xf>
    <xf numFmtId="44" fontId="0" fillId="0" borderId="16" xfId="0" applyNumberFormat="1" applyBorder="1" applyAlignment="1">
      <alignment horizontal="center" vertical="center"/>
    </xf>
    <xf numFmtId="16" fontId="10" fillId="0" borderId="0" xfId="0" applyNumberFormat="1" applyFont="1"/>
    <xf numFmtId="0" fontId="20" fillId="14" borderId="0" xfId="0" applyFont="1" applyFill="1"/>
    <xf numFmtId="0" fontId="21" fillId="25" borderId="16" xfId="0" applyFont="1" applyFill="1" applyBorder="1"/>
    <xf numFmtId="44" fontId="2" fillId="25" borderId="16" xfId="0" applyNumberFormat="1" applyFont="1" applyFill="1" applyBorder="1"/>
    <xf numFmtId="16" fontId="20" fillId="8" borderId="16" xfId="0" applyNumberFormat="1" applyFont="1" applyFill="1" applyBorder="1"/>
    <xf numFmtId="0" fontId="20" fillId="8" borderId="16" xfId="0" applyFont="1" applyFill="1" applyBorder="1"/>
    <xf numFmtId="44" fontId="20" fillId="8" borderId="16" xfId="0" applyNumberFormat="1" applyFont="1" applyFill="1" applyBorder="1"/>
    <xf numFmtId="0" fontId="20" fillId="8" borderId="16" xfId="0" applyFont="1" applyFill="1" applyBorder="1" applyAlignment="1">
      <alignment horizontal="left"/>
    </xf>
    <xf numFmtId="16" fontId="20" fillId="0" borderId="16" xfId="0" applyNumberFormat="1" applyFont="1" applyBorder="1"/>
    <xf numFmtId="0" fontId="20" fillId="0" borderId="16" xfId="0" applyFont="1" applyBorder="1" applyAlignment="1">
      <alignment horizontal="left"/>
    </xf>
    <xf numFmtId="44" fontId="2" fillId="23" borderId="16" xfId="0" applyNumberFormat="1" applyFont="1" applyFill="1" applyBorder="1"/>
    <xf numFmtId="44" fontId="26" fillId="6" borderId="0" xfId="0" applyNumberFormat="1" applyFont="1" applyFill="1"/>
    <xf numFmtId="44" fontId="4" fillId="8" borderId="0" xfId="0" applyNumberFormat="1" applyFont="1" applyFill="1"/>
    <xf numFmtId="44" fontId="4" fillId="0" borderId="0" xfId="0" applyNumberFormat="1" applyFont="1"/>
    <xf numFmtId="0" fontId="4" fillId="0" borderId="0" xfId="0" applyFont="1"/>
    <xf numFmtId="44" fontId="27" fillId="6" borderId="0" xfId="0" applyNumberFormat="1" applyFont="1" applyFill="1"/>
    <xf numFmtId="44" fontId="20" fillId="14" borderId="16" xfId="0" applyNumberFormat="1" applyFont="1" applyFill="1" applyBorder="1"/>
    <xf numFmtId="16" fontId="20" fillId="14" borderId="16" xfId="0" applyNumberFormat="1" applyFont="1" applyFill="1" applyBorder="1"/>
    <xf numFmtId="0" fontId="20" fillId="14" borderId="16" xfId="0" applyFont="1" applyFill="1" applyBorder="1" applyAlignment="1">
      <alignment horizontal="left"/>
    </xf>
    <xf numFmtId="0" fontId="20" fillId="14" borderId="16" xfId="0" applyFont="1" applyFill="1" applyBorder="1"/>
    <xf numFmtId="16" fontId="0" fillId="14" borderId="16" xfId="0" applyNumberFormat="1" applyFill="1" applyBorder="1"/>
    <xf numFmtId="0" fontId="0" fillId="14" borderId="16" xfId="0" applyFill="1" applyBorder="1"/>
    <xf numFmtId="44" fontId="0" fillId="14" borderId="16" xfId="0" applyNumberFormat="1" applyFill="1" applyBorder="1"/>
    <xf numFmtId="16" fontId="20" fillId="6" borderId="16" xfId="0" applyNumberFormat="1" applyFont="1" applyFill="1" applyBorder="1"/>
    <xf numFmtId="0" fontId="20" fillId="6" borderId="16" xfId="0" applyFont="1" applyFill="1" applyBorder="1" applyAlignment="1">
      <alignment horizontal="left"/>
    </xf>
    <xf numFmtId="0" fontId="20" fillId="6" borderId="16" xfId="0" applyFont="1" applyFill="1" applyBorder="1"/>
    <xf numFmtId="44" fontId="20" fillId="6" borderId="16" xfId="0" applyNumberFormat="1" applyFont="1" applyFill="1" applyBorder="1"/>
    <xf numFmtId="16" fontId="0" fillId="0" borderId="16" xfId="0" applyNumberFormat="1" applyBorder="1" applyAlignment="1">
      <alignment horizontal="center" vertical="center"/>
    </xf>
    <xf numFmtId="0" fontId="20" fillId="12" borderId="0" xfId="0" applyFont="1" applyFill="1"/>
    <xf numFmtId="44" fontId="20" fillId="12" borderId="0" xfId="0" applyNumberFormat="1" applyFont="1" applyFill="1"/>
    <xf numFmtId="0" fontId="17" fillId="0" borderId="16" xfId="0" applyFont="1" applyBorder="1" applyAlignment="1">
      <alignment horizontal="left"/>
    </xf>
    <xf numFmtId="44" fontId="14" fillId="23" borderId="0" xfId="0" applyNumberFormat="1" applyFont="1" applyFill="1"/>
    <xf numFmtId="0" fontId="17" fillId="0" borderId="20" xfId="0" applyFont="1" applyBorder="1"/>
    <xf numFmtId="44" fontId="16" fillId="0" borderId="20" xfId="0" applyNumberFormat="1" applyFont="1" applyBorder="1"/>
    <xf numFmtId="0" fontId="20" fillId="7" borderId="16" xfId="0" applyFont="1" applyFill="1" applyBorder="1" applyAlignment="1">
      <alignment horizontal="left"/>
    </xf>
    <xf numFmtId="44" fontId="20" fillId="7" borderId="16" xfId="0" applyNumberFormat="1" applyFont="1" applyFill="1" applyBorder="1"/>
    <xf numFmtId="44" fontId="20" fillId="19" borderId="16" xfId="0" applyNumberFormat="1" applyFont="1" applyFill="1" applyBorder="1"/>
    <xf numFmtId="0" fontId="17" fillId="8" borderId="16" xfId="0" applyFont="1" applyFill="1" applyBorder="1" applyAlignment="1">
      <alignment horizontal="left"/>
    </xf>
    <xf numFmtId="44" fontId="16" fillId="8" borderId="16" xfId="0" applyNumberFormat="1" applyFont="1" applyFill="1" applyBorder="1"/>
    <xf numFmtId="16" fontId="20" fillId="26" borderId="16" xfId="0" applyNumberFormat="1" applyFont="1" applyFill="1" applyBorder="1"/>
    <xf numFmtId="0" fontId="20" fillId="26" borderId="16" xfId="0" applyFont="1" applyFill="1" applyBorder="1" applyAlignment="1">
      <alignment horizontal="left"/>
    </xf>
    <xf numFmtId="0" fontId="20" fillId="26" borderId="16" xfId="0" applyFont="1" applyFill="1" applyBorder="1"/>
    <xf numFmtId="44" fontId="20" fillId="26" borderId="16" xfId="0" applyNumberFormat="1" applyFont="1" applyFill="1" applyBorder="1"/>
    <xf numFmtId="44" fontId="26" fillId="0" borderId="0" xfId="0" applyNumberFormat="1" applyFont="1"/>
    <xf numFmtId="0" fontId="20" fillId="19" borderId="16" xfId="0" applyFont="1" applyFill="1" applyBorder="1"/>
    <xf numFmtId="0" fontId="6" fillId="19" borderId="0" xfId="0" applyFont="1" applyFill="1"/>
    <xf numFmtId="16" fontId="20" fillId="19" borderId="16" xfId="0" applyNumberFormat="1" applyFont="1" applyFill="1" applyBorder="1"/>
    <xf numFmtId="0" fontId="20" fillId="19" borderId="16" xfId="0" applyFont="1" applyFill="1" applyBorder="1" applyAlignment="1">
      <alignment horizontal="left"/>
    </xf>
    <xf numFmtId="0" fontId="20" fillId="19" borderId="0" xfId="0" applyFont="1" applyFill="1"/>
    <xf numFmtId="44" fontId="6" fillId="19" borderId="0" xfId="0" applyNumberFormat="1" applyFont="1" applyFill="1"/>
    <xf numFmtId="44" fontId="2" fillId="4" borderId="0" xfId="0" applyNumberFormat="1" applyFont="1" applyFill="1"/>
    <xf numFmtId="0" fontId="3" fillId="0" borderId="0" xfId="0" applyFont="1"/>
    <xf numFmtId="0" fontId="16" fillId="12" borderId="0" xfId="0" applyFont="1" applyFill="1"/>
    <xf numFmtId="44" fontId="16" fillId="12" borderId="0" xfId="0" applyNumberFormat="1" applyFont="1" applyFill="1"/>
    <xf numFmtId="0" fontId="17" fillId="27" borderId="16" xfId="0" applyFont="1" applyFill="1" applyBorder="1"/>
    <xf numFmtId="44" fontId="16" fillId="27" borderId="16" xfId="0" applyNumberFormat="1" applyFont="1" applyFill="1" applyBorder="1"/>
    <xf numFmtId="0" fontId="6" fillId="19" borderId="16" xfId="0" applyFont="1" applyFill="1" applyBorder="1"/>
    <xf numFmtId="44" fontId="17" fillId="27" borderId="16" xfId="0" applyNumberFormat="1" applyFont="1" applyFill="1" applyBorder="1"/>
    <xf numFmtId="0" fontId="16" fillId="27" borderId="16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/>
    </xf>
    <xf numFmtId="0" fontId="14" fillId="13" borderId="17" xfId="0" applyFont="1" applyFill="1" applyBorder="1" applyAlignment="1">
      <alignment horizontal="center"/>
    </xf>
    <xf numFmtId="0" fontId="14" fillId="13" borderId="18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0" fillId="0" borderId="28" xfId="0" applyBorder="1" applyAlignment="1">
      <alignment horizontal="center" wrapText="1"/>
    </xf>
    <xf numFmtId="0" fontId="2" fillId="8" borderId="16" xfId="0" applyFont="1" applyFill="1" applyBorder="1" applyAlignment="1">
      <alignment horizontal="center"/>
    </xf>
    <xf numFmtId="0" fontId="14" fillId="14" borderId="26" xfId="0" applyFont="1" applyFill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4" fillId="13" borderId="19" xfId="0" applyFont="1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4" fillId="5" borderId="26" xfId="0" applyFont="1" applyFill="1" applyBorder="1" applyAlignment="1">
      <alignment horizontal="center"/>
    </xf>
    <xf numFmtId="0" fontId="20" fillId="14" borderId="0" xfId="0" applyFont="1" applyFill="1" applyAlignment="1">
      <alignment horizontal="center"/>
    </xf>
    <xf numFmtId="0" fontId="20" fillId="14" borderId="29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19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6" xfId="0" applyFont="1" applyBorder="1"/>
    <xf numFmtId="0" fontId="8" fillId="3" borderId="0" xfId="0" applyFont="1" applyFill="1"/>
    <xf numFmtId="0" fontId="20" fillId="0" borderId="0" xfId="0" applyFont="1" applyAlignment="1">
      <alignment vertical="center"/>
    </xf>
    <xf numFmtId="0" fontId="1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heetMetadata" Target="metadata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2028169</xdr:colOff>
      <xdr:row>108</xdr:row>
      <xdr:rowOff>142874</xdr:rowOff>
    </xdr:from>
    <xdr:to>
      <xdr:col>17</xdr:col>
      <xdr:colOff>247651</xdr:colOff>
      <xdr:row>115</xdr:row>
      <xdr:rowOff>171449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E8C4DF-81E0-4B3E-B9BC-157E61F62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63269" y="21069299"/>
          <a:ext cx="4458356" cy="1457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0.bin"/><Relationship Id="rId4" Type="http://schemas.openxmlformats.org/officeDocument/2006/relationships/comments" Target="../comments4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2E91-58D8-4492-9726-9CFDF4395698}">
  <sheetPr codeName="Hoja1"/>
  <dimension ref="A1:V77"/>
  <sheetViews>
    <sheetView view="pageBreakPreview" zoomScale="60" zoomScaleNormal="7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R65" sqref="R65"/>
    </sheetView>
  </sheetViews>
  <sheetFormatPr baseColWidth="10" defaultRowHeight="15" x14ac:dyDescent="0.25"/>
  <cols>
    <col min="2" max="2" width="11.140625" bestFit="1" customWidth="1"/>
    <col min="3" max="3" width="15.85546875" bestFit="1" customWidth="1"/>
    <col min="4" max="4" width="10.42578125" bestFit="1" customWidth="1"/>
    <col min="5" max="5" width="16.5703125" customWidth="1"/>
    <col min="6" max="6" width="9.42578125" bestFit="1" customWidth="1"/>
    <col min="7" max="8" width="18.28515625" bestFit="1" customWidth="1"/>
    <col min="9" max="9" width="7.5703125" bestFit="1" customWidth="1"/>
    <col min="10" max="10" width="15.140625" bestFit="1" customWidth="1"/>
    <col min="11" max="11" width="19.7109375" bestFit="1" customWidth="1"/>
    <col min="12" max="12" width="11.28515625" customWidth="1"/>
    <col min="13" max="13" width="8.42578125" customWidth="1"/>
    <col min="14" max="14" width="7.5703125" bestFit="1" customWidth="1"/>
    <col min="15" max="15" width="8.28515625" bestFit="1" customWidth="1"/>
    <col min="16" max="16" width="15.140625" customWidth="1"/>
    <col min="17" max="17" width="10.7109375" customWidth="1"/>
    <col min="18" max="18" width="15.140625" customWidth="1"/>
    <col min="19" max="19" width="14.42578125" customWidth="1"/>
    <col min="20" max="20" width="12.28515625" bestFit="1" customWidth="1"/>
    <col min="21" max="21" width="19.42578125" customWidth="1"/>
  </cols>
  <sheetData>
    <row r="1" spans="1:21" ht="33" customHeight="1" thickBot="1" x14ac:dyDescent="0.3"/>
    <row r="2" spans="1:21" ht="28.5" customHeight="1" x14ac:dyDescent="0.45">
      <c r="B2" s="1"/>
      <c r="C2" s="2"/>
      <c r="D2" s="308" t="s">
        <v>0</v>
      </c>
      <c r="E2" s="313"/>
      <c r="F2" s="309"/>
      <c r="G2" s="308" t="s">
        <v>1</v>
      </c>
      <c r="H2" s="313"/>
      <c r="I2" s="313"/>
      <c r="J2" s="313"/>
      <c r="K2" s="313"/>
      <c r="L2" s="313"/>
      <c r="M2" s="309"/>
      <c r="N2" s="308" t="s">
        <v>2</v>
      </c>
      <c r="O2" s="313"/>
      <c r="P2" s="309"/>
      <c r="Q2" s="308" t="s">
        <v>3</v>
      </c>
      <c r="R2" s="309"/>
      <c r="S2" s="308" t="s">
        <v>4</v>
      </c>
      <c r="T2" s="309"/>
      <c r="U2" s="3" t="s">
        <v>5</v>
      </c>
    </row>
    <row r="3" spans="1:21" ht="43.5" customHeight="1" thickBot="1" x14ac:dyDescent="0.3">
      <c r="B3" s="4" t="s">
        <v>6</v>
      </c>
      <c r="C3" s="5" t="s">
        <v>7</v>
      </c>
      <c r="D3" s="6" t="s">
        <v>8</v>
      </c>
      <c r="E3" s="7" t="s">
        <v>9</v>
      </c>
      <c r="F3" s="8" t="s">
        <v>10</v>
      </c>
      <c r="G3" s="9" t="s">
        <v>9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8" t="s">
        <v>8</v>
      </c>
      <c r="N3" s="6" t="s">
        <v>12</v>
      </c>
      <c r="O3" s="7" t="s">
        <v>16</v>
      </c>
      <c r="P3" s="8" t="s">
        <v>13</v>
      </c>
      <c r="Q3" s="6" t="s">
        <v>16</v>
      </c>
      <c r="R3" s="8" t="s">
        <v>13</v>
      </c>
      <c r="S3" s="6" t="s">
        <v>17</v>
      </c>
      <c r="T3" s="8" t="s">
        <v>18</v>
      </c>
      <c r="U3" s="10" t="s">
        <v>9</v>
      </c>
    </row>
    <row r="4" spans="1:21" x14ac:dyDescent="0.25">
      <c r="A4" s="310" t="s">
        <v>19</v>
      </c>
      <c r="B4" s="1"/>
      <c r="C4" s="2" t="s">
        <v>20</v>
      </c>
      <c r="D4" s="26">
        <v>5232</v>
      </c>
      <c r="E4" s="11">
        <v>904</v>
      </c>
      <c r="F4" s="30">
        <v>304</v>
      </c>
      <c r="G4" s="1">
        <v>1136</v>
      </c>
      <c r="H4" s="34">
        <v>1470</v>
      </c>
      <c r="I4" s="11">
        <v>885</v>
      </c>
      <c r="J4" s="34">
        <v>4499</v>
      </c>
      <c r="K4" s="11">
        <v>1652</v>
      </c>
      <c r="L4" s="34">
        <v>402</v>
      </c>
      <c r="M4" s="2">
        <v>103</v>
      </c>
      <c r="N4" s="26">
        <v>11</v>
      </c>
      <c r="O4" s="11">
        <v>1022</v>
      </c>
      <c r="P4" s="30">
        <v>416</v>
      </c>
      <c r="Q4" s="1">
        <v>1721</v>
      </c>
      <c r="R4" s="30">
        <v>517</v>
      </c>
      <c r="S4" s="1">
        <v>1125</v>
      </c>
      <c r="T4" s="30">
        <v>2358</v>
      </c>
      <c r="U4" s="12">
        <v>52</v>
      </c>
    </row>
    <row r="5" spans="1:21" x14ac:dyDescent="0.25">
      <c r="A5" s="311"/>
      <c r="B5" s="20">
        <v>45203</v>
      </c>
      <c r="C5" s="14" t="s">
        <v>24</v>
      </c>
      <c r="D5" s="27"/>
      <c r="F5" s="31"/>
      <c r="G5" s="13"/>
      <c r="H5" s="35"/>
      <c r="J5" s="35"/>
      <c r="L5" s="35"/>
      <c r="M5" s="14"/>
      <c r="N5" s="27"/>
      <c r="O5">
        <v>1200</v>
      </c>
      <c r="P5" s="31"/>
      <c r="Q5" s="13"/>
      <c r="R5" s="31"/>
      <c r="S5" s="13"/>
      <c r="T5" s="31"/>
      <c r="U5" s="15"/>
    </row>
    <row r="6" spans="1:21" x14ac:dyDescent="0.25">
      <c r="A6" s="311"/>
      <c r="B6" s="20">
        <v>45203</v>
      </c>
      <c r="C6" s="14" t="s">
        <v>25</v>
      </c>
      <c r="D6" s="27">
        <v>4312</v>
      </c>
      <c r="F6" s="31"/>
      <c r="G6" s="13"/>
      <c r="H6" s="35"/>
      <c r="J6" s="35"/>
      <c r="L6" s="35"/>
      <c r="M6" s="14"/>
      <c r="N6" s="27"/>
      <c r="P6" s="31"/>
      <c r="Q6" s="13"/>
      <c r="R6" s="31"/>
      <c r="S6" s="13"/>
      <c r="T6" s="31"/>
      <c r="U6" s="15"/>
    </row>
    <row r="7" spans="1:21" x14ac:dyDescent="0.25">
      <c r="A7" s="311"/>
      <c r="B7" s="20">
        <v>45204</v>
      </c>
      <c r="C7" s="14" t="s">
        <v>27</v>
      </c>
      <c r="D7" s="27"/>
      <c r="F7" s="31"/>
      <c r="G7" s="13"/>
      <c r="H7" s="35"/>
      <c r="J7" s="35"/>
      <c r="L7" s="35"/>
      <c r="M7" s="14"/>
      <c r="N7" s="27"/>
      <c r="P7" s="31"/>
      <c r="Q7" s="13"/>
      <c r="R7" s="31"/>
      <c r="S7" s="13"/>
      <c r="T7" s="31">
        <v>3000</v>
      </c>
      <c r="U7" s="15"/>
    </row>
    <row r="8" spans="1:21" x14ac:dyDescent="0.25">
      <c r="A8" s="311"/>
      <c r="B8" s="20">
        <v>45205</v>
      </c>
      <c r="C8" s="14" t="s">
        <v>28</v>
      </c>
      <c r="D8" s="27"/>
      <c r="F8" s="31"/>
      <c r="G8" s="13"/>
      <c r="H8" s="35"/>
      <c r="J8" s="35"/>
      <c r="L8" s="35"/>
      <c r="M8" s="14"/>
      <c r="N8" s="27"/>
      <c r="P8" s="31"/>
      <c r="Q8" s="13"/>
      <c r="R8" s="31"/>
      <c r="S8" s="13"/>
      <c r="T8" s="31">
        <v>500</v>
      </c>
      <c r="U8" s="15"/>
    </row>
    <row r="9" spans="1:21" x14ac:dyDescent="0.25">
      <c r="A9" s="311"/>
      <c r="B9" s="20">
        <v>45208</v>
      </c>
      <c r="C9" s="14" t="s">
        <v>24</v>
      </c>
      <c r="D9" s="27"/>
      <c r="F9" s="31"/>
      <c r="G9" s="13"/>
      <c r="H9" s="35"/>
      <c r="J9" s="35"/>
      <c r="L9" s="35"/>
      <c r="M9" s="14"/>
      <c r="N9" s="27"/>
      <c r="P9" s="31"/>
      <c r="Q9" s="13"/>
      <c r="R9" s="31"/>
      <c r="S9" s="13"/>
      <c r="T9" s="31">
        <v>300</v>
      </c>
      <c r="U9" s="15"/>
    </row>
    <row r="10" spans="1:21" x14ac:dyDescent="0.25">
      <c r="A10" s="311"/>
      <c r="B10" s="20">
        <v>45208</v>
      </c>
      <c r="C10" s="14" t="s">
        <v>25</v>
      </c>
      <c r="D10" s="27">
        <v>2600</v>
      </c>
      <c r="F10" s="31"/>
      <c r="G10" s="13"/>
      <c r="H10" s="35"/>
      <c r="J10" s="35"/>
      <c r="L10" s="35"/>
      <c r="M10" s="14"/>
      <c r="N10" s="27"/>
      <c r="P10" s="31"/>
      <c r="Q10" s="13"/>
      <c r="R10" s="31"/>
      <c r="S10" s="13"/>
      <c r="T10" s="31"/>
      <c r="U10" s="15"/>
    </row>
    <row r="11" spans="1:21" x14ac:dyDescent="0.25">
      <c r="A11" s="311"/>
      <c r="B11" s="20">
        <v>45210</v>
      </c>
      <c r="C11" s="14" t="s">
        <v>25</v>
      </c>
      <c r="D11" s="27">
        <v>4110</v>
      </c>
      <c r="F11" s="31"/>
      <c r="G11" s="13"/>
      <c r="H11" s="35"/>
      <c r="J11" s="35"/>
      <c r="L11" s="35"/>
      <c r="M11" s="14"/>
      <c r="N11" s="27"/>
      <c r="P11" s="31"/>
      <c r="Q11" s="13"/>
      <c r="R11" s="31"/>
      <c r="S11" s="13"/>
      <c r="T11" s="31"/>
      <c r="U11" s="15"/>
    </row>
    <row r="12" spans="1:21" x14ac:dyDescent="0.25">
      <c r="A12" s="311"/>
      <c r="B12" s="20">
        <v>45211</v>
      </c>
      <c r="C12" s="14" t="s">
        <v>25</v>
      </c>
      <c r="D12" s="27">
        <v>816</v>
      </c>
      <c r="F12" s="31"/>
      <c r="G12" s="13"/>
      <c r="H12" s="35"/>
      <c r="J12" s="35"/>
      <c r="L12" s="35"/>
      <c r="M12" s="14"/>
      <c r="N12" s="27"/>
      <c r="P12" s="31"/>
      <c r="Q12" s="13"/>
      <c r="R12" s="31"/>
      <c r="S12" s="13"/>
      <c r="T12" s="31"/>
      <c r="U12" s="15"/>
    </row>
    <row r="13" spans="1:21" x14ac:dyDescent="0.25">
      <c r="A13" s="311"/>
      <c r="B13" s="20">
        <v>45211</v>
      </c>
      <c r="C13" s="14" t="s">
        <v>25</v>
      </c>
      <c r="D13" s="27">
        <v>4140</v>
      </c>
      <c r="F13" s="31"/>
      <c r="G13" s="13"/>
      <c r="H13" s="35"/>
      <c r="J13" s="35"/>
      <c r="L13" s="35"/>
      <c r="M13" s="14"/>
      <c r="N13" s="27"/>
      <c r="P13" s="31"/>
      <c r="Q13" s="13"/>
      <c r="R13" s="31"/>
      <c r="S13" s="13"/>
      <c r="T13" s="31"/>
      <c r="U13" s="15"/>
    </row>
    <row r="14" spans="1:21" x14ac:dyDescent="0.25">
      <c r="A14" s="311"/>
      <c r="B14" s="20">
        <v>45213</v>
      </c>
      <c r="C14" s="14" t="s">
        <v>24</v>
      </c>
      <c r="D14" s="27"/>
      <c r="F14" s="31"/>
      <c r="G14" s="13"/>
      <c r="H14" s="35"/>
      <c r="J14" s="35"/>
      <c r="L14" s="35"/>
      <c r="M14" s="14"/>
      <c r="N14" s="27"/>
      <c r="P14" s="31"/>
      <c r="Q14" s="13"/>
      <c r="R14" s="31"/>
      <c r="S14" s="13">
        <v>3000</v>
      </c>
      <c r="T14" s="31"/>
      <c r="U14" s="15"/>
    </row>
    <row r="15" spans="1:21" x14ac:dyDescent="0.25">
      <c r="A15" s="311"/>
      <c r="B15" s="20">
        <v>45213</v>
      </c>
      <c r="C15" s="14" t="s">
        <v>27</v>
      </c>
      <c r="D15" s="27"/>
      <c r="F15" s="31"/>
      <c r="G15" s="13"/>
      <c r="H15" s="35"/>
      <c r="J15" s="35"/>
      <c r="L15" s="35"/>
      <c r="M15" s="14"/>
      <c r="N15" s="27"/>
      <c r="O15">
        <v>1200</v>
      </c>
      <c r="P15" s="31"/>
      <c r="Q15" s="13"/>
      <c r="R15" s="31"/>
      <c r="S15" s="13"/>
      <c r="T15" s="31"/>
      <c r="U15" s="15"/>
    </row>
    <row r="16" spans="1:21" ht="15.75" thickBot="1" x14ac:dyDescent="0.3">
      <c r="A16" s="312"/>
      <c r="B16" s="16"/>
      <c r="C16" s="17"/>
      <c r="D16" s="28"/>
      <c r="E16" s="18"/>
      <c r="F16" s="32"/>
      <c r="G16" s="16"/>
      <c r="H16" s="36"/>
      <c r="I16" s="18"/>
      <c r="J16" s="36"/>
      <c r="K16" s="18"/>
      <c r="L16" s="36"/>
      <c r="M16" s="17"/>
      <c r="N16" s="28"/>
      <c r="O16" s="18"/>
      <c r="P16" s="32"/>
      <c r="Q16" s="16"/>
      <c r="R16" s="32"/>
      <c r="S16" s="16"/>
      <c r="T16" s="32"/>
      <c r="U16" s="19"/>
    </row>
    <row r="17" spans="1:21" x14ac:dyDescent="0.25">
      <c r="A17" s="310" t="s">
        <v>21</v>
      </c>
      <c r="B17" s="20">
        <v>45202</v>
      </c>
      <c r="C17" s="14" t="s">
        <v>22</v>
      </c>
      <c r="D17" s="27"/>
      <c r="F17" s="31"/>
      <c r="G17" s="13"/>
      <c r="H17" s="35"/>
      <c r="J17" s="35"/>
      <c r="L17" s="35"/>
      <c r="M17" s="14"/>
      <c r="N17" s="27"/>
      <c r="P17" s="31"/>
      <c r="Q17" s="13"/>
      <c r="R17" s="31"/>
      <c r="S17" s="13"/>
      <c r="T17" s="31">
        <v>20</v>
      </c>
      <c r="U17" s="15"/>
    </row>
    <row r="18" spans="1:21" x14ac:dyDescent="0.25">
      <c r="A18" s="311"/>
      <c r="B18" s="20">
        <v>45202</v>
      </c>
      <c r="C18" s="14" t="s">
        <v>22</v>
      </c>
      <c r="D18" s="27"/>
      <c r="F18" s="31"/>
      <c r="G18" s="13"/>
      <c r="H18" s="35"/>
      <c r="J18" s="35"/>
      <c r="L18" s="35"/>
      <c r="M18" s="14"/>
      <c r="N18" s="27"/>
      <c r="P18" s="31"/>
      <c r="Q18" s="13"/>
      <c r="R18" s="31"/>
      <c r="S18" s="13"/>
      <c r="T18" s="31">
        <v>20</v>
      </c>
      <c r="U18" s="15"/>
    </row>
    <row r="19" spans="1:21" x14ac:dyDescent="0.25">
      <c r="A19" s="311"/>
      <c r="B19" s="20">
        <v>45202</v>
      </c>
      <c r="C19" s="14" t="s">
        <v>22</v>
      </c>
      <c r="D19" s="27"/>
      <c r="F19" s="31"/>
      <c r="G19" s="13"/>
      <c r="H19" s="35">
        <v>150</v>
      </c>
      <c r="J19" s="35"/>
      <c r="L19" s="35"/>
      <c r="M19" s="14"/>
      <c r="N19" s="27"/>
      <c r="P19" s="31"/>
      <c r="Q19" s="13"/>
      <c r="R19" s="31"/>
      <c r="S19" s="13"/>
      <c r="T19" s="31"/>
      <c r="U19" s="15"/>
    </row>
    <row r="20" spans="1:21" x14ac:dyDescent="0.25">
      <c r="A20" s="311"/>
      <c r="B20" s="20">
        <v>45202</v>
      </c>
      <c r="C20" s="14" t="s">
        <v>22</v>
      </c>
      <c r="D20" s="27">
        <v>1000</v>
      </c>
      <c r="F20" s="31"/>
      <c r="G20" s="13"/>
      <c r="H20" s="35"/>
      <c r="J20" s="35"/>
      <c r="L20" s="35"/>
      <c r="M20" s="14"/>
      <c r="N20" s="27"/>
      <c r="P20" s="31"/>
      <c r="Q20" s="13"/>
      <c r="R20" s="31"/>
      <c r="S20" s="13"/>
      <c r="T20" s="31"/>
      <c r="U20" s="15"/>
    </row>
    <row r="21" spans="1:21" x14ac:dyDescent="0.25">
      <c r="A21" s="311"/>
      <c r="B21" s="20">
        <v>45202</v>
      </c>
      <c r="C21" s="14" t="s">
        <v>22</v>
      </c>
      <c r="D21" s="27"/>
      <c r="F21" s="31"/>
      <c r="G21" s="13"/>
      <c r="H21" s="35"/>
      <c r="J21" s="35"/>
      <c r="L21" s="35"/>
      <c r="M21" s="14"/>
      <c r="N21" s="27"/>
      <c r="O21">
        <v>530</v>
      </c>
      <c r="P21" s="31"/>
      <c r="Q21" s="13"/>
      <c r="R21" s="31"/>
      <c r="S21" s="13"/>
      <c r="T21" s="31"/>
      <c r="U21" s="15"/>
    </row>
    <row r="22" spans="1:21" x14ac:dyDescent="0.25">
      <c r="A22" s="311"/>
      <c r="B22" s="20">
        <v>45203</v>
      </c>
      <c r="C22" s="14" t="s">
        <v>22</v>
      </c>
      <c r="D22" s="27"/>
      <c r="F22" s="31"/>
      <c r="G22" s="13"/>
      <c r="H22" s="35"/>
      <c r="J22" s="35"/>
      <c r="L22" s="35"/>
      <c r="M22" s="14"/>
      <c r="N22" s="27"/>
      <c r="P22" s="31"/>
      <c r="Q22" s="13"/>
      <c r="R22" s="31"/>
      <c r="S22" s="13">
        <v>500</v>
      </c>
      <c r="T22" s="31"/>
      <c r="U22" s="15"/>
    </row>
    <row r="23" spans="1:21" x14ac:dyDescent="0.25">
      <c r="A23" s="311"/>
      <c r="B23" s="20">
        <v>45203</v>
      </c>
      <c r="C23" s="14" t="s">
        <v>22</v>
      </c>
      <c r="D23" s="27"/>
      <c r="F23" s="31"/>
      <c r="G23" s="13"/>
      <c r="H23" s="35"/>
      <c r="J23" s="35"/>
      <c r="L23" s="35"/>
      <c r="M23" s="14"/>
      <c r="N23" s="27"/>
      <c r="P23" s="31"/>
      <c r="Q23" s="13"/>
      <c r="R23" s="31"/>
      <c r="S23" s="13"/>
      <c r="T23" s="31">
        <v>1000</v>
      </c>
      <c r="U23" s="15"/>
    </row>
    <row r="24" spans="1:21" x14ac:dyDescent="0.25">
      <c r="A24" s="311"/>
      <c r="B24" s="20">
        <v>45203</v>
      </c>
      <c r="C24" s="14" t="s">
        <v>22</v>
      </c>
      <c r="D24" s="27"/>
      <c r="F24" s="31"/>
      <c r="G24" s="13"/>
      <c r="H24" s="35"/>
      <c r="J24" s="35"/>
      <c r="L24" s="35"/>
      <c r="M24" s="14"/>
      <c r="N24" s="27"/>
      <c r="P24" s="31"/>
      <c r="Q24" s="13"/>
      <c r="R24" s="31"/>
      <c r="S24" s="13"/>
      <c r="T24" s="31">
        <f>20+20</f>
        <v>40</v>
      </c>
      <c r="U24" s="15"/>
    </row>
    <row r="25" spans="1:21" x14ac:dyDescent="0.25">
      <c r="A25" s="311"/>
      <c r="B25" s="20">
        <v>45203</v>
      </c>
      <c r="C25" s="14" t="s">
        <v>22</v>
      </c>
      <c r="D25" s="27">
        <v>500</v>
      </c>
      <c r="F25" s="31"/>
      <c r="G25" s="13"/>
      <c r="H25" s="35"/>
      <c r="J25" s="35"/>
      <c r="L25" s="35"/>
      <c r="M25" s="14"/>
      <c r="N25" s="27"/>
      <c r="P25" s="31"/>
      <c r="Q25" s="13"/>
      <c r="R25" s="31"/>
      <c r="S25" s="13"/>
      <c r="T25" s="31"/>
      <c r="U25" s="15"/>
    </row>
    <row r="26" spans="1:21" x14ac:dyDescent="0.25">
      <c r="A26" s="311"/>
      <c r="B26" s="20">
        <v>45203</v>
      </c>
      <c r="C26" s="14" t="s">
        <v>22</v>
      </c>
      <c r="D26" s="27">
        <v>1000</v>
      </c>
      <c r="F26" s="31"/>
      <c r="G26" s="13"/>
      <c r="H26" s="35"/>
      <c r="J26" s="35"/>
      <c r="L26" s="35"/>
      <c r="M26" s="14"/>
      <c r="N26" s="27"/>
      <c r="P26" s="31"/>
      <c r="Q26" s="13"/>
      <c r="R26" s="31"/>
      <c r="S26" s="13"/>
      <c r="T26" s="31"/>
      <c r="U26" s="15"/>
    </row>
    <row r="27" spans="1:21" x14ac:dyDescent="0.25">
      <c r="A27" s="311"/>
      <c r="B27" s="20">
        <v>45203</v>
      </c>
      <c r="C27" s="14" t="s">
        <v>22</v>
      </c>
      <c r="D27" s="27">
        <v>2500</v>
      </c>
      <c r="F27" s="31"/>
      <c r="G27" s="13"/>
      <c r="H27" s="35"/>
      <c r="J27" s="35"/>
      <c r="L27" s="35"/>
      <c r="M27" s="14"/>
      <c r="N27" s="27"/>
      <c r="P27" s="31"/>
      <c r="Q27" s="13"/>
      <c r="R27" s="31"/>
      <c r="S27" s="13"/>
      <c r="T27" s="31"/>
      <c r="U27" s="15"/>
    </row>
    <row r="28" spans="1:21" x14ac:dyDescent="0.25">
      <c r="A28" s="311"/>
      <c r="B28" s="20">
        <v>45203</v>
      </c>
      <c r="C28" s="14" t="s">
        <v>22</v>
      </c>
      <c r="D28" s="27"/>
      <c r="F28" s="31"/>
      <c r="G28" s="13"/>
      <c r="H28" s="35"/>
      <c r="J28" s="35"/>
      <c r="L28" s="35"/>
      <c r="M28" s="14"/>
      <c r="N28" s="27"/>
      <c r="O28">
        <v>1000</v>
      </c>
      <c r="P28" s="31">
        <v>150</v>
      </c>
      <c r="Q28" s="13"/>
      <c r="R28" s="31"/>
      <c r="S28" s="13"/>
      <c r="T28" s="31"/>
      <c r="U28" s="15"/>
    </row>
    <row r="29" spans="1:21" x14ac:dyDescent="0.25">
      <c r="A29" s="311"/>
      <c r="B29" s="20">
        <v>45203</v>
      </c>
      <c r="C29" s="14" t="s">
        <v>22</v>
      </c>
      <c r="D29" s="27"/>
      <c r="F29" s="31"/>
      <c r="G29" s="13"/>
      <c r="H29" s="35"/>
      <c r="J29" s="35"/>
      <c r="L29" s="35"/>
      <c r="M29" s="14"/>
      <c r="N29" s="27"/>
      <c r="P29" s="31"/>
      <c r="Q29" s="13"/>
      <c r="R29" s="31">
        <v>140</v>
      </c>
      <c r="S29" s="13"/>
      <c r="T29" s="31"/>
      <c r="U29" s="15"/>
    </row>
    <row r="30" spans="1:21" x14ac:dyDescent="0.25">
      <c r="A30" s="311"/>
      <c r="B30" s="20">
        <v>45203</v>
      </c>
      <c r="C30" s="14" t="s">
        <v>26</v>
      </c>
      <c r="D30" s="27"/>
      <c r="F30" s="31"/>
      <c r="G30" s="13"/>
      <c r="H30" s="35"/>
      <c r="J30" s="35">
        <v>1000</v>
      </c>
      <c r="L30" s="35"/>
      <c r="M30" s="14"/>
      <c r="N30" s="27"/>
      <c r="P30" s="31"/>
      <c r="Q30" s="13"/>
      <c r="R30" s="31"/>
      <c r="S30" s="13"/>
      <c r="T30" s="31"/>
      <c r="U30" s="15"/>
    </row>
    <row r="31" spans="1:21" x14ac:dyDescent="0.25">
      <c r="A31" s="311"/>
      <c r="B31" s="20">
        <v>45204</v>
      </c>
      <c r="C31" s="14" t="s">
        <v>22</v>
      </c>
      <c r="D31" s="27"/>
      <c r="F31" s="31"/>
      <c r="G31" s="13"/>
      <c r="H31" s="35"/>
      <c r="J31" s="35"/>
      <c r="L31" s="35"/>
      <c r="M31" s="14"/>
      <c r="N31" s="27"/>
      <c r="P31" s="31"/>
      <c r="Q31" s="13"/>
      <c r="R31" s="31"/>
      <c r="S31" s="13"/>
      <c r="T31" s="31">
        <v>20</v>
      </c>
      <c r="U31" s="15"/>
    </row>
    <row r="32" spans="1:21" x14ac:dyDescent="0.25">
      <c r="A32" s="311"/>
      <c r="B32" s="20">
        <v>45204</v>
      </c>
      <c r="C32" s="14" t="s">
        <v>22</v>
      </c>
      <c r="D32" s="27"/>
      <c r="F32" s="31"/>
      <c r="G32" s="13"/>
      <c r="H32" s="35"/>
      <c r="J32" s="35"/>
      <c r="L32" s="35"/>
      <c r="M32" s="14"/>
      <c r="N32" s="27"/>
      <c r="P32" s="31"/>
      <c r="Q32" s="13"/>
      <c r="R32" s="31"/>
      <c r="S32" s="13"/>
      <c r="T32" s="31">
        <v>500</v>
      </c>
      <c r="U32" s="15"/>
    </row>
    <row r="33" spans="1:21" x14ac:dyDescent="0.25">
      <c r="A33" s="311"/>
      <c r="B33" s="20">
        <v>45204</v>
      </c>
      <c r="C33" s="14" t="s">
        <v>22</v>
      </c>
      <c r="D33" s="27"/>
      <c r="F33" s="31"/>
      <c r="G33" s="13"/>
      <c r="H33" s="35"/>
      <c r="J33" s="35"/>
      <c r="L33" s="35"/>
      <c r="M33" s="14"/>
      <c r="N33" s="27"/>
      <c r="P33" s="31"/>
      <c r="Q33" s="13"/>
      <c r="R33" s="31"/>
      <c r="S33" s="13">
        <v>250</v>
      </c>
      <c r="T33" s="31"/>
      <c r="U33" s="15"/>
    </row>
    <row r="34" spans="1:21" x14ac:dyDescent="0.25">
      <c r="A34" s="311"/>
      <c r="B34" s="20">
        <v>45204</v>
      </c>
      <c r="C34" s="14" t="s">
        <v>22</v>
      </c>
      <c r="D34" s="27">
        <v>500</v>
      </c>
      <c r="F34" s="31"/>
      <c r="G34" s="13"/>
      <c r="H34" s="35"/>
      <c r="J34" s="35"/>
      <c r="L34" s="35"/>
      <c r="M34" s="14"/>
      <c r="N34" s="27"/>
      <c r="P34" s="31"/>
      <c r="Q34" s="13"/>
      <c r="R34" s="31"/>
      <c r="S34" s="13"/>
      <c r="T34" s="31"/>
      <c r="U34" s="15"/>
    </row>
    <row r="35" spans="1:21" x14ac:dyDescent="0.25">
      <c r="A35" s="311"/>
      <c r="B35" s="20">
        <v>45204</v>
      </c>
      <c r="C35" s="14" t="s">
        <v>22</v>
      </c>
      <c r="D35" s="27">
        <v>680</v>
      </c>
      <c r="F35" s="31"/>
      <c r="G35" s="13"/>
      <c r="H35" s="35"/>
      <c r="J35" s="35"/>
      <c r="L35" s="35"/>
      <c r="M35" s="14"/>
      <c r="N35" s="27"/>
      <c r="P35" s="31"/>
      <c r="Q35" s="13"/>
      <c r="R35" s="31"/>
      <c r="S35" s="13"/>
      <c r="T35" s="31"/>
      <c r="U35" s="15"/>
    </row>
    <row r="36" spans="1:21" x14ac:dyDescent="0.25">
      <c r="A36" s="311"/>
      <c r="B36" s="20">
        <v>45204</v>
      </c>
      <c r="C36" s="14" t="s">
        <v>22</v>
      </c>
      <c r="D36" s="27"/>
      <c r="F36" s="31"/>
      <c r="G36" s="13"/>
      <c r="H36" s="35"/>
      <c r="J36" s="35"/>
      <c r="L36" s="35"/>
      <c r="M36" s="14"/>
      <c r="N36" s="27"/>
      <c r="O36">
        <v>180</v>
      </c>
      <c r="P36" s="31"/>
      <c r="Q36" s="13"/>
      <c r="R36" s="31"/>
      <c r="S36" s="13"/>
      <c r="T36" s="31"/>
      <c r="U36" s="15"/>
    </row>
    <row r="37" spans="1:21" x14ac:dyDescent="0.25">
      <c r="A37" s="311"/>
      <c r="B37" s="20">
        <v>45205</v>
      </c>
      <c r="C37" s="14" t="s">
        <v>22</v>
      </c>
      <c r="D37" s="27"/>
      <c r="F37" s="31"/>
      <c r="G37" s="13"/>
      <c r="H37" s="35"/>
      <c r="J37" s="35"/>
      <c r="L37" s="35"/>
      <c r="M37" s="14"/>
      <c r="N37" s="27"/>
      <c r="P37" s="31"/>
      <c r="Q37" s="13"/>
      <c r="R37" s="31"/>
      <c r="S37" s="13">
        <v>350</v>
      </c>
      <c r="T37" s="31"/>
      <c r="U37" s="15"/>
    </row>
    <row r="38" spans="1:21" x14ac:dyDescent="0.25">
      <c r="A38" s="311"/>
      <c r="B38" s="20">
        <v>45205</v>
      </c>
      <c r="C38" s="14" t="s">
        <v>22</v>
      </c>
      <c r="D38" s="27"/>
      <c r="F38" s="31"/>
      <c r="G38" s="13"/>
      <c r="H38" s="35"/>
      <c r="J38" s="35">
        <v>1000</v>
      </c>
      <c r="L38" s="35"/>
      <c r="M38" s="14"/>
      <c r="N38" s="27"/>
      <c r="P38" s="31"/>
      <c r="Q38" s="13"/>
      <c r="R38" s="31"/>
      <c r="S38" s="13"/>
      <c r="T38" s="31"/>
      <c r="U38" s="15"/>
    </row>
    <row r="39" spans="1:21" x14ac:dyDescent="0.25">
      <c r="A39" s="311"/>
      <c r="B39" s="20">
        <v>45205</v>
      </c>
      <c r="C39" s="14" t="s">
        <v>22</v>
      </c>
      <c r="D39" s="27"/>
      <c r="F39" s="31"/>
      <c r="G39" s="13"/>
      <c r="H39" s="35"/>
      <c r="J39" s="35">
        <v>250</v>
      </c>
      <c r="L39" s="35"/>
      <c r="M39" s="14"/>
      <c r="N39" s="27"/>
      <c r="P39" s="31"/>
      <c r="Q39" s="13"/>
      <c r="R39" s="31"/>
      <c r="S39" s="13"/>
      <c r="T39" s="31"/>
      <c r="U39" s="15"/>
    </row>
    <row r="40" spans="1:21" x14ac:dyDescent="0.25">
      <c r="A40" s="311"/>
      <c r="B40" s="20">
        <v>45206</v>
      </c>
      <c r="C40" s="14" t="s">
        <v>22</v>
      </c>
      <c r="D40" s="27">
        <v>1000</v>
      </c>
      <c r="F40" s="31"/>
      <c r="G40" s="13"/>
      <c r="H40" s="35"/>
      <c r="J40" s="35"/>
      <c r="L40" s="35"/>
      <c r="M40" s="14"/>
      <c r="N40" s="27"/>
      <c r="P40" s="31"/>
      <c r="Q40" s="13"/>
      <c r="R40" s="31"/>
      <c r="S40" s="13"/>
      <c r="T40" s="31"/>
      <c r="U40" s="15"/>
    </row>
    <row r="41" spans="1:21" x14ac:dyDescent="0.25">
      <c r="A41" s="311"/>
      <c r="B41" s="20">
        <v>45207</v>
      </c>
      <c r="C41" s="14" t="s">
        <v>22</v>
      </c>
      <c r="D41" s="27"/>
      <c r="F41" s="31">
        <v>20</v>
      </c>
      <c r="G41" s="13"/>
      <c r="H41" s="35"/>
      <c r="J41" s="35"/>
      <c r="L41" s="35"/>
      <c r="M41" s="14"/>
      <c r="N41" s="27"/>
      <c r="P41" s="31"/>
      <c r="Q41" s="13"/>
      <c r="R41" s="31"/>
      <c r="S41" s="13"/>
      <c r="T41" s="31"/>
      <c r="U41" s="15"/>
    </row>
    <row r="42" spans="1:21" x14ac:dyDescent="0.25">
      <c r="A42" s="311"/>
      <c r="B42" s="20">
        <v>45208</v>
      </c>
      <c r="C42" s="14" t="s">
        <v>22</v>
      </c>
      <c r="D42" s="27"/>
      <c r="F42" s="31"/>
      <c r="G42" s="13"/>
      <c r="H42" s="35"/>
      <c r="J42" s="35"/>
      <c r="L42" s="35"/>
      <c r="M42" s="14"/>
      <c r="N42" s="27"/>
      <c r="P42" s="31"/>
      <c r="Q42" s="13"/>
      <c r="R42" s="31"/>
      <c r="S42" s="13"/>
      <c r="T42" s="31">
        <v>100</v>
      </c>
      <c r="U42" s="15"/>
    </row>
    <row r="43" spans="1:21" x14ac:dyDescent="0.25">
      <c r="A43" s="311"/>
      <c r="B43" s="20">
        <v>45208</v>
      </c>
      <c r="C43" s="14" t="s">
        <v>22</v>
      </c>
      <c r="D43" s="27">
        <v>1000</v>
      </c>
      <c r="F43" s="31"/>
      <c r="G43" s="13"/>
      <c r="H43" s="35"/>
      <c r="J43" s="35"/>
      <c r="L43" s="35"/>
      <c r="M43" s="14"/>
      <c r="N43" s="27"/>
      <c r="P43" s="31"/>
      <c r="Q43" s="13"/>
      <c r="R43" s="31"/>
      <c r="S43" s="13"/>
      <c r="T43" s="31"/>
      <c r="U43" s="15"/>
    </row>
    <row r="44" spans="1:21" x14ac:dyDescent="0.25">
      <c r="A44" s="311"/>
      <c r="B44" s="20">
        <v>45208</v>
      </c>
      <c r="C44" s="14" t="s">
        <v>22</v>
      </c>
      <c r="D44" s="27"/>
      <c r="F44" s="31"/>
      <c r="G44" s="13"/>
      <c r="H44" s="35"/>
      <c r="J44" s="35"/>
      <c r="L44" s="35"/>
      <c r="M44" s="14"/>
      <c r="N44" s="27"/>
      <c r="O44">
        <v>60</v>
      </c>
      <c r="P44" s="31"/>
      <c r="Q44" s="13"/>
      <c r="R44" s="31"/>
      <c r="S44" s="13"/>
      <c r="T44" s="31"/>
      <c r="U44" s="15"/>
    </row>
    <row r="45" spans="1:21" x14ac:dyDescent="0.25">
      <c r="A45" s="311"/>
      <c r="B45" s="20">
        <v>45209</v>
      </c>
      <c r="C45" s="14" t="s">
        <v>22</v>
      </c>
      <c r="D45" s="27"/>
      <c r="F45" s="31"/>
      <c r="G45" s="13"/>
      <c r="H45" s="35">
        <v>15</v>
      </c>
      <c r="J45" s="35"/>
      <c r="L45" s="35"/>
      <c r="M45" s="14"/>
      <c r="N45" s="27"/>
      <c r="P45" s="31"/>
      <c r="Q45" s="13"/>
      <c r="R45" s="31"/>
      <c r="S45" s="13"/>
      <c r="T45" s="31"/>
      <c r="U45" s="15"/>
    </row>
    <row r="46" spans="1:21" x14ac:dyDescent="0.25">
      <c r="A46" s="311"/>
      <c r="B46" s="20">
        <v>45209</v>
      </c>
      <c r="C46" s="14" t="s">
        <v>22</v>
      </c>
      <c r="D46" s="27">
        <v>1000</v>
      </c>
      <c r="F46" s="31"/>
      <c r="G46" s="13"/>
      <c r="H46" s="35"/>
      <c r="J46" s="35"/>
      <c r="L46" s="35"/>
      <c r="M46" s="14"/>
      <c r="N46" s="27"/>
      <c r="P46" s="31"/>
      <c r="Q46" s="13"/>
      <c r="R46" s="31"/>
      <c r="S46" s="13"/>
      <c r="T46" s="31"/>
      <c r="U46" s="15"/>
    </row>
    <row r="47" spans="1:21" x14ac:dyDescent="0.25">
      <c r="A47" s="311"/>
      <c r="B47" s="20">
        <v>45209</v>
      </c>
      <c r="C47" s="14" t="s">
        <v>22</v>
      </c>
      <c r="D47" s="27">
        <v>500</v>
      </c>
      <c r="F47" s="31"/>
      <c r="G47" s="13"/>
      <c r="H47" s="35"/>
      <c r="J47" s="35"/>
      <c r="L47" s="35"/>
      <c r="M47" s="14"/>
      <c r="N47" s="27"/>
      <c r="P47" s="31"/>
      <c r="Q47" s="13"/>
      <c r="R47" s="31"/>
      <c r="S47" s="13"/>
      <c r="T47" s="31"/>
      <c r="U47" s="15"/>
    </row>
    <row r="48" spans="1:21" x14ac:dyDescent="0.25">
      <c r="A48" s="311"/>
      <c r="B48" s="20">
        <v>45210</v>
      </c>
      <c r="C48" s="14" t="s">
        <v>22</v>
      </c>
      <c r="D48" s="27"/>
      <c r="F48" s="31"/>
      <c r="G48" s="13"/>
      <c r="H48" s="35">
        <v>10</v>
      </c>
      <c r="J48" s="35"/>
      <c r="L48" s="35"/>
      <c r="M48" s="14"/>
      <c r="N48" s="27"/>
      <c r="P48" s="31"/>
      <c r="Q48" s="13"/>
      <c r="R48" s="31"/>
      <c r="S48" s="13"/>
      <c r="T48" s="31"/>
      <c r="U48" s="15"/>
    </row>
    <row r="49" spans="1:21" x14ac:dyDescent="0.25">
      <c r="A49" s="311"/>
      <c r="B49" s="20">
        <v>45210</v>
      </c>
      <c r="C49" s="14" t="s">
        <v>22</v>
      </c>
      <c r="D49" s="27">
        <v>500</v>
      </c>
      <c r="F49" s="31"/>
      <c r="G49" s="13"/>
      <c r="H49" s="35"/>
      <c r="J49" s="35"/>
      <c r="L49" s="35"/>
      <c r="M49" s="14"/>
      <c r="N49" s="27"/>
      <c r="P49" s="31"/>
      <c r="Q49" s="13"/>
      <c r="R49" s="31"/>
      <c r="S49" s="13"/>
      <c r="T49" s="31"/>
      <c r="U49" s="15"/>
    </row>
    <row r="50" spans="1:21" x14ac:dyDescent="0.25">
      <c r="A50" s="311"/>
      <c r="B50" s="20">
        <v>45210</v>
      </c>
      <c r="C50" s="14" t="s">
        <v>22</v>
      </c>
      <c r="D50" s="27">
        <v>1000</v>
      </c>
      <c r="F50" s="31"/>
      <c r="G50" s="13"/>
      <c r="H50" s="35"/>
      <c r="J50" s="35"/>
      <c r="L50" s="35"/>
      <c r="M50" s="14"/>
      <c r="N50" s="27"/>
      <c r="P50" s="31"/>
      <c r="Q50" s="13"/>
      <c r="R50" s="31"/>
      <c r="S50" s="13"/>
      <c r="T50" s="31"/>
      <c r="U50" s="15"/>
    </row>
    <row r="51" spans="1:21" x14ac:dyDescent="0.25">
      <c r="A51" s="311"/>
      <c r="B51" s="20">
        <v>45210</v>
      </c>
      <c r="C51" s="14" t="s">
        <v>22</v>
      </c>
      <c r="D51" s="27">
        <v>1000</v>
      </c>
      <c r="F51" s="31"/>
      <c r="G51" s="13"/>
      <c r="H51" s="35"/>
      <c r="J51" s="35"/>
      <c r="L51" s="35"/>
      <c r="M51" s="14"/>
      <c r="N51" s="27"/>
      <c r="P51" s="31"/>
      <c r="Q51" s="13"/>
      <c r="R51" s="31"/>
      <c r="S51" s="13"/>
      <c r="T51" s="31"/>
      <c r="U51" s="15"/>
    </row>
    <row r="52" spans="1:21" x14ac:dyDescent="0.25">
      <c r="A52" s="311"/>
      <c r="B52" s="20">
        <v>45210</v>
      </c>
      <c r="C52" s="14" t="s">
        <v>22</v>
      </c>
      <c r="D52" s="27">
        <v>2000</v>
      </c>
      <c r="F52" s="31"/>
      <c r="G52" s="13"/>
      <c r="H52" s="35"/>
      <c r="J52" s="35"/>
      <c r="L52" s="35"/>
      <c r="M52" s="14"/>
      <c r="N52" s="27"/>
      <c r="P52" s="31"/>
      <c r="Q52" s="13"/>
      <c r="R52" s="31"/>
      <c r="S52" s="13"/>
      <c r="T52" s="31"/>
      <c r="U52" s="15"/>
    </row>
    <row r="53" spans="1:21" x14ac:dyDescent="0.25">
      <c r="A53" s="311"/>
      <c r="B53" s="20">
        <v>45210</v>
      </c>
      <c r="C53" s="14" t="s">
        <v>22</v>
      </c>
      <c r="D53" s="27"/>
      <c r="F53" s="31"/>
      <c r="G53" s="13"/>
      <c r="H53" s="35"/>
      <c r="J53" s="35"/>
      <c r="L53" s="35"/>
      <c r="M53" s="14"/>
      <c r="N53" s="27"/>
      <c r="P53" s="31"/>
      <c r="Q53" s="13"/>
      <c r="R53" s="31"/>
      <c r="S53" s="13"/>
      <c r="T53" s="31">
        <v>800</v>
      </c>
      <c r="U53" s="15"/>
    </row>
    <row r="54" spans="1:21" x14ac:dyDescent="0.25">
      <c r="A54" s="311"/>
      <c r="B54" s="20">
        <v>45211</v>
      </c>
      <c r="C54" s="14" t="s">
        <v>22</v>
      </c>
      <c r="D54" s="27"/>
      <c r="F54" s="31"/>
      <c r="G54" s="13"/>
      <c r="H54" s="35"/>
      <c r="J54" s="35"/>
      <c r="L54" s="35"/>
      <c r="M54" s="14"/>
      <c r="N54" s="27"/>
      <c r="P54" s="31"/>
      <c r="Q54" s="13"/>
      <c r="R54" s="31">
        <v>55</v>
      </c>
      <c r="S54" s="13"/>
      <c r="T54" s="31"/>
      <c r="U54" s="15"/>
    </row>
    <row r="55" spans="1:21" x14ac:dyDescent="0.25">
      <c r="A55" s="311"/>
      <c r="B55" s="20">
        <v>45211</v>
      </c>
      <c r="C55" s="14" t="s">
        <v>29</v>
      </c>
      <c r="D55" s="27">
        <v>1000</v>
      </c>
      <c r="F55" s="31"/>
      <c r="G55" s="13"/>
      <c r="H55" s="35"/>
      <c r="J55" s="35"/>
      <c r="L55" s="35"/>
      <c r="M55" s="14"/>
      <c r="N55" s="27"/>
      <c r="P55" s="31"/>
      <c r="Q55" s="13">
        <v>500</v>
      </c>
      <c r="R55" s="31"/>
      <c r="S55" s="13"/>
      <c r="T55" s="31"/>
      <c r="U55" s="15"/>
    </row>
    <row r="56" spans="1:21" x14ac:dyDescent="0.25">
      <c r="A56" s="311"/>
      <c r="B56" s="20">
        <v>45211</v>
      </c>
      <c r="C56" s="14" t="s">
        <v>29</v>
      </c>
      <c r="D56" s="27"/>
      <c r="F56" s="31"/>
      <c r="G56" s="13"/>
      <c r="H56" s="35"/>
      <c r="J56" s="35"/>
      <c r="L56" s="35"/>
      <c r="M56" s="14"/>
      <c r="N56" s="27"/>
      <c r="P56" s="31"/>
      <c r="Q56" s="13"/>
      <c r="R56" s="31"/>
      <c r="S56" s="13"/>
      <c r="T56" s="31"/>
      <c r="U56" s="15"/>
    </row>
    <row r="57" spans="1:21" x14ac:dyDescent="0.25">
      <c r="A57" s="311"/>
      <c r="B57" s="20">
        <v>45212</v>
      </c>
      <c r="C57" s="14" t="s">
        <v>22</v>
      </c>
      <c r="D57" s="27"/>
      <c r="F57" s="31"/>
      <c r="G57" s="13"/>
      <c r="H57" s="35"/>
      <c r="J57" s="35"/>
      <c r="L57" s="35"/>
      <c r="M57" s="14"/>
      <c r="N57" s="27"/>
      <c r="O57">
        <v>124</v>
      </c>
      <c r="P57" s="31"/>
      <c r="Q57" s="13"/>
      <c r="R57" s="31"/>
      <c r="S57" s="13"/>
      <c r="T57" s="31"/>
      <c r="U57" s="15"/>
    </row>
    <row r="58" spans="1:21" x14ac:dyDescent="0.25">
      <c r="A58" s="311"/>
      <c r="B58" s="20">
        <v>45212</v>
      </c>
      <c r="C58" s="14" t="s">
        <v>22</v>
      </c>
      <c r="D58" s="27"/>
      <c r="F58" s="31"/>
      <c r="G58" s="13"/>
      <c r="H58" s="35"/>
      <c r="J58" s="35"/>
      <c r="L58" s="35"/>
      <c r="M58" s="14"/>
      <c r="N58" s="27"/>
      <c r="O58">
        <v>320</v>
      </c>
      <c r="P58" s="31"/>
      <c r="Q58" s="13"/>
      <c r="R58" s="31"/>
      <c r="S58" s="13"/>
      <c r="T58" s="31"/>
      <c r="U58" s="15"/>
    </row>
    <row r="59" spans="1:21" x14ac:dyDescent="0.25">
      <c r="A59" s="311"/>
      <c r="B59" s="20">
        <v>45213</v>
      </c>
      <c r="C59" s="14" t="s">
        <v>22</v>
      </c>
      <c r="D59" s="27"/>
      <c r="F59" s="31"/>
      <c r="G59" s="13"/>
      <c r="H59" s="35"/>
      <c r="J59" s="35"/>
      <c r="L59" s="35"/>
      <c r="M59" s="14"/>
      <c r="N59" s="27"/>
      <c r="O59">
        <v>450</v>
      </c>
      <c r="P59" s="31"/>
      <c r="Q59" s="13"/>
      <c r="R59" s="31"/>
      <c r="S59" s="13"/>
      <c r="T59" s="31"/>
      <c r="U59" s="15"/>
    </row>
    <row r="60" spans="1:21" x14ac:dyDescent="0.25">
      <c r="A60" s="311"/>
      <c r="B60" s="20">
        <v>45215</v>
      </c>
      <c r="C60" s="14" t="s">
        <v>22</v>
      </c>
      <c r="D60" s="27"/>
      <c r="F60" s="31"/>
      <c r="G60" s="13"/>
      <c r="H60" s="35"/>
      <c r="J60" s="35"/>
      <c r="L60" s="35"/>
      <c r="M60" s="14"/>
      <c r="N60" s="27"/>
      <c r="P60" s="31"/>
      <c r="Q60" s="13"/>
      <c r="R60" s="31"/>
      <c r="S60" s="13"/>
      <c r="T60" s="31">
        <v>320</v>
      </c>
      <c r="U60" s="15"/>
    </row>
    <row r="61" spans="1:21" x14ac:dyDescent="0.25">
      <c r="A61" s="311"/>
      <c r="B61" s="20">
        <v>45215</v>
      </c>
      <c r="C61" s="14" t="s">
        <v>22</v>
      </c>
      <c r="D61" s="27">
        <v>2430</v>
      </c>
      <c r="F61" s="31"/>
      <c r="G61" s="13"/>
      <c r="H61" s="35"/>
      <c r="J61" s="35"/>
      <c r="L61" s="35"/>
      <c r="M61" s="14"/>
      <c r="N61" s="27"/>
      <c r="P61" s="31"/>
      <c r="Q61" s="13"/>
      <c r="R61" s="31"/>
      <c r="S61" s="13"/>
      <c r="T61" s="31"/>
      <c r="U61" s="15"/>
    </row>
    <row r="62" spans="1:21" x14ac:dyDescent="0.25">
      <c r="A62" s="311"/>
      <c r="B62" s="20">
        <v>45215</v>
      </c>
      <c r="C62" s="14" t="s">
        <v>22</v>
      </c>
      <c r="D62" s="27"/>
      <c r="F62" s="31"/>
      <c r="G62" s="13"/>
      <c r="H62" s="35"/>
      <c r="J62" s="35"/>
      <c r="L62" s="35"/>
      <c r="M62" s="14"/>
      <c r="N62" s="27"/>
      <c r="O62">
        <v>50</v>
      </c>
      <c r="P62" s="31"/>
      <c r="Q62" s="13"/>
      <c r="R62" s="31"/>
      <c r="S62" s="13"/>
      <c r="T62" s="31"/>
      <c r="U62" s="15"/>
    </row>
    <row r="63" spans="1:21" x14ac:dyDescent="0.25">
      <c r="A63" s="311"/>
      <c r="B63" s="20"/>
      <c r="C63" s="14"/>
      <c r="D63" s="27"/>
      <c r="F63" s="31"/>
      <c r="G63" s="13"/>
      <c r="H63" s="35"/>
      <c r="J63" s="35"/>
      <c r="L63" s="35"/>
      <c r="M63" s="14"/>
      <c r="N63" s="27"/>
      <c r="P63" s="31"/>
      <c r="Q63" s="13"/>
      <c r="R63" s="31"/>
      <c r="S63" s="13"/>
      <c r="T63" s="31"/>
      <c r="U63" s="15"/>
    </row>
    <row r="64" spans="1:21" ht="15.75" thickBot="1" x14ac:dyDescent="0.3">
      <c r="A64" s="312"/>
      <c r="B64" s="13"/>
      <c r="C64" s="14"/>
      <c r="D64" s="27"/>
      <c r="F64" s="31"/>
      <c r="G64" s="13"/>
      <c r="H64" s="35"/>
      <c r="J64" s="35"/>
      <c r="L64" s="35"/>
      <c r="M64" s="14"/>
      <c r="N64" s="27"/>
      <c r="P64" s="31"/>
      <c r="Q64" s="13"/>
      <c r="R64" s="31"/>
      <c r="S64" s="13"/>
      <c r="T64" s="31"/>
      <c r="U64" s="15"/>
    </row>
    <row r="65" spans="1:22" ht="21.75" thickBot="1" x14ac:dyDescent="0.3">
      <c r="A65" s="21" t="s">
        <v>23</v>
      </c>
      <c r="B65" s="22"/>
      <c r="C65" s="23"/>
      <c r="D65" s="29">
        <f>SUM(D4:D16)-SUM(D17:D64)</f>
        <v>3600</v>
      </c>
      <c r="E65" s="24">
        <f t="shared" ref="E65:U65" si="0">SUM(E4:E16)-SUM(E17:E64)</f>
        <v>904</v>
      </c>
      <c r="F65" s="33">
        <f t="shared" si="0"/>
        <v>284</v>
      </c>
      <c r="G65" s="22">
        <f t="shared" si="0"/>
        <v>1136</v>
      </c>
      <c r="H65" s="37">
        <f t="shared" si="0"/>
        <v>1295</v>
      </c>
      <c r="I65" s="24">
        <f t="shared" si="0"/>
        <v>885</v>
      </c>
      <c r="J65" s="37">
        <f t="shared" si="0"/>
        <v>2249</v>
      </c>
      <c r="K65" s="24">
        <f t="shared" si="0"/>
        <v>1652</v>
      </c>
      <c r="L65" s="37">
        <f t="shared" si="0"/>
        <v>402</v>
      </c>
      <c r="M65" s="23">
        <f t="shared" si="0"/>
        <v>103</v>
      </c>
      <c r="N65" s="29">
        <f t="shared" si="0"/>
        <v>11</v>
      </c>
      <c r="O65" s="24">
        <f t="shared" si="0"/>
        <v>708</v>
      </c>
      <c r="P65" s="33">
        <f t="shared" si="0"/>
        <v>266</v>
      </c>
      <c r="Q65" s="22">
        <f t="shared" si="0"/>
        <v>1221</v>
      </c>
      <c r="R65" s="33">
        <f t="shared" si="0"/>
        <v>322</v>
      </c>
      <c r="S65" s="22">
        <f t="shared" si="0"/>
        <v>3025</v>
      </c>
      <c r="T65" s="33">
        <f t="shared" si="0"/>
        <v>3338</v>
      </c>
      <c r="U65" s="25">
        <f t="shared" si="0"/>
        <v>52</v>
      </c>
    </row>
    <row r="67" spans="1:22" x14ac:dyDescent="0.25">
      <c r="D67">
        <f>+D65*0.38</f>
        <v>1368</v>
      </c>
      <c r="E67">
        <f>+E65*0.38</f>
        <v>343.52</v>
      </c>
      <c r="F67">
        <f>+F65*0.48</f>
        <v>136.32</v>
      </c>
      <c r="G67">
        <f>+G65*0.64</f>
        <v>727.04</v>
      </c>
      <c r="H67">
        <f>+H65*0.6</f>
        <v>777</v>
      </c>
      <c r="I67">
        <f>+I65*0.89</f>
        <v>787.65</v>
      </c>
      <c r="J67">
        <f>+J65*0.68</f>
        <v>1529.3200000000002</v>
      </c>
      <c r="K67">
        <f>+K65*0.66</f>
        <v>1090.3200000000002</v>
      </c>
      <c r="L67">
        <f>+L65*0.7</f>
        <v>281.39999999999998</v>
      </c>
      <c r="M67">
        <f>+M65*0.62</f>
        <v>63.86</v>
      </c>
      <c r="N67">
        <f>+N65*2.3</f>
        <v>25.299999999999997</v>
      </c>
      <c r="O67">
        <f>+O65*1.77</f>
        <v>1253.1600000000001</v>
      </c>
      <c r="P67">
        <f>+P65*2.35</f>
        <v>625.1</v>
      </c>
      <c r="Q67">
        <f>+Q65*1.92</f>
        <v>2344.3199999999997</v>
      </c>
      <c r="R67">
        <f>+R65*2.45</f>
        <v>788.90000000000009</v>
      </c>
      <c r="S67">
        <f>+S65*0.42</f>
        <v>1270.5</v>
      </c>
      <c r="T67">
        <f>+T65*0.32</f>
        <v>1068.1600000000001</v>
      </c>
      <c r="U67">
        <f>+U65*2</f>
        <v>104</v>
      </c>
      <c r="V67">
        <f>SUM(D67:U67)</f>
        <v>14583.869999999999</v>
      </c>
    </row>
    <row r="71" spans="1:22" x14ac:dyDescent="0.25">
      <c r="F71" s="38">
        <v>0.625</v>
      </c>
      <c r="G71" s="39">
        <v>4</v>
      </c>
    </row>
    <row r="72" spans="1:22" x14ac:dyDescent="0.25">
      <c r="F72" s="38">
        <v>0.5</v>
      </c>
      <c r="G72" s="39">
        <v>14</v>
      </c>
    </row>
    <row r="73" spans="1:22" x14ac:dyDescent="0.25">
      <c r="F73" s="38">
        <v>12</v>
      </c>
      <c r="G73" s="39">
        <v>2</v>
      </c>
    </row>
    <row r="74" spans="1:22" x14ac:dyDescent="0.25">
      <c r="F74" s="38">
        <v>0.375</v>
      </c>
      <c r="G74" s="39">
        <v>6</v>
      </c>
    </row>
    <row r="75" spans="1:22" x14ac:dyDescent="0.25">
      <c r="F75" s="38">
        <v>8</v>
      </c>
      <c r="G75" s="39">
        <v>4</v>
      </c>
    </row>
    <row r="76" spans="1:22" x14ac:dyDescent="0.25">
      <c r="F76" s="38">
        <v>6</v>
      </c>
      <c r="G76" s="39">
        <v>2</v>
      </c>
    </row>
    <row r="77" spans="1:22" x14ac:dyDescent="0.25">
      <c r="F77" s="38"/>
      <c r="G77" s="39">
        <f>SUM(G71:G76)</f>
        <v>32</v>
      </c>
    </row>
  </sheetData>
  <mergeCells count="7">
    <mergeCell ref="S2:T2"/>
    <mergeCell ref="A4:A16"/>
    <mergeCell ref="A17:A64"/>
    <mergeCell ref="D2:F2"/>
    <mergeCell ref="G2:M2"/>
    <mergeCell ref="N2:P2"/>
    <mergeCell ref="Q2:R2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99B5-09C1-4FA6-BA33-B574E0C19313}">
  <sheetPr codeName="Hoja2"/>
  <dimension ref="A1:X36"/>
  <sheetViews>
    <sheetView zoomScale="70" zoomScaleNormal="7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F29" sqref="F29"/>
    </sheetView>
  </sheetViews>
  <sheetFormatPr baseColWidth="10" defaultRowHeight="15" x14ac:dyDescent="0.25"/>
  <cols>
    <col min="2" max="2" width="12" bestFit="1" customWidth="1"/>
    <col min="3" max="3" width="15.85546875" bestFit="1" customWidth="1"/>
    <col min="4" max="4" width="10.42578125" bestFit="1" customWidth="1"/>
    <col min="5" max="5" width="10.42578125" customWidth="1"/>
    <col min="6" max="6" width="16.5703125" customWidth="1"/>
    <col min="7" max="7" width="9.42578125" bestFit="1" customWidth="1"/>
    <col min="8" max="9" width="18.28515625" bestFit="1" customWidth="1"/>
    <col min="10" max="10" width="7.5703125" bestFit="1" customWidth="1"/>
    <col min="11" max="11" width="15.140625" bestFit="1" customWidth="1"/>
    <col min="12" max="12" width="19.7109375" bestFit="1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9.42578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3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9</v>
      </c>
      <c r="G3" s="8" t="s">
        <v>10</v>
      </c>
      <c r="H3" s="9" t="s">
        <v>9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9</v>
      </c>
    </row>
    <row r="4" spans="1:23" x14ac:dyDescent="0.25">
      <c r="A4" s="310" t="s">
        <v>19</v>
      </c>
      <c r="B4" s="1"/>
      <c r="C4" s="2" t="s">
        <v>20</v>
      </c>
      <c r="D4" s="42">
        <v>3550</v>
      </c>
      <c r="E4" s="41">
        <v>2852</v>
      </c>
      <c r="F4" s="41">
        <v>906</v>
      </c>
      <c r="G4" s="43">
        <v>206</v>
      </c>
      <c r="H4" s="42">
        <v>1000</v>
      </c>
      <c r="I4" s="41">
        <v>1309</v>
      </c>
      <c r="J4" s="41">
        <v>886</v>
      </c>
      <c r="K4" s="41">
        <v>2239</v>
      </c>
      <c r="L4" s="41">
        <v>1652</v>
      </c>
      <c r="M4" s="41">
        <v>405</v>
      </c>
      <c r="N4" s="43">
        <v>100</v>
      </c>
      <c r="O4" s="26"/>
      <c r="P4" s="41">
        <v>701</v>
      </c>
      <c r="Q4" s="31"/>
      <c r="R4" s="42">
        <v>1166</v>
      </c>
      <c r="S4" s="43">
        <v>308</v>
      </c>
      <c r="T4" s="42">
        <v>3020</v>
      </c>
      <c r="U4" s="43">
        <v>3324</v>
      </c>
      <c r="V4" s="30">
        <v>278</v>
      </c>
      <c r="W4" s="44">
        <v>52</v>
      </c>
    </row>
    <row r="5" spans="1:23" x14ac:dyDescent="0.25">
      <c r="A5" s="311"/>
      <c r="B5" s="20">
        <v>45216</v>
      </c>
      <c r="C5" s="14" t="s">
        <v>24</v>
      </c>
      <c r="D5" s="27"/>
      <c r="G5" s="31"/>
      <c r="H5" s="13"/>
      <c r="I5" s="35"/>
      <c r="K5" s="35">
        <v>3500</v>
      </c>
      <c r="M5" s="35"/>
      <c r="N5" s="14"/>
      <c r="O5" s="27"/>
      <c r="Q5" s="31"/>
      <c r="R5" s="13"/>
      <c r="S5" s="31"/>
      <c r="T5" s="13"/>
      <c r="U5" s="31"/>
      <c r="V5" s="31"/>
      <c r="W5" s="15"/>
    </row>
    <row r="6" spans="1:23" x14ac:dyDescent="0.25">
      <c r="A6" s="311"/>
      <c r="B6" s="20">
        <v>45216</v>
      </c>
      <c r="C6" s="14" t="s">
        <v>27</v>
      </c>
      <c r="D6" s="27"/>
      <c r="G6" s="31"/>
      <c r="H6" s="13"/>
      <c r="I6" s="35"/>
      <c r="K6" s="35"/>
      <c r="M6" s="35"/>
      <c r="N6" s="14"/>
      <c r="O6" s="27">
        <v>1200</v>
      </c>
      <c r="Q6" s="31"/>
      <c r="R6" s="13"/>
      <c r="S6" s="31"/>
      <c r="T6" s="13"/>
      <c r="U6" s="31"/>
      <c r="V6" s="31"/>
      <c r="W6" s="15"/>
    </row>
    <row r="7" spans="1:23" x14ac:dyDescent="0.25">
      <c r="A7" s="311"/>
      <c r="B7" s="20">
        <v>45218</v>
      </c>
      <c r="C7" s="14" t="s">
        <v>27</v>
      </c>
      <c r="D7" s="27"/>
      <c r="G7" s="31"/>
      <c r="H7" s="13"/>
      <c r="I7" s="35"/>
      <c r="K7" s="35"/>
      <c r="M7" s="35"/>
      <c r="N7" s="14"/>
      <c r="O7" s="27"/>
      <c r="P7">
        <v>1200</v>
      </c>
      <c r="Q7" s="31"/>
      <c r="R7" s="13"/>
      <c r="S7" s="31"/>
      <c r="T7" s="13"/>
      <c r="U7" s="31"/>
      <c r="V7" s="31"/>
      <c r="W7" s="15"/>
    </row>
    <row r="8" spans="1:23" x14ac:dyDescent="0.25">
      <c r="A8" s="311"/>
      <c r="B8" s="20">
        <v>45219</v>
      </c>
      <c r="C8" s="14" t="s">
        <v>25</v>
      </c>
      <c r="D8" s="27">
        <v>2670</v>
      </c>
      <c r="G8" s="31"/>
      <c r="H8" s="13"/>
      <c r="I8" s="35"/>
      <c r="K8" s="35"/>
      <c r="M8" s="35"/>
      <c r="N8" s="14"/>
      <c r="O8" s="27"/>
      <c r="Q8" s="31"/>
      <c r="R8" s="13"/>
      <c r="S8" s="31"/>
      <c r="T8" s="13"/>
      <c r="U8" s="31"/>
      <c r="V8" s="31"/>
      <c r="W8" s="15"/>
    </row>
    <row r="9" spans="1:23" x14ac:dyDescent="0.25">
      <c r="A9" s="311"/>
      <c r="B9" s="20">
        <v>45220</v>
      </c>
      <c r="C9" s="14" t="s">
        <v>24</v>
      </c>
      <c r="D9" s="27"/>
      <c r="G9" s="31"/>
      <c r="H9" s="13"/>
      <c r="I9" s="35"/>
      <c r="K9" s="35"/>
      <c r="M9" s="35"/>
      <c r="N9" s="14"/>
      <c r="O9" s="27"/>
      <c r="Q9" s="31"/>
      <c r="R9" s="13">
        <v>1000</v>
      </c>
      <c r="S9" s="31"/>
      <c r="T9" s="13"/>
      <c r="U9" s="31"/>
      <c r="V9" s="31"/>
      <c r="W9" s="15"/>
    </row>
    <row r="10" spans="1:23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32"/>
      <c r="T10" s="16"/>
      <c r="U10" s="32"/>
      <c r="V10" s="32"/>
      <c r="W10" s="19"/>
    </row>
    <row r="11" spans="1:23" x14ac:dyDescent="0.25">
      <c r="A11" s="310" t="s">
        <v>21</v>
      </c>
      <c r="B11" s="20">
        <v>45216</v>
      </c>
      <c r="C11" s="14" t="s">
        <v>22</v>
      </c>
      <c r="D11" s="27"/>
      <c r="G11" s="31"/>
      <c r="H11" s="13"/>
      <c r="I11" s="35"/>
      <c r="K11" s="35"/>
      <c r="M11" s="35"/>
      <c r="N11" s="14"/>
      <c r="O11" s="27"/>
      <c r="P11">
        <v>130</v>
      </c>
      <c r="Q11" s="31"/>
      <c r="R11" s="13"/>
      <c r="S11" s="31"/>
      <c r="T11" s="13"/>
      <c r="U11" s="31">
        <v>20</v>
      </c>
      <c r="V11" s="31"/>
      <c r="W11" s="15"/>
    </row>
    <row r="12" spans="1:23" x14ac:dyDescent="0.25">
      <c r="A12" s="311"/>
      <c r="B12" s="20">
        <v>45216</v>
      </c>
      <c r="C12" s="14" t="s">
        <v>32</v>
      </c>
      <c r="D12" s="27"/>
      <c r="G12" s="31"/>
      <c r="H12" s="13"/>
      <c r="I12" s="35"/>
      <c r="K12" s="35">
        <v>1200</v>
      </c>
      <c r="M12" s="35"/>
      <c r="N12" s="14"/>
      <c r="O12" s="27"/>
      <c r="Q12" s="31"/>
      <c r="R12" s="13"/>
      <c r="S12" s="31"/>
      <c r="T12" s="13"/>
      <c r="U12" s="31"/>
      <c r="V12" s="31"/>
      <c r="W12" s="15"/>
    </row>
    <row r="13" spans="1:23" x14ac:dyDescent="0.25">
      <c r="A13" s="311"/>
      <c r="B13" s="20">
        <v>45216</v>
      </c>
      <c r="C13" s="14" t="s">
        <v>33</v>
      </c>
      <c r="D13" s="27"/>
      <c r="G13" s="31"/>
      <c r="H13" s="13"/>
      <c r="I13" s="35"/>
      <c r="K13" s="35"/>
      <c r="M13" s="35"/>
      <c r="N13" s="14"/>
      <c r="O13" s="27">
        <v>280</v>
      </c>
      <c r="Q13" s="31"/>
      <c r="R13" s="13"/>
      <c r="S13" s="31"/>
      <c r="T13" s="13"/>
      <c r="U13" s="31"/>
      <c r="V13" s="31"/>
      <c r="W13" s="15"/>
    </row>
    <row r="14" spans="1:23" x14ac:dyDescent="0.25">
      <c r="A14" s="311"/>
      <c r="B14" s="20">
        <v>45217</v>
      </c>
      <c r="C14" s="14" t="s">
        <v>22</v>
      </c>
      <c r="D14" s="27"/>
      <c r="G14" s="31"/>
      <c r="H14" s="13">
        <v>450</v>
      </c>
      <c r="I14" s="35"/>
      <c r="K14" s="35"/>
      <c r="M14" s="35"/>
      <c r="N14" s="14"/>
      <c r="O14" s="27"/>
      <c r="Q14" s="31"/>
      <c r="R14" s="13"/>
      <c r="S14" s="31"/>
      <c r="T14" s="13"/>
      <c r="U14" s="31"/>
      <c r="V14" s="31"/>
      <c r="W14" s="15"/>
    </row>
    <row r="15" spans="1:23" x14ac:dyDescent="0.25">
      <c r="A15" s="311"/>
      <c r="B15" s="20">
        <v>45218</v>
      </c>
      <c r="C15" s="14" t="s">
        <v>29</v>
      </c>
      <c r="D15" s="27"/>
      <c r="G15" s="31"/>
      <c r="H15" s="13"/>
      <c r="I15" s="35"/>
      <c r="K15" s="35"/>
      <c r="M15" s="35"/>
      <c r="N15" s="14"/>
      <c r="O15" s="27"/>
      <c r="Q15" s="31"/>
      <c r="R15" s="13">
        <v>800</v>
      </c>
      <c r="S15" s="31"/>
      <c r="T15" s="13"/>
      <c r="U15" s="31"/>
      <c r="V15" s="31"/>
      <c r="W15" s="15"/>
    </row>
    <row r="16" spans="1:23" x14ac:dyDescent="0.25">
      <c r="A16" s="311"/>
      <c r="B16" s="20">
        <v>45218</v>
      </c>
      <c r="C16" s="14" t="s">
        <v>22</v>
      </c>
      <c r="D16" s="27"/>
      <c r="G16" s="31"/>
      <c r="H16" s="13"/>
      <c r="I16" s="35"/>
      <c r="K16" s="35"/>
      <c r="M16" s="35"/>
      <c r="N16" s="14"/>
      <c r="O16" s="27"/>
      <c r="P16">
        <f>280+780</f>
        <v>1060</v>
      </c>
      <c r="Q16" s="31"/>
      <c r="R16" s="13"/>
      <c r="S16" s="31"/>
      <c r="T16" s="13"/>
      <c r="U16" s="31"/>
      <c r="V16" s="31"/>
      <c r="W16" s="15"/>
    </row>
    <row r="17" spans="1:24" x14ac:dyDescent="0.25">
      <c r="A17" s="311"/>
      <c r="B17" s="20">
        <v>45219</v>
      </c>
      <c r="C17" s="14" t="s">
        <v>22</v>
      </c>
      <c r="D17" s="27"/>
      <c r="G17" s="31"/>
      <c r="H17" s="13"/>
      <c r="I17" s="35"/>
      <c r="K17" s="35"/>
      <c r="M17" s="35"/>
      <c r="N17" s="14"/>
      <c r="O17" s="27"/>
      <c r="Q17" s="31"/>
      <c r="R17" s="13"/>
      <c r="S17" s="31"/>
      <c r="T17" s="13">
        <v>130</v>
      </c>
      <c r="U17" s="31">
        <v>70</v>
      </c>
      <c r="V17" s="31"/>
      <c r="W17" s="15"/>
    </row>
    <row r="18" spans="1:24" x14ac:dyDescent="0.25">
      <c r="A18" s="311"/>
      <c r="B18" s="20">
        <v>45220</v>
      </c>
      <c r="C18" s="14" t="s">
        <v>22</v>
      </c>
      <c r="D18" s="27">
        <f>150+1500+1000</f>
        <v>2650</v>
      </c>
      <c r="E18">
        <v>6</v>
      </c>
      <c r="G18" s="31"/>
      <c r="H18" s="13"/>
      <c r="I18" s="35"/>
      <c r="K18" s="35"/>
      <c r="M18" s="35"/>
      <c r="N18" s="14"/>
      <c r="O18" s="27"/>
      <c r="Q18" s="31"/>
      <c r="R18" s="13"/>
      <c r="S18" s="31"/>
      <c r="T18" s="13"/>
      <c r="U18" s="31"/>
      <c r="V18" s="31"/>
      <c r="W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/>
      <c r="V19" s="31"/>
      <c r="W19" s="15"/>
    </row>
    <row r="20" spans="1:24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S21" s="31"/>
      <c r="T21" s="13"/>
      <c r="U21" s="31"/>
      <c r="V21" s="31"/>
      <c r="W21" s="15"/>
    </row>
    <row r="22" spans="1:24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S22" s="31"/>
      <c r="T22" s="13"/>
      <c r="U22" s="31"/>
      <c r="V22" s="31"/>
      <c r="W22" s="15"/>
    </row>
    <row r="23" spans="1:24" ht="15.75" thickBot="1" x14ac:dyDescent="0.3">
      <c r="A23" s="312"/>
      <c r="B23" s="13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S23" s="31"/>
      <c r="T23" s="13"/>
      <c r="U23" s="31"/>
      <c r="V23" s="31"/>
      <c r="W23" s="15"/>
    </row>
    <row r="24" spans="1:24" ht="21.75" thickBot="1" x14ac:dyDescent="0.3">
      <c r="A24" s="21" t="s">
        <v>23</v>
      </c>
      <c r="B24" s="22"/>
      <c r="C24" s="23"/>
      <c r="D24" s="29">
        <f t="shared" ref="D24:W24" si="0">SUM(D4:D10)-SUM(D11:D23)</f>
        <v>3570</v>
      </c>
      <c r="E24" s="22">
        <f t="shared" si="0"/>
        <v>2846</v>
      </c>
      <c r="F24" s="24">
        <f t="shared" si="0"/>
        <v>906</v>
      </c>
      <c r="G24" s="33">
        <f t="shared" si="0"/>
        <v>206</v>
      </c>
      <c r="H24" s="22">
        <f t="shared" si="0"/>
        <v>550</v>
      </c>
      <c r="I24" s="37">
        <f t="shared" si="0"/>
        <v>1309</v>
      </c>
      <c r="J24" s="24">
        <f t="shared" si="0"/>
        <v>886</v>
      </c>
      <c r="K24" s="37">
        <f t="shared" si="0"/>
        <v>4539</v>
      </c>
      <c r="L24" s="24">
        <f t="shared" si="0"/>
        <v>1652</v>
      </c>
      <c r="M24" s="37">
        <f t="shared" si="0"/>
        <v>405</v>
      </c>
      <c r="N24" s="23">
        <f t="shared" si="0"/>
        <v>100</v>
      </c>
      <c r="O24" s="29">
        <f t="shared" si="0"/>
        <v>920</v>
      </c>
      <c r="P24" s="24">
        <f t="shared" si="0"/>
        <v>711</v>
      </c>
      <c r="Q24" s="33">
        <f t="shared" si="0"/>
        <v>0</v>
      </c>
      <c r="R24" s="22">
        <f t="shared" si="0"/>
        <v>1366</v>
      </c>
      <c r="S24" s="33">
        <f t="shared" si="0"/>
        <v>308</v>
      </c>
      <c r="T24" s="22">
        <f t="shared" si="0"/>
        <v>2890</v>
      </c>
      <c r="U24" s="33">
        <f t="shared" si="0"/>
        <v>3234</v>
      </c>
      <c r="V24" s="33">
        <f t="shared" si="0"/>
        <v>278</v>
      </c>
      <c r="W24" s="25">
        <f t="shared" si="0"/>
        <v>52</v>
      </c>
    </row>
    <row r="26" spans="1:24" x14ac:dyDescent="0.25">
      <c r="D26">
        <f>+D24*0.38</f>
        <v>1356.6</v>
      </c>
      <c r="E26">
        <f>+E24*0.41</f>
        <v>1166.8599999999999</v>
      </c>
      <c r="F26">
        <f>+F24*0.38</f>
        <v>344.28000000000003</v>
      </c>
      <c r="G26">
        <f>+G24*0.48</f>
        <v>98.88</v>
      </c>
      <c r="H26">
        <f>+H24*0.64</f>
        <v>352</v>
      </c>
      <c r="I26">
        <f>+I24*0.6</f>
        <v>785.4</v>
      </c>
      <c r="J26">
        <f>+J24*0.89</f>
        <v>788.54</v>
      </c>
      <c r="K26">
        <f>+K24*0.68</f>
        <v>3086.5200000000004</v>
      </c>
      <c r="L26">
        <f>+L24*0.66</f>
        <v>1090.3200000000002</v>
      </c>
      <c r="M26">
        <f>+M24*0.7</f>
        <v>283.5</v>
      </c>
      <c r="N26">
        <f>+N24*0.62</f>
        <v>62</v>
      </c>
      <c r="O26">
        <f>+O24*2.3</f>
        <v>2116</v>
      </c>
      <c r="P26">
        <f>+P24*1.77</f>
        <v>1258.47</v>
      </c>
      <c r="Q26">
        <f>+Q24*2.35</f>
        <v>0</v>
      </c>
      <c r="R26">
        <f>+R24*1.92</f>
        <v>2622.72</v>
      </c>
      <c r="S26">
        <f>+S24*2.45</f>
        <v>754.6</v>
      </c>
      <c r="T26">
        <f>+T24*0.42</f>
        <v>1213.8</v>
      </c>
      <c r="U26">
        <f>+U24*0.32</f>
        <v>1034.8800000000001</v>
      </c>
      <c r="V26">
        <f>+V24*0.8</f>
        <v>222.4</v>
      </c>
      <c r="W26">
        <f>+W24*2</f>
        <v>104</v>
      </c>
      <c r="X26">
        <f>SUM(D26:W26)</f>
        <v>18741.770000000004</v>
      </c>
    </row>
    <row r="30" spans="1:24" x14ac:dyDescent="0.25">
      <c r="G30" s="38">
        <v>0.625</v>
      </c>
      <c r="H30" s="39">
        <v>4</v>
      </c>
    </row>
    <row r="31" spans="1:24" x14ac:dyDescent="0.25">
      <c r="G31" s="38">
        <v>0.5</v>
      </c>
      <c r="H31" s="39">
        <v>14</v>
      </c>
    </row>
    <row r="32" spans="1:24" x14ac:dyDescent="0.25">
      <c r="G32" s="38">
        <v>12</v>
      </c>
      <c r="H32" s="39">
        <v>2</v>
      </c>
    </row>
    <row r="33" spans="7:8" x14ac:dyDescent="0.25">
      <c r="G33" s="38">
        <v>0.375</v>
      </c>
      <c r="H33" s="39">
        <v>6</v>
      </c>
    </row>
    <row r="34" spans="7:8" x14ac:dyDescent="0.25">
      <c r="G34" s="38">
        <v>8</v>
      </c>
      <c r="H34" s="39">
        <v>4</v>
      </c>
    </row>
    <row r="35" spans="7:8" x14ac:dyDescent="0.25">
      <c r="G35" s="38">
        <v>6</v>
      </c>
      <c r="H35" s="39">
        <v>2</v>
      </c>
    </row>
    <row r="36" spans="7:8" x14ac:dyDescent="0.25">
      <c r="G36" s="38"/>
      <c r="H36" s="39">
        <f>SUM(H30:H35)</f>
        <v>32</v>
      </c>
    </row>
  </sheetData>
  <mergeCells count="7">
    <mergeCell ref="T2:U2"/>
    <mergeCell ref="A4:A10"/>
    <mergeCell ref="A11:A23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  <colBreaks count="1" manualBreakCount="1">
    <brk id="23" max="2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7050-9FFD-47C8-BA82-83FDDC242106}">
  <sheetPr codeName="Hoja3"/>
  <dimension ref="A1:X37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27" sqref="H27"/>
    </sheetView>
  </sheetViews>
  <sheetFormatPr baseColWidth="10" defaultRowHeight="15" x14ac:dyDescent="0.25"/>
  <cols>
    <col min="2" max="2" width="12" bestFit="1" customWidth="1"/>
    <col min="3" max="3" width="15.85546875" bestFit="1" customWidth="1"/>
    <col min="4" max="4" width="10.42578125" bestFit="1" customWidth="1"/>
    <col min="5" max="5" width="10.42578125" customWidth="1"/>
    <col min="6" max="6" width="16.5703125" customWidth="1"/>
    <col min="7" max="7" width="9.42578125" bestFit="1" customWidth="1"/>
    <col min="8" max="9" width="18.28515625" bestFit="1" customWidth="1"/>
    <col min="10" max="10" width="7.5703125" bestFit="1" customWidth="1"/>
    <col min="11" max="11" width="15.140625" bestFit="1" customWidth="1"/>
    <col min="12" max="12" width="19.7109375" bestFit="1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9.42578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3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9</v>
      </c>
      <c r="G3" s="8" t="s">
        <v>10</v>
      </c>
      <c r="H3" s="9" t="s">
        <v>9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9</v>
      </c>
    </row>
    <row r="4" spans="1:23" x14ac:dyDescent="0.25">
      <c r="A4" s="310" t="s">
        <v>19</v>
      </c>
      <c r="B4" s="1"/>
      <c r="C4" s="2" t="s">
        <v>20</v>
      </c>
      <c r="D4" s="42">
        <f>'STOCK 16 a 21'!D24</f>
        <v>3570</v>
      </c>
      <c r="E4" s="42">
        <f>'STOCK 16 a 21'!E24</f>
        <v>2846</v>
      </c>
      <c r="F4" s="42">
        <f>'STOCK 16 a 21'!F24</f>
        <v>906</v>
      </c>
      <c r="G4" s="42">
        <f>'STOCK 16 a 21'!G24</f>
        <v>206</v>
      </c>
      <c r="H4" s="42">
        <f>'STOCK 16 a 21'!H24</f>
        <v>550</v>
      </c>
      <c r="I4" s="42">
        <f>'STOCK 16 a 21'!I24</f>
        <v>1309</v>
      </c>
      <c r="J4" s="42">
        <f>'STOCK 16 a 21'!J24</f>
        <v>886</v>
      </c>
      <c r="K4" s="42">
        <f>'STOCK 16 a 21'!K24</f>
        <v>4539</v>
      </c>
      <c r="L4" s="42">
        <f>'STOCK 16 a 21'!L24</f>
        <v>1652</v>
      </c>
      <c r="M4" s="42">
        <f>'STOCK 16 a 21'!M24</f>
        <v>405</v>
      </c>
      <c r="N4" s="42">
        <f>'STOCK 16 a 21'!N24</f>
        <v>100</v>
      </c>
      <c r="O4" s="42">
        <f>'STOCK 16 a 21'!O24</f>
        <v>920</v>
      </c>
      <c r="P4" s="42">
        <f>'STOCK 16 a 21'!P24</f>
        <v>711</v>
      </c>
      <c r="Q4" s="42">
        <f>'STOCK 16 a 21'!Q24</f>
        <v>0</v>
      </c>
      <c r="R4" s="42">
        <f>'STOCK 16 a 21'!R24</f>
        <v>1366</v>
      </c>
      <c r="S4" s="42">
        <f>'STOCK 16 a 21'!S24</f>
        <v>308</v>
      </c>
      <c r="T4" s="42">
        <f>'STOCK 16 a 21'!T24</f>
        <v>2890</v>
      </c>
      <c r="U4" s="42">
        <f>'STOCK 16 a 21'!U24</f>
        <v>3234</v>
      </c>
      <c r="V4" s="42">
        <f>'STOCK 16 a 21'!V24</f>
        <v>278</v>
      </c>
      <c r="W4" s="42">
        <f>'STOCK 16 a 21'!W24</f>
        <v>52</v>
      </c>
    </row>
    <row r="5" spans="1:23" x14ac:dyDescent="0.25">
      <c r="A5" s="311"/>
      <c r="B5" s="20">
        <v>45223</v>
      </c>
      <c r="C5" s="14" t="s">
        <v>25</v>
      </c>
      <c r="D5" s="27">
        <v>2150</v>
      </c>
      <c r="G5" s="31"/>
      <c r="H5" s="13"/>
      <c r="I5" s="35"/>
      <c r="K5" s="35"/>
      <c r="M5" s="35"/>
      <c r="N5" s="14"/>
      <c r="O5" s="27"/>
      <c r="Q5" s="31"/>
      <c r="R5" s="13"/>
      <c r="S5" s="31"/>
      <c r="T5" s="13"/>
      <c r="U5" s="31"/>
      <c r="V5" s="31"/>
      <c r="W5" s="15"/>
    </row>
    <row r="6" spans="1:23" x14ac:dyDescent="0.25">
      <c r="A6" s="311"/>
      <c r="B6" s="20">
        <v>45226</v>
      </c>
      <c r="C6" s="14" t="s">
        <v>24</v>
      </c>
      <c r="D6" s="27"/>
      <c r="G6" s="31"/>
      <c r="H6" s="13"/>
      <c r="I6" s="35"/>
      <c r="K6" s="35"/>
      <c r="M6" s="35"/>
      <c r="N6" s="14"/>
      <c r="O6" s="27"/>
      <c r="Q6" s="31"/>
      <c r="R6" s="13"/>
      <c r="S6" s="31"/>
      <c r="T6" s="13">
        <v>3000</v>
      </c>
      <c r="U6" s="31"/>
      <c r="V6" s="31"/>
      <c r="W6" s="15"/>
    </row>
    <row r="7" spans="1:23" x14ac:dyDescent="0.25">
      <c r="A7" s="311"/>
      <c r="B7" s="20"/>
      <c r="C7" s="14"/>
      <c r="D7" s="27"/>
      <c r="G7" s="31"/>
      <c r="H7" s="13"/>
      <c r="I7" s="35"/>
      <c r="K7" s="35"/>
      <c r="M7" s="35"/>
      <c r="N7" s="14"/>
      <c r="O7" s="27"/>
      <c r="Q7" s="31"/>
      <c r="R7" s="13"/>
      <c r="S7" s="31"/>
      <c r="T7" s="13"/>
      <c r="U7" s="31"/>
      <c r="V7" s="31"/>
      <c r="W7" s="15"/>
    </row>
    <row r="8" spans="1:23" x14ac:dyDescent="0.25">
      <c r="A8" s="311"/>
      <c r="B8" s="20"/>
      <c r="C8" s="14"/>
      <c r="D8" s="27"/>
      <c r="G8" s="31"/>
      <c r="H8" s="13"/>
      <c r="I8" s="35"/>
      <c r="K8" s="35"/>
      <c r="M8" s="35"/>
      <c r="N8" s="14"/>
      <c r="O8" s="27"/>
      <c r="Q8" s="31"/>
      <c r="R8" s="13"/>
      <c r="S8" s="31"/>
      <c r="T8" s="13"/>
      <c r="U8" s="31"/>
      <c r="V8" s="31"/>
      <c r="W8" s="15"/>
    </row>
    <row r="9" spans="1:23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32"/>
      <c r="T10" s="16"/>
      <c r="U10" s="32"/>
      <c r="V10" s="32"/>
      <c r="W10" s="19"/>
    </row>
    <row r="11" spans="1:23" x14ac:dyDescent="0.25">
      <c r="A11" s="310" t="s">
        <v>21</v>
      </c>
      <c r="B11" s="20">
        <v>45222</v>
      </c>
      <c r="C11" s="14" t="s">
        <v>22</v>
      </c>
      <c r="D11" s="27">
        <v>600</v>
      </c>
      <c r="G11" s="31"/>
      <c r="H11" s="13"/>
      <c r="I11" s="35"/>
      <c r="K11" s="35"/>
      <c r="M11" s="35"/>
      <c r="N11" s="14"/>
      <c r="O11" s="27"/>
      <c r="Q11" s="31"/>
      <c r="R11" s="13"/>
      <c r="S11" s="31"/>
      <c r="T11" s="13">
        <f>2000+500</f>
        <v>2500</v>
      </c>
      <c r="U11" s="31"/>
      <c r="V11" s="31"/>
      <c r="W11" s="15"/>
    </row>
    <row r="12" spans="1:23" x14ac:dyDescent="0.25">
      <c r="A12" s="311"/>
      <c r="B12" s="20">
        <v>45223</v>
      </c>
      <c r="C12" s="14" t="s">
        <v>22</v>
      </c>
      <c r="D12" s="27">
        <f>250+1000</f>
        <v>1250</v>
      </c>
      <c r="G12" s="31"/>
      <c r="H12" s="13"/>
      <c r="I12" s="35"/>
      <c r="K12" s="35"/>
      <c r="M12" s="35"/>
      <c r="N12" s="14"/>
      <c r="O12" s="27"/>
      <c r="Q12" s="31"/>
      <c r="R12" s="13"/>
      <c r="S12" s="31"/>
      <c r="T12" s="13"/>
      <c r="U12" s="31"/>
      <c r="V12" s="31"/>
      <c r="W12" s="15"/>
    </row>
    <row r="13" spans="1:23" x14ac:dyDescent="0.25">
      <c r="A13" s="311"/>
      <c r="B13" s="20">
        <v>45224</v>
      </c>
      <c r="C13" s="14" t="s">
        <v>22</v>
      </c>
      <c r="D13" s="27">
        <v>200</v>
      </c>
      <c r="G13" s="31">
        <v>50</v>
      </c>
      <c r="H13" s="13"/>
      <c r="I13" s="35"/>
      <c r="K13" s="35"/>
      <c r="M13" s="35"/>
      <c r="N13" s="14"/>
      <c r="O13" s="27"/>
      <c r="P13">
        <v>20</v>
      </c>
      <c r="Q13" s="31"/>
      <c r="R13" s="13"/>
      <c r="S13" s="31"/>
      <c r="T13" s="13">
        <v>390</v>
      </c>
      <c r="U13" s="31"/>
      <c r="V13" s="31"/>
      <c r="W13" s="15"/>
    </row>
    <row r="14" spans="1:23" x14ac:dyDescent="0.25">
      <c r="A14" s="311"/>
      <c r="B14" s="20">
        <v>45225</v>
      </c>
      <c r="C14" s="14" t="s">
        <v>22</v>
      </c>
      <c r="D14" s="27"/>
      <c r="G14" s="31"/>
      <c r="H14" s="13"/>
      <c r="I14" s="35"/>
      <c r="J14">
        <v>500</v>
      </c>
      <c r="K14" s="35"/>
      <c r="M14" s="35"/>
      <c r="N14" s="14"/>
      <c r="O14" s="27"/>
      <c r="Q14" s="31"/>
      <c r="R14" s="13"/>
      <c r="S14" s="31"/>
      <c r="T14" s="13"/>
      <c r="U14" s="31">
        <v>75</v>
      </c>
      <c r="V14" s="31"/>
      <c r="W14" s="15"/>
    </row>
    <row r="15" spans="1:23" x14ac:dyDescent="0.25">
      <c r="A15" s="311"/>
      <c r="B15" s="20"/>
      <c r="C15" s="14"/>
      <c r="D15" s="27"/>
      <c r="G15" s="31"/>
      <c r="H15" s="13"/>
      <c r="I15" s="35"/>
      <c r="K15" s="35"/>
      <c r="M15" s="35"/>
      <c r="N15" s="14"/>
      <c r="O15" s="27"/>
      <c r="Q15" s="31"/>
      <c r="R15" s="13"/>
      <c r="S15" s="31"/>
      <c r="T15" s="13"/>
      <c r="U15" s="31"/>
      <c r="V15" s="31"/>
      <c r="W15" s="15"/>
    </row>
    <row r="16" spans="1:23" x14ac:dyDescent="0.25">
      <c r="A16" s="311"/>
      <c r="B16" s="20"/>
      <c r="C16" s="14"/>
      <c r="D16" s="27"/>
      <c r="G16" s="31"/>
      <c r="H16" s="13"/>
      <c r="I16" s="35"/>
      <c r="K16" s="35"/>
      <c r="M16" s="35"/>
      <c r="N16" s="14"/>
      <c r="O16" s="27"/>
      <c r="Q16" s="31"/>
      <c r="R16" s="13"/>
      <c r="S16" s="31"/>
      <c r="T16" s="13"/>
      <c r="U16" s="31"/>
      <c r="V16" s="31"/>
      <c r="W16" s="15"/>
    </row>
    <row r="17" spans="1:24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S17" s="31"/>
      <c r="T17" s="13"/>
      <c r="U17" s="31"/>
      <c r="V17" s="31"/>
      <c r="W17" s="15"/>
    </row>
    <row r="18" spans="1:24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S18" s="31"/>
      <c r="T18" s="13"/>
      <c r="U18" s="31"/>
      <c r="V18" s="31"/>
      <c r="W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/>
      <c r="V19" s="31"/>
      <c r="W19" s="15"/>
    </row>
    <row r="20" spans="1:24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S21" s="31"/>
      <c r="T21" s="13"/>
      <c r="U21" s="31"/>
      <c r="V21" s="31"/>
      <c r="W21" s="15"/>
    </row>
    <row r="22" spans="1:24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S22" s="31"/>
      <c r="T22" s="13"/>
      <c r="U22" s="31"/>
      <c r="V22" s="31"/>
      <c r="W22" s="15"/>
    </row>
    <row r="23" spans="1:24" x14ac:dyDescent="0.25">
      <c r="A23" s="311"/>
      <c r="B23" s="20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S23" s="31"/>
      <c r="T23" s="13"/>
      <c r="U23" s="31"/>
      <c r="V23" s="31"/>
      <c r="W23" s="15"/>
    </row>
    <row r="24" spans="1:24" ht="15.75" thickBot="1" x14ac:dyDescent="0.3">
      <c r="A24" s="312"/>
      <c r="B24" s="13"/>
      <c r="C24" s="14"/>
      <c r="D24" s="27"/>
      <c r="G24" s="31"/>
      <c r="H24" s="13"/>
      <c r="I24" s="35"/>
      <c r="K24" s="35"/>
      <c r="M24" s="35"/>
      <c r="N24" s="14"/>
      <c r="O24" s="27"/>
      <c r="Q24" s="31"/>
      <c r="R24" s="13"/>
      <c r="S24" s="31"/>
      <c r="T24" s="13"/>
      <c r="U24" s="31"/>
      <c r="V24" s="31"/>
      <c r="W24" s="15"/>
    </row>
    <row r="25" spans="1:24" ht="21.75" thickBot="1" x14ac:dyDescent="0.3">
      <c r="A25" s="21" t="s">
        <v>23</v>
      </c>
      <c r="B25" s="22"/>
      <c r="C25" s="23"/>
      <c r="D25" s="29">
        <f>SUM(D4:D10)-SUM(D11:D24)</f>
        <v>3670</v>
      </c>
      <c r="E25" s="22">
        <f t="shared" ref="E25:W25" si="0">SUM(E4:E10)-SUM(E11:E24)</f>
        <v>2846</v>
      </c>
      <c r="F25" s="24">
        <f t="shared" si="0"/>
        <v>906</v>
      </c>
      <c r="G25" s="33">
        <f t="shared" si="0"/>
        <v>156</v>
      </c>
      <c r="H25" s="22">
        <f t="shared" si="0"/>
        <v>550</v>
      </c>
      <c r="I25" s="37">
        <f t="shared" si="0"/>
        <v>1309</v>
      </c>
      <c r="J25" s="24">
        <f t="shared" si="0"/>
        <v>386</v>
      </c>
      <c r="K25" s="37">
        <f t="shared" si="0"/>
        <v>4539</v>
      </c>
      <c r="L25" s="24">
        <f t="shared" si="0"/>
        <v>1652</v>
      </c>
      <c r="M25" s="37">
        <f t="shared" si="0"/>
        <v>405</v>
      </c>
      <c r="N25" s="23">
        <f t="shared" si="0"/>
        <v>100</v>
      </c>
      <c r="O25" s="29">
        <f t="shared" si="0"/>
        <v>920</v>
      </c>
      <c r="P25" s="24">
        <f t="shared" si="0"/>
        <v>691</v>
      </c>
      <c r="Q25" s="33">
        <f t="shared" si="0"/>
        <v>0</v>
      </c>
      <c r="R25" s="22">
        <f t="shared" si="0"/>
        <v>1366</v>
      </c>
      <c r="S25" s="33">
        <f t="shared" si="0"/>
        <v>308</v>
      </c>
      <c r="T25" s="22">
        <f t="shared" si="0"/>
        <v>3000</v>
      </c>
      <c r="U25" s="33">
        <f t="shared" si="0"/>
        <v>3159</v>
      </c>
      <c r="V25" s="33">
        <f t="shared" si="0"/>
        <v>278</v>
      </c>
      <c r="W25" s="25">
        <f t="shared" si="0"/>
        <v>52</v>
      </c>
    </row>
    <row r="27" spans="1:24" x14ac:dyDescent="0.25">
      <c r="D27">
        <f>+D25*0.38</f>
        <v>1394.6</v>
      </c>
      <c r="E27">
        <f>+E25*0.41</f>
        <v>1166.8599999999999</v>
      </c>
      <c r="F27">
        <f>+F25*0.38</f>
        <v>344.28000000000003</v>
      </c>
      <c r="G27">
        <f>+G25*0.48</f>
        <v>74.88</v>
      </c>
      <c r="H27">
        <f>+H25*0.64</f>
        <v>352</v>
      </c>
      <c r="I27">
        <f>+I25*0.6</f>
        <v>785.4</v>
      </c>
      <c r="J27">
        <f>+J25*0.89</f>
        <v>343.54</v>
      </c>
      <c r="K27">
        <f>+K25*0.68</f>
        <v>3086.5200000000004</v>
      </c>
      <c r="L27">
        <f>+L25*0.66</f>
        <v>1090.3200000000002</v>
      </c>
      <c r="M27">
        <f>+M25*0.7</f>
        <v>283.5</v>
      </c>
      <c r="N27">
        <f>+N25*0.62</f>
        <v>62</v>
      </c>
      <c r="O27">
        <f>+O25*2.3</f>
        <v>2116</v>
      </c>
      <c r="P27">
        <f>+P25*1.77</f>
        <v>1223.07</v>
      </c>
      <c r="Q27">
        <f>+Q25*2.35</f>
        <v>0</v>
      </c>
      <c r="R27">
        <f>+R25*1.92</f>
        <v>2622.72</v>
      </c>
      <c r="S27">
        <f>+S25*2.45</f>
        <v>754.6</v>
      </c>
      <c r="T27">
        <f>+T25*0.42</f>
        <v>1260</v>
      </c>
      <c r="U27">
        <f>+U25*0.32</f>
        <v>1010.88</v>
      </c>
      <c r="V27">
        <f>+V25*0.8</f>
        <v>222.4</v>
      </c>
      <c r="W27">
        <f>+W25*2</f>
        <v>104</v>
      </c>
      <c r="X27">
        <f>SUM(D27:W27)</f>
        <v>18297.570000000003</v>
      </c>
    </row>
    <row r="29" spans="1:24" x14ac:dyDescent="0.25">
      <c r="Q29" s="45">
        <v>232</v>
      </c>
    </row>
    <row r="31" spans="1:24" x14ac:dyDescent="0.25">
      <c r="G31" s="38">
        <v>0.625</v>
      </c>
      <c r="H31" s="39">
        <v>4</v>
      </c>
    </row>
    <row r="32" spans="1:24" x14ac:dyDescent="0.25">
      <c r="G32" s="38">
        <v>0.5</v>
      </c>
      <c r="H32" s="39">
        <v>14</v>
      </c>
    </row>
    <row r="33" spans="7:8" x14ac:dyDescent="0.25">
      <c r="G33" s="38">
        <v>12</v>
      </c>
      <c r="H33" s="39">
        <v>2</v>
      </c>
    </row>
    <row r="34" spans="7:8" x14ac:dyDescent="0.25">
      <c r="G34" s="38">
        <v>0.375</v>
      </c>
      <c r="H34" s="39">
        <v>6</v>
      </c>
    </row>
    <row r="35" spans="7:8" x14ac:dyDescent="0.25">
      <c r="G35" s="38">
        <v>8</v>
      </c>
      <c r="H35" s="39">
        <v>4</v>
      </c>
    </row>
    <row r="36" spans="7:8" x14ac:dyDescent="0.25">
      <c r="G36" s="38">
        <v>6</v>
      </c>
      <c r="H36" s="39">
        <v>2</v>
      </c>
    </row>
    <row r="37" spans="7:8" x14ac:dyDescent="0.25">
      <c r="G37" s="38"/>
      <c r="H37" s="39">
        <f>SUM(H31:H36)</f>
        <v>32</v>
      </c>
    </row>
  </sheetData>
  <mergeCells count="7">
    <mergeCell ref="T2:U2"/>
    <mergeCell ref="A4:A10"/>
    <mergeCell ref="A11:A24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E570-1329-4ABA-805C-B1BD3D4C31D2}">
  <sheetPr codeName="Hoja4"/>
  <dimension ref="A1:X33"/>
  <sheetViews>
    <sheetView zoomScale="70" zoomScaleNormal="70" workbookViewId="0">
      <pane xSplit="3" ySplit="3" topLeftCell="F10" activePane="bottomRight" state="frozen"/>
      <selection pane="topRight" activeCell="D1" sqref="D1"/>
      <selection pane="bottomLeft" activeCell="A4" sqref="A4"/>
      <selection pane="bottomRight" activeCell="L12" sqref="L12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12.2851562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7.5703125" bestFit="1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2.5703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46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34</v>
      </c>
    </row>
    <row r="4" spans="1:23" x14ac:dyDescent="0.25">
      <c r="A4" s="310" t="s">
        <v>19</v>
      </c>
      <c r="B4" s="1"/>
      <c r="C4" s="2" t="s">
        <v>20</v>
      </c>
      <c r="D4" s="42">
        <f>'STOCK 22 a 28'!D25</f>
        <v>3670</v>
      </c>
      <c r="E4" s="42">
        <f>'STOCK 22 a 28'!E25</f>
        <v>2846</v>
      </c>
      <c r="F4" s="42">
        <f>'STOCK 22 a 28'!F25</f>
        <v>906</v>
      </c>
      <c r="G4" s="42">
        <f>'STOCK 22 a 28'!G25</f>
        <v>156</v>
      </c>
      <c r="H4" s="42">
        <f>'STOCK 22 a 28'!H25</f>
        <v>550</v>
      </c>
      <c r="I4" s="42">
        <f>'STOCK 22 a 28'!I25</f>
        <v>1309</v>
      </c>
      <c r="J4" s="42">
        <f>'STOCK 22 a 28'!J25</f>
        <v>386</v>
      </c>
      <c r="K4" s="42">
        <f>'STOCK 22 a 28'!K25</f>
        <v>4539</v>
      </c>
      <c r="L4" s="42">
        <f>'STOCK 22 a 28'!L25</f>
        <v>1652</v>
      </c>
      <c r="M4" s="42">
        <f>'STOCK 22 a 28'!M25</f>
        <v>405</v>
      </c>
      <c r="N4" s="42">
        <f>'STOCK 22 a 28'!N25</f>
        <v>100</v>
      </c>
      <c r="O4" s="42">
        <f>'STOCK 22 a 28'!O25</f>
        <v>920</v>
      </c>
      <c r="P4" s="42">
        <f>'STOCK 22 a 28'!P25</f>
        <v>691</v>
      </c>
      <c r="Q4" s="42">
        <f>'STOCK 22 a 28'!Q25</f>
        <v>0</v>
      </c>
      <c r="R4" s="42">
        <f>'STOCK 22 a 28'!R25</f>
        <v>1366</v>
      </c>
      <c r="S4" s="42">
        <f>'STOCK 22 a 28'!S25</f>
        <v>308</v>
      </c>
      <c r="T4" s="42">
        <f>'STOCK 22 a 28'!T25</f>
        <v>3000</v>
      </c>
      <c r="U4" s="42">
        <f>'STOCK 22 a 28'!U25</f>
        <v>3159</v>
      </c>
      <c r="V4" s="42">
        <f>'STOCK 22 a 28'!V25</f>
        <v>278</v>
      </c>
      <c r="W4" s="42">
        <f>'STOCK 22 a 28'!W25</f>
        <v>52</v>
      </c>
    </row>
    <row r="5" spans="1:23" x14ac:dyDescent="0.25">
      <c r="A5" s="311"/>
      <c r="B5" s="20">
        <v>45229</v>
      </c>
      <c r="C5" s="14" t="s">
        <v>27</v>
      </c>
      <c r="D5" s="27"/>
      <c r="G5" s="31"/>
      <c r="H5" s="13"/>
      <c r="I5" s="35"/>
      <c r="J5">
        <v>1000</v>
      </c>
      <c r="K5" s="35"/>
      <c r="M5" s="35"/>
      <c r="N5" s="14"/>
      <c r="O5" s="27"/>
      <c r="Q5" s="31"/>
      <c r="R5" s="13"/>
      <c r="S5" s="31"/>
      <c r="T5" s="13"/>
      <c r="U5" s="31"/>
      <c r="V5" s="31"/>
      <c r="W5" s="15"/>
    </row>
    <row r="6" spans="1:23" x14ac:dyDescent="0.25">
      <c r="A6" s="311"/>
      <c r="B6" s="20">
        <v>45230</v>
      </c>
      <c r="C6" s="14" t="s">
        <v>27</v>
      </c>
      <c r="D6" s="27">
        <v>500</v>
      </c>
      <c r="G6" s="31"/>
      <c r="H6" s="13"/>
      <c r="I6" s="35"/>
      <c r="K6" s="35"/>
      <c r="M6" s="35"/>
      <c r="N6" s="14"/>
      <c r="O6" s="27"/>
      <c r="Q6" s="31"/>
      <c r="R6" s="13"/>
      <c r="S6" s="31"/>
      <c r="T6" s="13"/>
      <c r="U6" s="31"/>
      <c r="V6" s="31"/>
      <c r="W6" s="15"/>
    </row>
    <row r="7" spans="1:23" x14ac:dyDescent="0.25">
      <c r="A7" s="311"/>
      <c r="B7" s="20">
        <v>45230</v>
      </c>
      <c r="C7" s="14" t="s">
        <v>24</v>
      </c>
      <c r="D7" s="27"/>
      <c r="G7" s="31"/>
      <c r="H7" s="13"/>
      <c r="I7" s="35"/>
      <c r="K7" s="35"/>
      <c r="M7" s="35"/>
      <c r="N7" s="14"/>
      <c r="O7" s="27"/>
      <c r="Q7" s="31"/>
      <c r="R7" s="13">
        <v>150</v>
      </c>
      <c r="S7" s="31"/>
      <c r="T7" s="13"/>
      <c r="U7" s="31"/>
      <c r="V7" s="31"/>
      <c r="W7" s="15"/>
    </row>
    <row r="8" spans="1:23" x14ac:dyDescent="0.25">
      <c r="A8" s="311"/>
      <c r="B8" s="20">
        <v>45231</v>
      </c>
      <c r="C8" s="14" t="s">
        <v>27</v>
      </c>
      <c r="D8" s="27"/>
      <c r="G8" s="31"/>
      <c r="H8" s="13"/>
      <c r="I8" s="35"/>
      <c r="K8" s="35"/>
      <c r="M8" s="35"/>
      <c r="N8" s="14"/>
      <c r="O8" s="27"/>
      <c r="Q8" s="31"/>
      <c r="R8" s="13"/>
      <c r="S8" s="31">
        <v>560</v>
      </c>
      <c r="T8" s="13"/>
      <c r="U8" s="31"/>
      <c r="V8" s="31"/>
      <c r="W8" s="15"/>
    </row>
    <row r="9" spans="1:23" x14ac:dyDescent="0.25">
      <c r="A9" s="311"/>
      <c r="B9" s="20">
        <v>45233</v>
      </c>
      <c r="C9" s="14" t="s">
        <v>27</v>
      </c>
      <c r="D9" s="27"/>
      <c r="G9" s="31"/>
      <c r="H9" s="13"/>
      <c r="I9" s="35">
        <v>2200</v>
      </c>
      <c r="K9" s="35"/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x14ac:dyDescent="0.25">
      <c r="A10" s="311"/>
      <c r="B10" s="20">
        <v>45234</v>
      </c>
      <c r="C10" s="14" t="s">
        <v>27</v>
      </c>
      <c r="D10" s="27">
        <v>1500</v>
      </c>
      <c r="G10" s="31"/>
      <c r="H10" s="13"/>
      <c r="I10" s="35"/>
      <c r="K10" s="35"/>
      <c r="M10" s="35"/>
      <c r="N10" s="14"/>
      <c r="O10" s="27"/>
      <c r="Q10" s="31"/>
      <c r="R10" s="13"/>
      <c r="S10" s="31"/>
      <c r="T10" s="13"/>
      <c r="U10" s="31"/>
      <c r="V10" s="31"/>
      <c r="W10" s="15"/>
    </row>
    <row r="11" spans="1:23" ht="15.75" thickBot="1" x14ac:dyDescent="0.3">
      <c r="A11" s="312"/>
      <c r="B11" s="16"/>
      <c r="C11" s="17"/>
      <c r="D11" s="28"/>
      <c r="E11" s="18"/>
      <c r="F11" s="18"/>
      <c r="G11" s="32"/>
      <c r="H11" s="16"/>
      <c r="I11" s="36"/>
      <c r="J11" s="18"/>
      <c r="K11" s="36"/>
      <c r="L11" s="18"/>
      <c r="M11" s="36"/>
      <c r="N11" s="17"/>
      <c r="O11" s="28"/>
      <c r="P11" s="18"/>
      <c r="Q11" s="32"/>
      <c r="R11" s="16"/>
      <c r="S11" s="32"/>
      <c r="T11" s="16"/>
      <c r="U11" s="32"/>
      <c r="V11" s="32"/>
      <c r="W11" s="19"/>
    </row>
    <row r="12" spans="1:23" x14ac:dyDescent="0.25">
      <c r="A12" s="310" t="s">
        <v>21</v>
      </c>
      <c r="B12" s="20">
        <v>45229</v>
      </c>
      <c r="C12" s="14" t="s">
        <v>22</v>
      </c>
      <c r="D12" s="27"/>
      <c r="G12" s="31"/>
      <c r="H12" s="13"/>
      <c r="I12" s="35">
        <v>1200</v>
      </c>
      <c r="K12" s="35">
        <v>2000</v>
      </c>
      <c r="M12" s="35"/>
      <c r="N12" s="14"/>
      <c r="O12" s="27"/>
      <c r="P12">
        <v>6</v>
      </c>
      <c r="Q12" s="31"/>
      <c r="R12" s="13"/>
      <c r="S12" s="31">
        <v>300</v>
      </c>
      <c r="T12" s="13"/>
      <c r="U12" s="31"/>
      <c r="V12" s="31"/>
      <c r="W12" s="15"/>
    </row>
    <row r="13" spans="1:23" x14ac:dyDescent="0.25">
      <c r="A13" s="311"/>
      <c r="B13" s="20">
        <v>45229</v>
      </c>
      <c r="C13" s="14" t="s">
        <v>29</v>
      </c>
      <c r="D13" s="27">
        <v>2000</v>
      </c>
      <c r="G13" s="31"/>
      <c r="H13" s="13"/>
      <c r="I13" s="35"/>
      <c r="K13" s="35"/>
      <c r="M13" s="35"/>
      <c r="N13" s="14"/>
      <c r="O13" s="27"/>
      <c r="Q13" s="31"/>
      <c r="R13" s="13"/>
      <c r="S13" s="31"/>
      <c r="T13" s="13"/>
      <c r="U13" s="31"/>
      <c r="V13" s="31"/>
      <c r="W13" s="15"/>
    </row>
    <row r="14" spans="1:23" x14ac:dyDescent="0.25">
      <c r="A14" s="311"/>
      <c r="B14" s="20">
        <v>45230</v>
      </c>
      <c r="C14" s="14" t="s">
        <v>22</v>
      </c>
      <c r="D14" s="27">
        <v>50</v>
      </c>
      <c r="G14" s="31"/>
      <c r="H14" s="13"/>
      <c r="I14" s="35"/>
      <c r="K14" s="35"/>
      <c r="M14" s="35">
        <v>200</v>
      </c>
      <c r="N14" s="14"/>
      <c r="O14" s="27"/>
      <c r="Q14" s="31"/>
      <c r="R14" s="13"/>
      <c r="S14" s="31"/>
      <c r="T14" s="13">
        <f>430+20</f>
        <v>450</v>
      </c>
      <c r="U14" s="31"/>
      <c r="V14" s="31"/>
      <c r="W14" s="15"/>
    </row>
    <row r="15" spans="1:23" x14ac:dyDescent="0.25">
      <c r="A15" s="311"/>
      <c r="B15" s="20">
        <v>45232</v>
      </c>
      <c r="C15" s="14" t="s">
        <v>22</v>
      </c>
      <c r="D15" s="27">
        <v>1000</v>
      </c>
      <c r="G15" s="31"/>
      <c r="H15" s="13"/>
      <c r="I15" s="35"/>
      <c r="K15" s="35"/>
      <c r="M15" s="35"/>
      <c r="N15" s="14"/>
      <c r="O15" s="27"/>
      <c r="Q15" s="31"/>
      <c r="R15" s="13"/>
      <c r="S15" s="31"/>
      <c r="T15" s="13"/>
      <c r="U15" s="31"/>
      <c r="V15" s="31"/>
      <c r="W15" s="15"/>
    </row>
    <row r="16" spans="1:23" x14ac:dyDescent="0.25">
      <c r="A16" s="311"/>
      <c r="B16" s="20">
        <v>45233</v>
      </c>
      <c r="C16" s="14" t="s">
        <v>22</v>
      </c>
      <c r="D16" s="27"/>
      <c r="G16" s="31"/>
      <c r="H16" s="13"/>
      <c r="I16" s="35">
        <v>500</v>
      </c>
      <c r="K16" s="35"/>
      <c r="M16" s="35">
        <v>100</v>
      </c>
      <c r="N16" s="14"/>
      <c r="O16" s="27"/>
      <c r="P16">
        <v>150</v>
      </c>
      <c r="Q16" s="31"/>
      <c r="R16" s="13">
        <v>400</v>
      </c>
      <c r="S16" s="31"/>
      <c r="T16" s="13"/>
      <c r="U16" s="31"/>
      <c r="V16" s="31"/>
      <c r="W16" s="15"/>
    </row>
    <row r="17" spans="1:24" x14ac:dyDescent="0.25">
      <c r="A17" s="311"/>
      <c r="B17" s="20">
        <v>45234</v>
      </c>
      <c r="C17" s="14" t="s">
        <v>22</v>
      </c>
      <c r="D17" s="27">
        <v>70</v>
      </c>
      <c r="G17" s="31"/>
      <c r="H17" s="13"/>
      <c r="I17" s="35"/>
      <c r="K17" s="35"/>
      <c r="M17" s="35"/>
      <c r="N17" s="14"/>
      <c r="O17" s="27"/>
      <c r="Q17" s="31"/>
      <c r="R17" s="13"/>
      <c r="S17" s="31"/>
      <c r="T17" s="13"/>
      <c r="U17" s="31"/>
      <c r="V17" s="31"/>
      <c r="W17" s="15"/>
    </row>
    <row r="18" spans="1:24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S18" s="31"/>
      <c r="T18" s="13"/>
      <c r="U18" s="31"/>
      <c r="V18" s="31"/>
      <c r="W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/>
      <c r="V19" s="31"/>
      <c r="W19" s="15"/>
    </row>
    <row r="20" spans="1:24" ht="15.75" thickBot="1" x14ac:dyDescent="0.3">
      <c r="A20" s="312"/>
      <c r="B20" s="13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ht="21.75" thickBot="1" x14ac:dyDescent="0.3">
      <c r="A21" s="21" t="s">
        <v>23</v>
      </c>
      <c r="B21" s="22"/>
      <c r="C21" s="23"/>
      <c r="D21" s="29">
        <f t="shared" ref="D21:W21" si="0">SUM(D4:D11)-SUM(D12:D20)</f>
        <v>2550</v>
      </c>
      <c r="E21" s="22">
        <f t="shared" si="0"/>
        <v>2846</v>
      </c>
      <c r="F21" s="24">
        <f t="shared" si="0"/>
        <v>906</v>
      </c>
      <c r="G21" s="33">
        <f t="shared" si="0"/>
        <v>156</v>
      </c>
      <c r="H21" s="22">
        <f t="shared" si="0"/>
        <v>550</v>
      </c>
      <c r="I21" s="37">
        <f t="shared" si="0"/>
        <v>1809</v>
      </c>
      <c r="J21" s="24">
        <f t="shared" si="0"/>
        <v>1386</v>
      </c>
      <c r="K21" s="37">
        <f t="shared" si="0"/>
        <v>2539</v>
      </c>
      <c r="L21" s="24">
        <f t="shared" si="0"/>
        <v>1652</v>
      </c>
      <c r="M21" s="37">
        <f t="shared" si="0"/>
        <v>105</v>
      </c>
      <c r="N21" s="23">
        <f t="shared" si="0"/>
        <v>100</v>
      </c>
      <c r="O21" s="29">
        <f t="shared" si="0"/>
        <v>920</v>
      </c>
      <c r="P21" s="24">
        <f t="shared" si="0"/>
        <v>535</v>
      </c>
      <c r="Q21" s="33">
        <f t="shared" si="0"/>
        <v>0</v>
      </c>
      <c r="R21" s="22">
        <f t="shared" si="0"/>
        <v>1116</v>
      </c>
      <c r="S21" s="33">
        <f t="shared" si="0"/>
        <v>568</v>
      </c>
      <c r="T21" s="22">
        <f t="shared" si="0"/>
        <v>2550</v>
      </c>
      <c r="U21" s="33">
        <f t="shared" si="0"/>
        <v>3159</v>
      </c>
      <c r="V21" s="33">
        <f t="shared" si="0"/>
        <v>278</v>
      </c>
      <c r="W21" s="25">
        <f t="shared" si="0"/>
        <v>52</v>
      </c>
    </row>
    <row r="23" spans="1:24" x14ac:dyDescent="0.25">
      <c r="D23">
        <f>+D21*0.38</f>
        <v>969</v>
      </c>
      <c r="E23">
        <f>+E21*0.41</f>
        <v>1166.8599999999999</v>
      </c>
      <c r="F23">
        <f>+F21*0.38</f>
        <v>344.28000000000003</v>
      </c>
      <c r="G23">
        <f>+G21*0.48</f>
        <v>74.88</v>
      </c>
      <c r="H23">
        <f>+H21*0.64</f>
        <v>352</v>
      </c>
      <c r="I23">
        <f>+I21*0.6</f>
        <v>1085.3999999999999</v>
      </c>
      <c r="J23">
        <f>+J21*0.89</f>
        <v>1233.54</v>
      </c>
      <c r="K23">
        <f>+K21*0.68</f>
        <v>1726.5200000000002</v>
      </c>
      <c r="L23">
        <f>+L21*0.66</f>
        <v>1090.3200000000002</v>
      </c>
      <c r="M23">
        <f>+M21*0.7</f>
        <v>73.5</v>
      </c>
      <c r="N23">
        <f>+N21*0.62</f>
        <v>62</v>
      </c>
      <c r="O23">
        <f>+O21*2.3</f>
        <v>2116</v>
      </c>
      <c r="P23">
        <f>+P21*1.77</f>
        <v>946.95</v>
      </c>
      <c r="Q23">
        <f>+Q21*2.35</f>
        <v>0</v>
      </c>
      <c r="R23">
        <f>+R21*1.92</f>
        <v>2142.7199999999998</v>
      </c>
      <c r="S23">
        <f>+S21*2.36</f>
        <v>1340.48</v>
      </c>
      <c r="T23">
        <f>+T21*0.42</f>
        <v>1071</v>
      </c>
      <c r="U23">
        <f>+U21*0.32</f>
        <v>1010.88</v>
      </c>
      <c r="V23">
        <f>+V21*0.8</f>
        <v>222.4</v>
      </c>
      <c r="W23">
        <f>+W21*2</f>
        <v>104</v>
      </c>
      <c r="X23">
        <f>SUM(D23:W23)</f>
        <v>17132.730000000003</v>
      </c>
    </row>
    <row r="24" spans="1:24" x14ac:dyDescent="0.25">
      <c r="S24">
        <f>2.45-2.36</f>
        <v>9.0000000000000302E-2</v>
      </c>
    </row>
    <row r="25" spans="1:24" x14ac:dyDescent="0.25">
      <c r="Q25" s="45">
        <v>232</v>
      </c>
      <c r="S25">
        <f>8*S24</f>
        <v>0.72000000000000242</v>
      </c>
    </row>
    <row r="27" spans="1:24" x14ac:dyDescent="0.25">
      <c r="G27" s="38">
        <v>0.625</v>
      </c>
      <c r="H27" s="39">
        <v>4</v>
      </c>
    </row>
    <row r="28" spans="1:24" x14ac:dyDescent="0.25">
      <c r="G28" s="38">
        <v>0.5</v>
      </c>
      <c r="H28" s="39">
        <v>14</v>
      </c>
    </row>
    <row r="29" spans="1:24" x14ac:dyDescent="0.25">
      <c r="G29" s="38">
        <v>12</v>
      </c>
      <c r="H29" s="39">
        <v>2</v>
      </c>
    </row>
    <row r="30" spans="1:24" x14ac:dyDescent="0.25">
      <c r="G30" s="38">
        <v>0.375</v>
      </c>
      <c r="H30" s="39">
        <v>6</v>
      </c>
    </row>
    <row r="31" spans="1:24" x14ac:dyDescent="0.25">
      <c r="G31" s="38">
        <v>8</v>
      </c>
      <c r="H31" s="39">
        <v>4</v>
      </c>
    </row>
    <row r="32" spans="1:24" x14ac:dyDescent="0.25">
      <c r="G32" s="38">
        <v>6</v>
      </c>
      <c r="H32" s="39">
        <v>2</v>
      </c>
    </row>
    <row r="33" spans="7:8" x14ac:dyDescent="0.25">
      <c r="G33" s="38"/>
      <c r="H33" s="39">
        <f>SUM(H27:H32)</f>
        <v>32</v>
      </c>
    </row>
  </sheetData>
  <mergeCells count="7">
    <mergeCell ref="T2:U2"/>
    <mergeCell ref="A4:A11"/>
    <mergeCell ref="A12:A20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FD1E-36C8-49C4-914D-59BCCA7A8A21}">
  <dimension ref="A1:X26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22" sqref="N22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12.2851562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7.5703125" bestFit="1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2.5703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46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34</v>
      </c>
    </row>
    <row r="4" spans="1:23" x14ac:dyDescent="0.25">
      <c r="A4" s="310" t="s">
        <v>19</v>
      </c>
      <c r="B4" s="1"/>
      <c r="C4" s="2" t="s">
        <v>20</v>
      </c>
      <c r="D4" s="42">
        <f>'STOCK 29 a 04'!D21</f>
        <v>2550</v>
      </c>
      <c r="E4" s="42">
        <f>'STOCK 29 a 04'!E21</f>
        <v>2846</v>
      </c>
      <c r="F4" s="42">
        <f>'STOCK 29 a 04'!F21</f>
        <v>906</v>
      </c>
      <c r="G4" s="42">
        <f>'STOCK 29 a 04'!G21</f>
        <v>156</v>
      </c>
      <c r="H4" s="42">
        <f>'STOCK 29 a 04'!H21</f>
        <v>550</v>
      </c>
      <c r="I4" s="42">
        <f>'STOCK 29 a 04'!I21</f>
        <v>1809</v>
      </c>
      <c r="J4" s="42">
        <f>'STOCK 29 a 04'!J21</f>
        <v>1386</v>
      </c>
      <c r="K4" s="42">
        <f>'STOCK 29 a 04'!K21</f>
        <v>2539</v>
      </c>
      <c r="L4" s="42">
        <f>'STOCK 29 a 04'!L21</f>
        <v>1652</v>
      </c>
      <c r="M4" s="42">
        <f>'STOCK 29 a 04'!M21</f>
        <v>105</v>
      </c>
      <c r="N4" s="42">
        <f>'STOCK 29 a 04'!N21</f>
        <v>100</v>
      </c>
      <c r="O4" s="42">
        <f>'STOCK 29 a 04'!O21</f>
        <v>920</v>
      </c>
      <c r="P4" s="42">
        <f>'STOCK 29 a 04'!P21</f>
        <v>535</v>
      </c>
      <c r="Q4" s="42">
        <f>'STOCK 29 a 04'!Q21</f>
        <v>0</v>
      </c>
      <c r="R4" s="42">
        <f>'STOCK 29 a 04'!R21</f>
        <v>1116</v>
      </c>
      <c r="S4" s="42">
        <f>'STOCK 29 a 04'!S21</f>
        <v>568</v>
      </c>
      <c r="T4" s="42">
        <f>'STOCK 29 a 04'!T21</f>
        <v>2550</v>
      </c>
      <c r="U4" s="42">
        <f>'STOCK 29 a 04'!U21</f>
        <v>3159</v>
      </c>
      <c r="V4" s="42">
        <f>'STOCK 29 a 04'!V21</f>
        <v>278</v>
      </c>
      <c r="W4" s="42">
        <f>'STOCK 29 a 04'!W21</f>
        <v>52</v>
      </c>
    </row>
    <row r="5" spans="1:23" x14ac:dyDescent="0.25">
      <c r="A5" s="311"/>
      <c r="B5" s="20">
        <v>45239</v>
      </c>
      <c r="C5" s="14" t="s">
        <v>27</v>
      </c>
      <c r="D5" s="27"/>
      <c r="G5" s="31"/>
      <c r="H5" s="13"/>
      <c r="I5" s="35"/>
      <c r="K5" s="35"/>
      <c r="M5" s="35"/>
      <c r="N5" s="14"/>
      <c r="O5" s="27"/>
      <c r="Q5" s="31"/>
      <c r="R5" s="13">
        <v>340</v>
      </c>
      <c r="S5" s="31"/>
      <c r="T5" s="13"/>
      <c r="U5" s="31"/>
      <c r="V5" s="31"/>
      <c r="W5" s="15"/>
    </row>
    <row r="6" spans="1:23" x14ac:dyDescent="0.25">
      <c r="A6" s="311"/>
      <c r="B6" s="20">
        <v>45239</v>
      </c>
      <c r="C6" s="14" t="s">
        <v>24</v>
      </c>
      <c r="D6" s="27">
        <v>4500</v>
      </c>
      <c r="G6" s="31"/>
      <c r="H6" s="13"/>
      <c r="I6" s="35"/>
      <c r="K6" s="35"/>
      <c r="M6" s="35"/>
      <c r="N6" s="14"/>
      <c r="O6" s="27"/>
      <c r="Q6" s="31"/>
      <c r="R6" s="13"/>
      <c r="S6" s="31"/>
      <c r="T6" s="13"/>
      <c r="U6" s="31"/>
      <c r="V6" s="31"/>
      <c r="W6" s="15"/>
    </row>
    <row r="7" spans="1:23" x14ac:dyDescent="0.25">
      <c r="A7" s="311"/>
      <c r="B7" s="20">
        <v>45240</v>
      </c>
      <c r="C7" s="14" t="s">
        <v>27</v>
      </c>
      <c r="D7" s="27">
        <v>4500</v>
      </c>
      <c r="G7" s="31"/>
      <c r="H7" s="13"/>
      <c r="I7" s="35"/>
      <c r="K7" s="35"/>
      <c r="M7" s="35"/>
      <c r="N7" s="14"/>
      <c r="O7" s="27"/>
      <c r="P7">
        <v>650</v>
      </c>
      <c r="Q7" s="31"/>
      <c r="R7" s="13"/>
      <c r="S7" s="31"/>
      <c r="T7" s="13"/>
      <c r="U7" s="31"/>
      <c r="V7" s="31"/>
      <c r="W7" s="15"/>
    </row>
    <row r="8" spans="1:23" x14ac:dyDescent="0.25">
      <c r="A8" s="311"/>
      <c r="B8" s="20">
        <v>45240</v>
      </c>
      <c r="C8" s="14" t="s">
        <v>24</v>
      </c>
      <c r="D8" s="27"/>
      <c r="G8" s="31"/>
      <c r="H8" s="13"/>
      <c r="I8" s="35"/>
      <c r="K8" s="35"/>
      <c r="M8" s="35"/>
      <c r="N8" s="14"/>
      <c r="O8" s="27"/>
      <c r="Q8" s="31"/>
      <c r="R8" s="13"/>
      <c r="S8" s="31"/>
      <c r="T8" s="13">
        <v>2000</v>
      </c>
      <c r="U8" s="31">
        <v>1000</v>
      </c>
      <c r="V8" s="31"/>
      <c r="W8" s="15"/>
    </row>
    <row r="9" spans="1:23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x14ac:dyDescent="0.25">
      <c r="A10" s="311"/>
      <c r="B10" s="20"/>
      <c r="C10" s="14"/>
      <c r="D10" s="27"/>
      <c r="G10" s="31"/>
      <c r="H10" s="13"/>
      <c r="I10" s="35"/>
      <c r="K10" s="35"/>
      <c r="M10" s="35"/>
      <c r="N10" s="14"/>
      <c r="O10" s="27"/>
      <c r="Q10" s="31"/>
      <c r="R10" s="13"/>
      <c r="S10" s="31"/>
      <c r="T10" s="13"/>
      <c r="U10" s="31"/>
      <c r="V10" s="31"/>
      <c r="W10" s="15"/>
    </row>
    <row r="11" spans="1:23" ht="15.75" thickBot="1" x14ac:dyDescent="0.3">
      <c r="A11" s="312"/>
      <c r="B11" s="16"/>
      <c r="C11" s="17"/>
      <c r="D11" s="28"/>
      <c r="E11" s="18"/>
      <c r="F11" s="18"/>
      <c r="G11" s="32"/>
      <c r="H11" s="16"/>
      <c r="I11" s="36"/>
      <c r="J11" s="18"/>
      <c r="K11" s="36"/>
      <c r="L11" s="18"/>
      <c r="M11" s="36"/>
      <c r="N11" s="17"/>
      <c r="O11" s="28"/>
      <c r="P11" s="18"/>
      <c r="Q11" s="32"/>
      <c r="R11" s="16"/>
      <c r="S11" s="32"/>
      <c r="T11" s="16"/>
      <c r="U11" s="32"/>
      <c r="V11" s="32"/>
      <c r="W11" s="19"/>
    </row>
    <row r="12" spans="1:23" x14ac:dyDescent="0.25">
      <c r="A12" s="310" t="s">
        <v>21</v>
      </c>
      <c r="B12" s="20">
        <v>45236</v>
      </c>
      <c r="C12" s="14" t="s">
        <v>22</v>
      </c>
      <c r="D12" s="27"/>
      <c r="G12" s="31"/>
      <c r="H12" s="13">
        <v>550</v>
      </c>
      <c r="I12" s="35"/>
      <c r="K12" s="35"/>
      <c r="M12" s="35"/>
      <c r="N12" s="14"/>
      <c r="O12" s="27"/>
      <c r="Q12" s="31"/>
      <c r="R12" s="13"/>
      <c r="S12" s="31"/>
      <c r="T12" s="13">
        <v>300</v>
      </c>
      <c r="U12" s="31">
        <v>100</v>
      </c>
      <c r="V12" s="31"/>
      <c r="W12" s="15"/>
    </row>
    <row r="13" spans="1:23" x14ac:dyDescent="0.25">
      <c r="A13" s="311"/>
      <c r="B13" s="20">
        <v>45237</v>
      </c>
      <c r="C13" s="14" t="s">
        <v>22</v>
      </c>
      <c r="D13" s="27"/>
      <c r="G13" s="31"/>
      <c r="H13" s="13"/>
      <c r="I13" s="35">
        <v>1000</v>
      </c>
      <c r="K13" s="35"/>
      <c r="M13" s="35"/>
      <c r="N13" s="14"/>
      <c r="O13" s="27"/>
      <c r="Q13" s="31"/>
      <c r="R13" s="13"/>
      <c r="S13" s="31"/>
      <c r="T13" s="13">
        <v>1000</v>
      </c>
      <c r="U13" s="31">
        <v>1000</v>
      </c>
      <c r="V13" s="31"/>
      <c r="W13" s="15"/>
    </row>
    <row r="14" spans="1:23" x14ac:dyDescent="0.25">
      <c r="A14" s="311"/>
      <c r="B14" s="20">
        <v>45238</v>
      </c>
      <c r="C14" s="14" t="s">
        <v>22</v>
      </c>
      <c r="D14" s="27"/>
      <c r="G14" s="31"/>
      <c r="H14" s="13"/>
      <c r="I14" s="35"/>
      <c r="K14" s="35"/>
      <c r="M14" s="35"/>
      <c r="N14" s="14"/>
      <c r="O14" s="27"/>
      <c r="Q14" s="31"/>
      <c r="R14" s="13"/>
      <c r="S14" s="31"/>
      <c r="T14" s="13">
        <v>200</v>
      </c>
      <c r="U14" s="31">
        <v>400</v>
      </c>
      <c r="V14" s="31"/>
      <c r="W14" s="15"/>
    </row>
    <row r="15" spans="1:23" x14ac:dyDescent="0.25">
      <c r="A15" s="311"/>
      <c r="B15" s="20">
        <v>45239</v>
      </c>
      <c r="C15" s="14" t="s">
        <v>22</v>
      </c>
      <c r="D15" s="27"/>
      <c r="G15" s="31"/>
      <c r="H15" s="13"/>
      <c r="I15" s="35"/>
      <c r="K15" s="35"/>
      <c r="M15" s="35"/>
      <c r="N15" s="14"/>
      <c r="O15" s="27"/>
      <c r="Q15" s="31"/>
      <c r="R15" s="13"/>
      <c r="S15" s="31"/>
      <c r="T15" s="13"/>
      <c r="U15" s="31">
        <v>1000</v>
      </c>
      <c r="V15" s="31"/>
      <c r="W15" s="15"/>
    </row>
    <row r="16" spans="1:23" x14ac:dyDescent="0.25">
      <c r="A16" s="311"/>
      <c r="B16" s="20">
        <v>45240</v>
      </c>
      <c r="C16" s="14" t="s">
        <v>22</v>
      </c>
      <c r="D16" s="27"/>
      <c r="G16" s="31"/>
      <c r="H16" s="13"/>
      <c r="I16" s="35"/>
      <c r="K16" s="35"/>
      <c r="M16" s="35"/>
      <c r="N16" s="14"/>
      <c r="O16" s="27"/>
      <c r="Q16" s="31"/>
      <c r="R16" s="13"/>
      <c r="S16" s="31"/>
      <c r="T16" s="13">
        <f>400+45</f>
        <v>445</v>
      </c>
      <c r="U16" s="31"/>
      <c r="V16" s="31"/>
      <c r="W16" s="15"/>
    </row>
    <row r="17" spans="1:24" x14ac:dyDescent="0.25">
      <c r="A17" s="311"/>
      <c r="B17" s="20">
        <v>45241</v>
      </c>
      <c r="C17" s="14" t="s">
        <v>22</v>
      </c>
      <c r="D17" s="27"/>
      <c r="G17" s="31"/>
      <c r="H17" s="13"/>
      <c r="I17" s="35"/>
      <c r="K17" s="35"/>
      <c r="M17" s="35"/>
      <c r="N17" s="14"/>
      <c r="O17" s="27"/>
      <c r="Q17" s="31"/>
      <c r="R17" s="13"/>
      <c r="S17" s="31"/>
      <c r="T17" s="13">
        <v>80</v>
      </c>
      <c r="U17" s="31"/>
      <c r="V17" s="31"/>
      <c r="W17" s="15"/>
    </row>
    <row r="18" spans="1:24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S18" s="31"/>
      <c r="T18" s="13"/>
      <c r="U18" s="31"/>
      <c r="V18" s="31"/>
      <c r="W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/>
      <c r="V19" s="31"/>
      <c r="W19" s="15"/>
    </row>
    <row r="20" spans="1:24" ht="15.75" thickBot="1" x14ac:dyDescent="0.3">
      <c r="A20" s="312"/>
      <c r="B20" s="13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ht="21.75" thickBot="1" x14ac:dyDescent="0.3">
      <c r="A21" s="21" t="s">
        <v>23</v>
      </c>
      <c r="B21" s="22"/>
      <c r="C21" s="23"/>
      <c r="D21" s="29">
        <f t="shared" ref="D21:W21" si="0">SUM(D4:D11)-SUM(D12:D20)</f>
        <v>11550</v>
      </c>
      <c r="E21" s="22">
        <f>SUM(E4:E11)-SUM(E12:E20)</f>
        <v>2846</v>
      </c>
      <c r="F21" s="24">
        <f t="shared" si="0"/>
        <v>906</v>
      </c>
      <c r="G21" s="33">
        <f t="shared" si="0"/>
        <v>156</v>
      </c>
      <c r="H21" s="22">
        <f t="shared" si="0"/>
        <v>0</v>
      </c>
      <c r="I21" s="37">
        <f t="shared" si="0"/>
        <v>809</v>
      </c>
      <c r="J21" s="24">
        <f t="shared" si="0"/>
        <v>1386</v>
      </c>
      <c r="K21" s="37">
        <f t="shared" si="0"/>
        <v>2539</v>
      </c>
      <c r="L21" s="24">
        <f t="shared" si="0"/>
        <v>1652</v>
      </c>
      <c r="M21" s="37">
        <f t="shared" si="0"/>
        <v>105</v>
      </c>
      <c r="N21" s="23">
        <f t="shared" si="0"/>
        <v>100</v>
      </c>
      <c r="O21" s="29">
        <f t="shared" si="0"/>
        <v>920</v>
      </c>
      <c r="P21" s="24">
        <f t="shared" si="0"/>
        <v>1185</v>
      </c>
      <c r="Q21" s="33">
        <f t="shared" si="0"/>
        <v>0</v>
      </c>
      <c r="R21" s="22">
        <f t="shared" si="0"/>
        <v>1456</v>
      </c>
      <c r="S21" s="33">
        <f t="shared" si="0"/>
        <v>568</v>
      </c>
      <c r="T21" s="22">
        <f t="shared" si="0"/>
        <v>2525</v>
      </c>
      <c r="U21" s="33">
        <f t="shared" si="0"/>
        <v>1659</v>
      </c>
      <c r="V21" s="33">
        <f t="shared" si="0"/>
        <v>278</v>
      </c>
      <c r="W21" s="25">
        <f t="shared" si="0"/>
        <v>52</v>
      </c>
    </row>
    <row r="23" spans="1:24" x14ac:dyDescent="0.25">
      <c r="D23">
        <f>2550*0.38+9000*0.36</f>
        <v>4209</v>
      </c>
      <c r="E23">
        <f>+E21*0.41</f>
        <v>1166.8599999999999</v>
      </c>
      <c r="F23">
        <f>+F21*0.38</f>
        <v>344.28000000000003</v>
      </c>
      <c r="G23">
        <f>+G21*0.48</f>
        <v>74.88</v>
      </c>
      <c r="H23">
        <f>+H21*0.64</f>
        <v>0</v>
      </c>
      <c r="I23">
        <f>+I21*0.6</f>
        <v>485.4</v>
      </c>
      <c r="J23">
        <f>+J21*0.89</f>
        <v>1233.54</v>
      </c>
      <c r="K23">
        <f>+K21*0.68</f>
        <v>1726.5200000000002</v>
      </c>
      <c r="L23">
        <f>+L21*0.66</f>
        <v>1090.3200000000002</v>
      </c>
      <c r="M23">
        <f>+M21*0.7</f>
        <v>73.5</v>
      </c>
      <c r="N23">
        <f>+N21*0.62</f>
        <v>62</v>
      </c>
      <c r="O23">
        <f>+O21*2.3</f>
        <v>2116</v>
      </c>
      <c r="P23">
        <f>+P21*1.77</f>
        <v>2097.4499999999998</v>
      </c>
      <c r="Q23">
        <f>+Q21*2.35</f>
        <v>0</v>
      </c>
      <c r="R23">
        <f>+R21*1.92</f>
        <v>2795.52</v>
      </c>
      <c r="S23">
        <f>+S21*2.36</f>
        <v>1340.48</v>
      </c>
      <c r="T23">
        <f>+T21*0.42</f>
        <v>1060.5</v>
      </c>
      <c r="U23">
        <f>+U21*0.32</f>
        <v>530.88</v>
      </c>
      <c r="V23">
        <f>+V21*0.8</f>
        <v>222.4</v>
      </c>
      <c r="W23">
        <f>+W21*2</f>
        <v>104</v>
      </c>
      <c r="X23">
        <f>SUM(D23:W23)</f>
        <v>20733.530000000002</v>
      </c>
    </row>
    <row r="25" spans="1:24" x14ac:dyDescent="0.25">
      <c r="C25" s="47" t="s">
        <v>35</v>
      </c>
      <c r="D25" s="47">
        <v>11687</v>
      </c>
      <c r="E25" s="47">
        <v>2874</v>
      </c>
      <c r="F25" s="47">
        <v>906</v>
      </c>
      <c r="G25" s="47">
        <v>206</v>
      </c>
      <c r="H25" s="47">
        <v>115</v>
      </c>
      <c r="I25" s="47">
        <v>804</v>
      </c>
      <c r="J25" s="47">
        <v>1381</v>
      </c>
      <c r="K25" s="47">
        <v>2515</v>
      </c>
      <c r="L25" s="47">
        <v>1647</v>
      </c>
      <c r="M25" s="47">
        <v>96</v>
      </c>
      <c r="N25" s="47">
        <v>100</v>
      </c>
      <c r="O25" s="47">
        <v>931</v>
      </c>
      <c r="P25" s="47">
        <v>1184</v>
      </c>
      <c r="Q25" s="47"/>
      <c r="R25" s="47">
        <v>1510</v>
      </c>
      <c r="S25" s="47">
        <v>567</v>
      </c>
      <c r="T25" s="47">
        <v>2107</v>
      </c>
      <c r="U25" s="47">
        <v>1489</v>
      </c>
      <c r="V25" s="47">
        <v>288</v>
      </c>
      <c r="W25" s="47">
        <v>54</v>
      </c>
    </row>
    <row r="26" spans="1:24" x14ac:dyDescent="0.25">
      <c r="C26" s="39" t="s">
        <v>36</v>
      </c>
      <c r="D26" s="39">
        <f>D25-D21</f>
        <v>137</v>
      </c>
      <c r="E26" s="39">
        <f t="shared" ref="E26:W26" si="1">E25-E21</f>
        <v>28</v>
      </c>
      <c r="F26" s="39">
        <f t="shared" si="1"/>
        <v>0</v>
      </c>
      <c r="G26" s="39">
        <f t="shared" si="1"/>
        <v>50</v>
      </c>
      <c r="H26" s="39">
        <f t="shared" si="1"/>
        <v>115</v>
      </c>
      <c r="I26" s="39">
        <f t="shared" si="1"/>
        <v>-5</v>
      </c>
      <c r="J26" s="39">
        <f t="shared" si="1"/>
        <v>-5</v>
      </c>
      <c r="K26" s="39">
        <f>K25-K21</f>
        <v>-24</v>
      </c>
      <c r="L26" s="39">
        <f t="shared" si="1"/>
        <v>-5</v>
      </c>
      <c r="M26" s="39">
        <f t="shared" si="1"/>
        <v>-9</v>
      </c>
      <c r="N26" s="39">
        <f t="shared" si="1"/>
        <v>0</v>
      </c>
      <c r="O26" s="39">
        <f t="shared" si="1"/>
        <v>11</v>
      </c>
      <c r="P26" s="39">
        <f t="shared" si="1"/>
        <v>-1</v>
      </c>
      <c r="Q26" s="39">
        <f t="shared" si="1"/>
        <v>0</v>
      </c>
      <c r="R26" s="39">
        <f t="shared" si="1"/>
        <v>54</v>
      </c>
      <c r="S26" s="39">
        <f t="shared" si="1"/>
        <v>-1</v>
      </c>
      <c r="T26" s="39">
        <f t="shared" si="1"/>
        <v>-418</v>
      </c>
      <c r="U26" s="39">
        <f t="shared" si="1"/>
        <v>-170</v>
      </c>
      <c r="V26" s="39">
        <f t="shared" si="1"/>
        <v>10</v>
      </c>
      <c r="W26" s="39">
        <f t="shared" si="1"/>
        <v>2</v>
      </c>
    </row>
  </sheetData>
  <mergeCells count="7">
    <mergeCell ref="T2:U2"/>
    <mergeCell ref="A4:A11"/>
    <mergeCell ref="A12:A20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7464-EADD-4332-88D3-8A43EB589165}">
  <dimension ref="A1:X34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27" sqref="C27:W27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12.2851562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7.5703125" bestFit="1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2.5703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46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34</v>
      </c>
    </row>
    <row r="4" spans="1:23" x14ac:dyDescent="0.25">
      <c r="A4" s="310" t="s">
        <v>19</v>
      </c>
      <c r="B4" s="1"/>
      <c r="C4" s="2" t="s">
        <v>20</v>
      </c>
      <c r="D4" s="42">
        <f>'STOCK 05 a 11'!D21</f>
        <v>11550</v>
      </c>
      <c r="E4" s="42">
        <f>'STOCK 05 a 11'!E21</f>
        <v>2846</v>
      </c>
      <c r="F4" s="42">
        <f>'STOCK 05 a 11'!F21</f>
        <v>906</v>
      </c>
      <c r="G4" s="42">
        <f>'STOCK 05 a 11'!G21</f>
        <v>156</v>
      </c>
      <c r="H4" s="42">
        <f>'STOCK 05 a 11'!H21</f>
        <v>0</v>
      </c>
      <c r="I4" s="42">
        <f>'STOCK 05 a 11'!I21</f>
        <v>809</v>
      </c>
      <c r="J4" s="42">
        <f>'STOCK 05 a 11'!J21</f>
        <v>1386</v>
      </c>
      <c r="K4" s="42">
        <f>'STOCK 05 a 11'!K21</f>
        <v>2539</v>
      </c>
      <c r="L4" s="42">
        <f>'STOCK 05 a 11'!L21</f>
        <v>1652</v>
      </c>
      <c r="M4" s="42">
        <f>'STOCK 05 a 11'!M21</f>
        <v>105</v>
      </c>
      <c r="N4" s="42">
        <f>'STOCK 05 a 11'!N21</f>
        <v>100</v>
      </c>
      <c r="O4" s="42">
        <f>'STOCK 05 a 11'!O21</f>
        <v>920</v>
      </c>
      <c r="P4" s="42">
        <f>'STOCK 05 a 11'!P21</f>
        <v>1185</v>
      </c>
      <c r="Q4" s="42">
        <f>'STOCK 05 a 11'!Q21</f>
        <v>0</v>
      </c>
      <c r="R4" s="42">
        <f>'STOCK 05 a 11'!R21</f>
        <v>1456</v>
      </c>
      <c r="S4" s="42">
        <f>'STOCK 05 a 11'!S21</f>
        <v>568</v>
      </c>
      <c r="T4" s="42">
        <f>'STOCK 05 a 11'!T21</f>
        <v>2525</v>
      </c>
      <c r="U4" s="42">
        <f>'STOCK 05 a 11'!U21</f>
        <v>1659</v>
      </c>
      <c r="V4" s="42">
        <f>'STOCK 05 a 11'!V21</f>
        <v>278</v>
      </c>
      <c r="W4" s="42">
        <f>'STOCK 05 a 11'!W21</f>
        <v>52</v>
      </c>
    </row>
    <row r="5" spans="1:23" x14ac:dyDescent="0.25">
      <c r="A5" s="311"/>
      <c r="B5" s="20">
        <v>45243</v>
      </c>
      <c r="C5" s="14" t="s">
        <v>27</v>
      </c>
      <c r="D5" s="27"/>
      <c r="G5" s="31"/>
      <c r="H5" s="13"/>
      <c r="I5" s="35"/>
      <c r="K5" s="35"/>
      <c r="M5" s="35"/>
      <c r="N5" s="14"/>
      <c r="O5" s="27"/>
      <c r="Q5" s="31"/>
      <c r="R5" s="13">
        <v>200</v>
      </c>
      <c r="S5" s="31"/>
      <c r="T5" s="13"/>
      <c r="U5" s="31"/>
      <c r="V5" s="31"/>
      <c r="W5" s="15"/>
    </row>
    <row r="6" spans="1:23" x14ac:dyDescent="0.25">
      <c r="A6" s="311"/>
      <c r="B6" s="20">
        <v>45243</v>
      </c>
      <c r="C6" s="14" t="s">
        <v>24</v>
      </c>
      <c r="D6" s="27">
        <v>3300</v>
      </c>
      <c r="G6" s="31"/>
      <c r="H6" s="13"/>
      <c r="I6" s="35"/>
      <c r="K6" s="35"/>
      <c r="M6" s="35"/>
      <c r="N6" s="14"/>
      <c r="O6" s="27"/>
      <c r="Q6" s="31"/>
      <c r="R6" s="13"/>
      <c r="S6" s="31"/>
      <c r="T6" s="13"/>
      <c r="U6" s="31"/>
      <c r="V6" s="31"/>
      <c r="W6" s="15"/>
    </row>
    <row r="7" spans="1:23" x14ac:dyDescent="0.25">
      <c r="A7" s="311"/>
      <c r="B7" s="20">
        <v>45244</v>
      </c>
      <c r="C7" s="14" t="s">
        <v>29</v>
      </c>
      <c r="D7" s="27"/>
      <c r="G7" s="31"/>
      <c r="H7" s="13">
        <v>4000</v>
      </c>
      <c r="I7" s="35"/>
      <c r="K7" s="35"/>
      <c r="M7" s="35"/>
      <c r="N7" s="14"/>
      <c r="O7" s="27"/>
      <c r="Q7" s="31"/>
      <c r="R7" s="13"/>
      <c r="S7" s="31"/>
      <c r="T7" s="13"/>
      <c r="U7" s="31"/>
      <c r="V7" s="31"/>
      <c r="W7" s="15"/>
    </row>
    <row r="8" spans="1:23" x14ac:dyDescent="0.25">
      <c r="A8" s="311"/>
      <c r="B8" s="20">
        <v>45247</v>
      </c>
      <c r="C8" s="14" t="s">
        <v>24</v>
      </c>
      <c r="D8" s="27"/>
      <c r="G8" s="31"/>
      <c r="H8" s="13"/>
      <c r="I8" s="35"/>
      <c r="K8" s="35"/>
      <c r="M8" s="35"/>
      <c r="N8" s="14"/>
      <c r="O8" s="27"/>
      <c r="Q8" s="31"/>
      <c r="R8" s="13"/>
      <c r="S8" s="31"/>
      <c r="T8" s="13"/>
      <c r="U8" s="31">
        <v>1000</v>
      </c>
      <c r="V8" s="31"/>
      <c r="W8" s="15"/>
    </row>
    <row r="9" spans="1:23" x14ac:dyDescent="0.25">
      <c r="A9" s="311"/>
      <c r="B9" s="20">
        <v>45248</v>
      </c>
      <c r="C9" s="14" t="s">
        <v>24</v>
      </c>
      <c r="D9" s="27">
        <v>4500</v>
      </c>
      <c r="G9" s="31"/>
      <c r="H9" s="13"/>
      <c r="I9" s="35"/>
      <c r="K9" s="35"/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x14ac:dyDescent="0.25">
      <c r="A10" s="311"/>
      <c r="B10" s="20"/>
      <c r="C10" s="14"/>
      <c r="D10" s="27"/>
      <c r="G10" s="31"/>
      <c r="H10" s="13"/>
      <c r="I10" s="35"/>
      <c r="K10" s="35"/>
      <c r="M10" s="35"/>
      <c r="N10" s="14"/>
      <c r="O10" s="27"/>
      <c r="Q10" s="31"/>
      <c r="R10" s="13"/>
      <c r="S10" s="31"/>
      <c r="T10" s="13"/>
      <c r="U10" s="31"/>
      <c r="V10" s="31"/>
      <c r="W10" s="15"/>
    </row>
    <row r="11" spans="1:23" x14ac:dyDescent="0.25">
      <c r="A11" s="311"/>
      <c r="B11" s="20"/>
      <c r="C11" s="14"/>
      <c r="D11" s="27"/>
      <c r="G11" s="31"/>
      <c r="H11" s="13"/>
      <c r="I11" s="35"/>
      <c r="K11" s="35"/>
      <c r="M11" s="35"/>
      <c r="N11" s="14"/>
      <c r="O11" s="27"/>
      <c r="Q11" s="31"/>
      <c r="R11" s="13"/>
      <c r="S11" s="31"/>
      <c r="T11" s="13"/>
      <c r="U11" s="31"/>
      <c r="V11" s="31"/>
      <c r="W11" s="15"/>
    </row>
    <row r="12" spans="1:23" ht="15.75" thickBot="1" x14ac:dyDescent="0.3">
      <c r="A12" s="312"/>
      <c r="B12" s="16"/>
      <c r="C12" s="17"/>
      <c r="D12" s="28"/>
      <c r="E12" s="18"/>
      <c r="F12" s="18"/>
      <c r="G12" s="32"/>
      <c r="H12" s="16"/>
      <c r="I12" s="36"/>
      <c r="J12" s="18"/>
      <c r="K12" s="36"/>
      <c r="L12" s="18"/>
      <c r="M12" s="36"/>
      <c r="N12" s="17"/>
      <c r="O12" s="28"/>
      <c r="P12" s="18"/>
      <c r="Q12" s="32"/>
      <c r="R12" s="16"/>
      <c r="S12" s="32"/>
      <c r="T12" s="16"/>
      <c r="U12" s="32"/>
      <c r="V12" s="32"/>
      <c r="W12" s="19"/>
    </row>
    <row r="13" spans="1:23" x14ac:dyDescent="0.25">
      <c r="A13" s="310" t="s">
        <v>21</v>
      </c>
      <c r="B13" s="20">
        <v>45242</v>
      </c>
      <c r="C13" s="14" t="s">
        <v>22</v>
      </c>
      <c r="D13" s="27"/>
      <c r="G13" s="31">
        <f>20+30</f>
        <v>50</v>
      </c>
      <c r="H13" s="13"/>
      <c r="I13" s="35"/>
      <c r="K13" s="35"/>
      <c r="M13" s="35"/>
      <c r="N13" s="14"/>
      <c r="O13" s="27"/>
      <c r="Q13" s="31"/>
      <c r="R13" s="13"/>
      <c r="S13" s="31"/>
      <c r="T13" s="13"/>
      <c r="U13" s="31"/>
      <c r="V13" s="31"/>
      <c r="W13" s="15"/>
    </row>
    <row r="14" spans="1:23" x14ac:dyDescent="0.25">
      <c r="A14" s="311"/>
      <c r="B14" s="20">
        <v>45243</v>
      </c>
      <c r="C14" s="14" t="s">
        <v>22</v>
      </c>
      <c r="D14" s="27">
        <f>1000+1450</f>
        <v>2450</v>
      </c>
      <c r="G14" s="31"/>
      <c r="H14" s="13"/>
      <c r="I14" s="35"/>
      <c r="K14" s="35">
        <v>1000</v>
      </c>
      <c r="M14" s="35"/>
      <c r="N14" s="14"/>
      <c r="O14" s="27"/>
      <c r="P14">
        <v>350</v>
      </c>
      <c r="Q14" s="31"/>
      <c r="R14" s="13">
        <v>24</v>
      </c>
      <c r="S14" s="31"/>
      <c r="T14" s="13"/>
      <c r="U14" s="31"/>
      <c r="V14" s="31"/>
      <c r="W14" s="15"/>
    </row>
    <row r="15" spans="1:23" x14ac:dyDescent="0.25">
      <c r="A15" s="311"/>
      <c r="B15" s="20">
        <v>45244</v>
      </c>
      <c r="C15" s="14" t="s">
        <v>22</v>
      </c>
      <c r="D15" s="27"/>
      <c r="G15" s="31"/>
      <c r="H15" s="13"/>
      <c r="I15" s="35"/>
      <c r="K15" s="35"/>
      <c r="M15" s="35"/>
      <c r="N15" s="14"/>
      <c r="O15" s="27">
        <v>360</v>
      </c>
      <c r="Q15" s="31"/>
      <c r="R15" s="13">
        <v>300</v>
      </c>
      <c r="S15" s="31"/>
      <c r="T15" s="13"/>
      <c r="U15" s="31">
        <v>500</v>
      </c>
      <c r="V15" s="31"/>
      <c r="W15" s="15"/>
    </row>
    <row r="16" spans="1:23" x14ac:dyDescent="0.25">
      <c r="A16" s="311"/>
      <c r="B16" s="20">
        <v>45245</v>
      </c>
      <c r="C16" s="14" t="s">
        <v>22</v>
      </c>
      <c r="D16" s="27">
        <v>2000</v>
      </c>
      <c r="G16" s="31">
        <v>80</v>
      </c>
      <c r="H16" s="13"/>
      <c r="I16" s="35"/>
      <c r="K16" s="35"/>
      <c r="M16" s="35"/>
      <c r="N16" s="14"/>
      <c r="O16" s="27"/>
      <c r="P16">
        <v>50</v>
      </c>
      <c r="Q16" s="31"/>
      <c r="R16" s="13"/>
      <c r="S16" s="31"/>
      <c r="T16" s="48">
        <v>50</v>
      </c>
      <c r="U16" s="31">
        <v>100</v>
      </c>
      <c r="V16" s="31"/>
      <c r="W16" s="15"/>
    </row>
    <row r="17" spans="1:24" x14ac:dyDescent="0.25">
      <c r="A17" s="311"/>
      <c r="B17" s="20">
        <v>45246</v>
      </c>
      <c r="C17" s="14" t="s">
        <v>22</v>
      </c>
      <c r="D17" s="27">
        <v>23</v>
      </c>
      <c r="G17" s="31"/>
      <c r="H17" s="13"/>
      <c r="I17" s="35"/>
      <c r="K17" s="35"/>
      <c r="M17" s="35"/>
      <c r="N17" s="14"/>
      <c r="O17" s="27"/>
      <c r="Q17" s="31"/>
      <c r="R17" s="13"/>
      <c r="S17" s="31"/>
      <c r="T17" s="13"/>
      <c r="U17" s="31">
        <v>150</v>
      </c>
      <c r="V17" s="31"/>
      <c r="W17" s="15"/>
    </row>
    <row r="18" spans="1:24" x14ac:dyDescent="0.25">
      <c r="A18" s="311"/>
      <c r="B18" s="20">
        <v>45247</v>
      </c>
      <c r="C18" s="14" t="s">
        <v>22</v>
      </c>
      <c r="D18" s="27">
        <f>1000+50+500</f>
        <v>1550</v>
      </c>
      <c r="G18" s="31"/>
      <c r="H18" s="13"/>
      <c r="I18" s="35"/>
      <c r="K18" s="35"/>
      <c r="M18" s="35"/>
      <c r="N18" s="14">
        <v>100</v>
      </c>
      <c r="O18" s="27"/>
      <c r="P18">
        <v>20</v>
      </c>
      <c r="Q18" s="31"/>
      <c r="R18" s="13"/>
      <c r="S18" s="31"/>
      <c r="T18" s="13"/>
      <c r="U18" s="31">
        <v>20</v>
      </c>
      <c r="V18" s="31"/>
      <c r="W18" s="15"/>
    </row>
    <row r="19" spans="1:24" x14ac:dyDescent="0.25">
      <c r="A19" s="311"/>
      <c r="B19" s="20">
        <v>45248</v>
      </c>
      <c r="C19" s="14" t="s">
        <v>22</v>
      </c>
      <c r="D19" s="27">
        <f>1000+200</f>
        <v>1200</v>
      </c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>
        <v>300</v>
      </c>
      <c r="V19" s="31"/>
      <c r="W19" s="15"/>
    </row>
    <row r="20" spans="1:24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ht="15.75" thickBot="1" x14ac:dyDescent="0.3">
      <c r="A21" s="312"/>
      <c r="B21" s="13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S21" s="31"/>
      <c r="T21" s="13"/>
      <c r="U21" s="31"/>
      <c r="V21" s="31"/>
      <c r="W21" s="15"/>
    </row>
    <row r="22" spans="1:24" ht="21.75" thickBot="1" x14ac:dyDescent="0.3">
      <c r="A22" s="21" t="s">
        <v>23</v>
      </c>
      <c r="B22" s="22"/>
      <c r="C22" s="23"/>
      <c r="D22" s="29">
        <f>SUM(D4:D12)-SUM(D13:D21)</f>
        <v>12127</v>
      </c>
      <c r="E22" s="22">
        <f t="shared" ref="E22:W22" si="0">SUM(E4:E12)-SUM(E13:E21)</f>
        <v>2846</v>
      </c>
      <c r="F22" s="24">
        <f t="shared" si="0"/>
        <v>906</v>
      </c>
      <c r="G22" s="33">
        <f t="shared" si="0"/>
        <v>26</v>
      </c>
      <c r="H22" s="22">
        <f t="shared" si="0"/>
        <v>4000</v>
      </c>
      <c r="I22" s="37">
        <f t="shared" si="0"/>
        <v>809</v>
      </c>
      <c r="J22" s="24">
        <f t="shared" si="0"/>
        <v>1386</v>
      </c>
      <c r="K22" s="37">
        <f t="shared" si="0"/>
        <v>1539</v>
      </c>
      <c r="L22" s="24">
        <f t="shared" si="0"/>
        <v>1652</v>
      </c>
      <c r="M22" s="37">
        <f t="shared" si="0"/>
        <v>105</v>
      </c>
      <c r="N22" s="23">
        <f t="shared" si="0"/>
        <v>0</v>
      </c>
      <c r="O22" s="29">
        <f t="shared" si="0"/>
        <v>560</v>
      </c>
      <c r="P22" s="24">
        <f t="shared" si="0"/>
        <v>765</v>
      </c>
      <c r="Q22" s="33">
        <f t="shared" si="0"/>
        <v>0</v>
      </c>
      <c r="R22" s="22">
        <f>SUM(R4:R12)-SUM(R13:R21)</f>
        <v>1332</v>
      </c>
      <c r="S22" s="33">
        <f t="shared" si="0"/>
        <v>568</v>
      </c>
      <c r="T22" s="22">
        <f t="shared" si="0"/>
        <v>2475</v>
      </c>
      <c r="U22" s="33">
        <f t="shared" si="0"/>
        <v>1589</v>
      </c>
      <c r="V22" s="33">
        <f t="shared" si="0"/>
        <v>278</v>
      </c>
      <c r="W22" s="25">
        <f t="shared" si="0"/>
        <v>52</v>
      </c>
    </row>
    <row r="24" spans="1:24" x14ac:dyDescent="0.25">
      <c r="D24">
        <f>D22*0.36</f>
        <v>4365.72</v>
      </c>
      <c r="E24">
        <f>+E22*0.41</f>
        <v>1166.8599999999999</v>
      </c>
      <c r="F24">
        <f>+F22*0.38</f>
        <v>344.28000000000003</v>
      </c>
      <c r="G24">
        <f>+G22*0.48</f>
        <v>12.48</v>
      </c>
      <c r="H24">
        <f>+H22*0.57</f>
        <v>2280</v>
      </c>
      <c r="I24">
        <f>+I22*0.6</f>
        <v>485.4</v>
      </c>
      <c r="J24">
        <f>+J22*0.89</f>
        <v>1233.54</v>
      </c>
      <c r="K24">
        <f>+K22*0.68</f>
        <v>1046.52</v>
      </c>
      <c r="L24">
        <f>+L22*0.66</f>
        <v>1090.3200000000002</v>
      </c>
      <c r="M24">
        <f>+M22*0.7</f>
        <v>73.5</v>
      </c>
      <c r="N24">
        <f>+N22*0.62</f>
        <v>0</v>
      </c>
      <c r="O24">
        <f>+O22*2.3</f>
        <v>1288</v>
      </c>
      <c r="P24">
        <f>+P22*1.77</f>
        <v>1354.05</v>
      </c>
      <c r="Q24">
        <f>+Q22*2.35</f>
        <v>0</v>
      </c>
      <c r="R24">
        <f>+R22*1.92</f>
        <v>2557.44</v>
      </c>
      <c r="S24">
        <f>+S22*2.36</f>
        <v>1340.48</v>
      </c>
      <c r="T24">
        <f>+T22*0.42</f>
        <v>1039.5</v>
      </c>
      <c r="U24">
        <f>+U22*0.32</f>
        <v>508.48</v>
      </c>
      <c r="V24">
        <f>+V22*0.8</f>
        <v>222.4</v>
      </c>
      <c r="W24">
        <f>+W22*2</f>
        <v>104</v>
      </c>
      <c r="X24">
        <f>SUM(D24:W24)</f>
        <v>20512.969999999998</v>
      </c>
    </row>
    <row r="26" spans="1:24" x14ac:dyDescent="0.25">
      <c r="C26" s="47" t="s">
        <v>35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</row>
    <row r="27" spans="1:24" x14ac:dyDescent="0.25"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34" spans="8:8" x14ac:dyDescent="0.25">
      <c r="H34" t="s">
        <v>37</v>
      </c>
    </row>
  </sheetData>
  <mergeCells count="7">
    <mergeCell ref="T2:U2"/>
    <mergeCell ref="A4:A12"/>
    <mergeCell ref="A13:A21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9389-7EA3-4D81-AE64-8FED7F0B38CA}">
  <dimension ref="A1:X36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4" sqref="E14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12.2851562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8.425781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2.5703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46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34</v>
      </c>
    </row>
    <row r="4" spans="1:23" x14ac:dyDescent="0.25">
      <c r="A4" s="310" t="s">
        <v>19</v>
      </c>
      <c r="B4" s="1"/>
      <c r="C4" s="2" t="s">
        <v>20</v>
      </c>
      <c r="D4" s="42">
        <f>'STOCK 12 a 18'!D22</f>
        <v>12127</v>
      </c>
      <c r="E4" s="42">
        <f>'STOCK 12 a 18'!E22</f>
        <v>2846</v>
      </c>
      <c r="F4" s="42">
        <f>'STOCK 12 a 18'!F22</f>
        <v>906</v>
      </c>
      <c r="G4" s="42">
        <f>'STOCK 12 a 18'!G22</f>
        <v>26</v>
      </c>
      <c r="H4" s="42">
        <f>'STOCK 12 a 18'!H22</f>
        <v>4000</v>
      </c>
      <c r="I4" s="42">
        <f>'STOCK 12 a 18'!I22</f>
        <v>809</v>
      </c>
      <c r="J4" s="42">
        <f>'STOCK 12 a 18'!J22</f>
        <v>1386</v>
      </c>
      <c r="K4" s="42">
        <f>'STOCK 12 a 18'!K22</f>
        <v>1539</v>
      </c>
      <c r="L4" s="42">
        <f>'STOCK 12 a 18'!L22</f>
        <v>1652</v>
      </c>
      <c r="M4" s="42">
        <f>'STOCK 12 a 18'!M22</f>
        <v>105</v>
      </c>
      <c r="N4" s="42">
        <f>'STOCK 12 a 18'!N22</f>
        <v>0</v>
      </c>
      <c r="O4" s="42">
        <f>'STOCK 12 a 18'!O22</f>
        <v>560</v>
      </c>
      <c r="P4" s="42">
        <f>'STOCK 12 a 18'!P22</f>
        <v>765</v>
      </c>
      <c r="Q4" s="42">
        <f>'STOCK 12 a 18'!Q22</f>
        <v>0</v>
      </c>
      <c r="R4" s="42">
        <f>'STOCK 12 a 18'!R22</f>
        <v>1332</v>
      </c>
      <c r="S4" s="42">
        <f>'STOCK 12 a 18'!S22</f>
        <v>568</v>
      </c>
      <c r="T4" s="42">
        <f>'STOCK 12 a 18'!T22</f>
        <v>2475</v>
      </c>
      <c r="U4" s="42">
        <f>'STOCK 12 a 18'!U22</f>
        <v>1589</v>
      </c>
      <c r="V4" s="42">
        <f>'STOCK 12 a 18'!V22</f>
        <v>278</v>
      </c>
      <c r="W4" s="42">
        <f>'STOCK 12 a 18'!W22</f>
        <v>52</v>
      </c>
    </row>
    <row r="5" spans="1:23" x14ac:dyDescent="0.25">
      <c r="A5" s="311"/>
      <c r="B5" s="20">
        <v>45251</v>
      </c>
      <c r="C5" s="14" t="s">
        <v>27</v>
      </c>
      <c r="D5" s="27">
        <v>500</v>
      </c>
      <c r="G5" s="31"/>
      <c r="H5" s="13"/>
      <c r="I5" s="35"/>
      <c r="K5" s="35"/>
      <c r="M5" s="35"/>
      <c r="N5" s="14"/>
      <c r="O5" s="27"/>
      <c r="Q5" s="31"/>
      <c r="R5" s="13"/>
      <c r="S5" s="31"/>
      <c r="T5" s="13"/>
      <c r="U5" s="31"/>
      <c r="V5" s="31"/>
      <c r="W5" s="15"/>
    </row>
    <row r="6" spans="1:23" x14ac:dyDescent="0.25">
      <c r="A6" s="311"/>
      <c r="B6" s="20">
        <v>45251</v>
      </c>
      <c r="C6" s="14" t="s">
        <v>39</v>
      </c>
      <c r="D6" s="27">
        <v>500</v>
      </c>
      <c r="G6" s="31"/>
      <c r="H6" s="13"/>
      <c r="I6" s="35"/>
      <c r="K6" s="35"/>
      <c r="M6" s="35"/>
      <c r="N6" s="14"/>
      <c r="O6" s="27"/>
      <c r="Q6" s="31"/>
      <c r="R6" s="13"/>
      <c r="S6" s="31"/>
      <c r="T6" s="13"/>
      <c r="U6" s="31"/>
      <c r="V6" s="31"/>
      <c r="W6" s="15"/>
    </row>
    <row r="7" spans="1:23" x14ac:dyDescent="0.25">
      <c r="A7" s="311"/>
      <c r="B7" s="20">
        <v>45252</v>
      </c>
      <c r="C7" s="14" t="s">
        <v>27</v>
      </c>
      <c r="D7" s="27"/>
      <c r="G7" s="31"/>
      <c r="H7" s="13"/>
      <c r="I7" s="35"/>
      <c r="K7" s="35"/>
      <c r="M7" s="35"/>
      <c r="N7" s="14"/>
      <c r="O7" s="27"/>
      <c r="P7">
        <v>650</v>
      </c>
      <c r="Q7" s="31"/>
      <c r="R7" s="13"/>
      <c r="S7" s="31"/>
      <c r="T7" s="13"/>
      <c r="U7" s="31"/>
      <c r="V7" s="31"/>
      <c r="W7" s="15"/>
    </row>
    <row r="8" spans="1:23" x14ac:dyDescent="0.25">
      <c r="A8" s="311"/>
      <c r="B8" s="20">
        <v>45254</v>
      </c>
      <c r="C8" s="14" t="s">
        <v>27</v>
      </c>
      <c r="D8" s="27">
        <v>4500</v>
      </c>
      <c r="G8" s="31"/>
      <c r="H8" s="13"/>
      <c r="I8" s="35"/>
      <c r="K8" s="35"/>
      <c r="M8" s="35"/>
      <c r="N8" s="14"/>
      <c r="O8" s="27"/>
      <c r="Q8" s="31"/>
      <c r="R8" s="13"/>
      <c r="S8" s="31"/>
      <c r="T8" s="13"/>
      <c r="U8" s="31"/>
      <c r="V8" s="31"/>
      <c r="W8" s="15"/>
    </row>
    <row r="9" spans="1:23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x14ac:dyDescent="0.25">
      <c r="A10" s="311"/>
      <c r="B10" s="20"/>
      <c r="C10" s="14"/>
      <c r="D10" s="27"/>
      <c r="G10" s="31"/>
      <c r="H10" s="13"/>
      <c r="I10" s="35"/>
      <c r="K10" s="35"/>
      <c r="M10" s="35"/>
      <c r="N10" s="14"/>
      <c r="O10" s="27"/>
      <c r="Q10" s="31"/>
      <c r="R10" s="13"/>
      <c r="S10" s="31"/>
      <c r="T10" s="13"/>
      <c r="U10" s="31"/>
      <c r="V10" s="31"/>
      <c r="W10" s="15"/>
    </row>
    <row r="11" spans="1:23" x14ac:dyDescent="0.25">
      <c r="A11" s="311"/>
      <c r="B11" s="20"/>
      <c r="C11" s="14"/>
      <c r="D11" s="27"/>
      <c r="G11" s="31"/>
      <c r="H11" s="13"/>
      <c r="I11" s="35"/>
      <c r="K11" s="35"/>
      <c r="M11" s="35"/>
      <c r="N11" s="14"/>
      <c r="O11" s="27"/>
      <c r="Q11" s="31"/>
      <c r="R11" s="13"/>
      <c r="S11" s="31"/>
      <c r="T11" s="13"/>
      <c r="U11" s="31"/>
      <c r="V11" s="31"/>
      <c r="W11" s="15"/>
    </row>
    <row r="12" spans="1:23" x14ac:dyDescent="0.25">
      <c r="A12" s="311"/>
      <c r="B12" s="20"/>
      <c r="C12" s="14"/>
      <c r="D12" s="27"/>
      <c r="G12" s="31"/>
      <c r="H12" s="13"/>
      <c r="I12" s="35"/>
      <c r="K12" s="35"/>
      <c r="M12" s="35"/>
      <c r="N12" s="14"/>
      <c r="O12" s="27"/>
      <c r="Q12" s="31"/>
      <c r="R12" s="13"/>
      <c r="S12" s="31"/>
      <c r="T12" s="13"/>
      <c r="U12" s="31"/>
      <c r="V12" s="31"/>
      <c r="W12" s="15"/>
    </row>
    <row r="13" spans="1:23" ht="15.75" thickBot="1" x14ac:dyDescent="0.3">
      <c r="A13" s="312"/>
      <c r="B13" s="16"/>
      <c r="C13" s="17"/>
      <c r="D13" s="28"/>
      <c r="E13" s="18"/>
      <c r="F13" s="18"/>
      <c r="G13" s="32"/>
      <c r="H13" s="16"/>
      <c r="I13" s="36"/>
      <c r="J13" s="18"/>
      <c r="K13" s="36"/>
      <c r="L13" s="18"/>
      <c r="M13" s="36"/>
      <c r="N13" s="17"/>
      <c r="O13" s="28"/>
      <c r="P13" s="18"/>
      <c r="Q13" s="32"/>
      <c r="R13" s="16"/>
      <c r="S13" s="32"/>
      <c r="T13" s="16"/>
      <c r="U13" s="32"/>
      <c r="V13" s="32"/>
      <c r="W13" s="19"/>
    </row>
    <row r="14" spans="1:23" x14ac:dyDescent="0.25">
      <c r="A14" s="310" t="s">
        <v>21</v>
      </c>
      <c r="B14" s="20">
        <v>45250</v>
      </c>
      <c r="C14" s="14" t="s">
        <v>22</v>
      </c>
      <c r="D14" s="27">
        <f>500+630</f>
        <v>1130</v>
      </c>
      <c r="E14">
        <v>500</v>
      </c>
      <c r="G14" s="31"/>
      <c r="H14" s="13">
        <f>10+50</f>
        <v>60</v>
      </c>
      <c r="I14" s="35"/>
      <c r="K14" s="35"/>
      <c r="M14" s="35"/>
      <c r="N14" s="14"/>
      <c r="O14" s="27"/>
      <c r="Q14" s="31"/>
      <c r="R14" s="13"/>
      <c r="S14" s="31"/>
      <c r="T14" s="13">
        <v>20</v>
      </c>
      <c r="U14" s="31">
        <v>1000</v>
      </c>
      <c r="V14" s="31"/>
      <c r="W14" s="15"/>
    </row>
    <row r="15" spans="1:23" x14ac:dyDescent="0.25">
      <c r="A15" s="311"/>
      <c r="B15" s="20">
        <v>45251</v>
      </c>
      <c r="C15" s="14" t="s">
        <v>22</v>
      </c>
      <c r="D15" s="27">
        <v>500</v>
      </c>
      <c r="G15" s="31"/>
      <c r="H15" s="13"/>
      <c r="I15" s="35"/>
      <c r="J15">
        <v>1</v>
      </c>
      <c r="K15" s="35"/>
      <c r="M15" s="35"/>
      <c r="N15" s="14"/>
      <c r="O15" s="27"/>
      <c r="P15">
        <v>150</v>
      </c>
      <c r="Q15" s="31"/>
      <c r="R15" s="13"/>
      <c r="S15" s="31"/>
      <c r="T15" s="13">
        <v>60</v>
      </c>
      <c r="U15" s="31"/>
      <c r="V15" s="31"/>
      <c r="W15" s="15"/>
    </row>
    <row r="16" spans="1:23" x14ac:dyDescent="0.25">
      <c r="A16" s="311"/>
      <c r="B16" s="20">
        <v>45252</v>
      </c>
      <c r="C16" s="14" t="s">
        <v>22</v>
      </c>
      <c r="D16" s="27"/>
      <c r="G16" s="31"/>
      <c r="H16" s="13"/>
      <c r="I16" s="35">
        <v>700</v>
      </c>
      <c r="K16" s="35"/>
      <c r="M16" s="35"/>
      <c r="N16" s="14"/>
      <c r="O16" s="27"/>
      <c r="P16">
        <v>275</v>
      </c>
      <c r="Q16" s="31"/>
      <c r="R16" s="13"/>
      <c r="S16" s="31"/>
      <c r="T16" s="13"/>
      <c r="U16" s="31"/>
      <c r="V16" s="31"/>
      <c r="W16" s="15"/>
    </row>
    <row r="17" spans="1:24" x14ac:dyDescent="0.25">
      <c r="A17" s="311"/>
      <c r="B17" s="20">
        <v>45252</v>
      </c>
      <c r="C17" s="14" t="s">
        <v>38</v>
      </c>
      <c r="D17" s="27">
        <v>1500</v>
      </c>
      <c r="G17" s="31"/>
      <c r="H17" s="13"/>
      <c r="I17" s="35"/>
      <c r="K17" s="35"/>
      <c r="M17" s="35"/>
      <c r="N17" s="14"/>
      <c r="O17" s="27"/>
      <c r="Q17" s="31"/>
      <c r="R17" s="13"/>
      <c r="S17" s="31"/>
      <c r="T17" s="13"/>
      <c r="U17" s="31"/>
      <c r="V17" s="31"/>
      <c r="W17" s="15"/>
    </row>
    <row r="18" spans="1:24" x14ac:dyDescent="0.25">
      <c r="A18" s="311"/>
      <c r="B18" s="20">
        <v>45253</v>
      </c>
      <c r="C18" s="14" t="s">
        <v>22</v>
      </c>
      <c r="D18" s="27">
        <f>500+1000</f>
        <v>1500</v>
      </c>
      <c r="G18" s="31"/>
      <c r="H18" s="13"/>
      <c r="I18" s="35"/>
      <c r="K18" s="35">
        <v>100</v>
      </c>
      <c r="M18" s="35"/>
      <c r="N18" s="14"/>
      <c r="O18" s="27"/>
      <c r="P18">
        <v>50</v>
      </c>
      <c r="Q18" s="31"/>
      <c r="R18" s="13"/>
      <c r="S18" s="31"/>
      <c r="T18" s="48"/>
      <c r="U18" s="31"/>
      <c r="V18" s="31"/>
      <c r="W18" s="15"/>
    </row>
    <row r="19" spans="1:24" x14ac:dyDescent="0.25">
      <c r="A19" s="311"/>
      <c r="B19" s="20">
        <v>45254</v>
      </c>
      <c r="C19" s="14" t="s">
        <v>22</v>
      </c>
      <c r="D19" s="27">
        <v>1000</v>
      </c>
      <c r="G19" s="31"/>
      <c r="H19" s="13"/>
      <c r="I19" s="35"/>
      <c r="K19" s="35">
        <f>500+1000-90</f>
        <v>1410</v>
      </c>
      <c r="M19" s="35"/>
      <c r="N19" s="14"/>
      <c r="O19" s="27"/>
      <c r="P19">
        <v>400</v>
      </c>
      <c r="Q19" s="31"/>
      <c r="R19" s="13"/>
      <c r="S19" s="31"/>
      <c r="T19" s="13"/>
      <c r="U19" s="31">
        <v>30</v>
      </c>
      <c r="V19" s="31"/>
      <c r="W19" s="15"/>
    </row>
    <row r="20" spans="1:24" x14ac:dyDescent="0.25">
      <c r="A20" s="311"/>
      <c r="B20" s="20">
        <v>45254</v>
      </c>
      <c r="C20" s="14" t="s">
        <v>38</v>
      </c>
      <c r="D20" s="27">
        <v>1000</v>
      </c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S21" s="31"/>
      <c r="T21" s="13"/>
      <c r="U21" s="31"/>
      <c r="V21" s="31"/>
      <c r="W21" s="15"/>
    </row>
    <row r="22" spans="1:24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S22" s="31"/>
      <c r="T22" s="13"/>
      <c r="U22" s="31"/>
      <c r="V22" s="31"/>
      <c r="W22" s="15"/>
    </row>
    <row r="23" spans="1:24" ht="15.75" thickBot="1" x14ac:dyDescent="0.3">
      <c r="A23" s="312"/>
      <c r="B23" s="13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S23" s="31"/>
      <c r="T23" s="13"/>
      <c r="U23" s="31"/>
      <c r="V23" s="31"/>
      <c r="W23" s="15"/>
    </row>
    <row r="24" spans="1:24" ht="21.75" thickBot="1" x14ac:dyDescent="0.3">
      <c r="A24" s="21" t="s">
        <v>23</v>
      </c>
      <c r="B24" s="22"/>
      <c r="C24" s="23"/>
      <c r="D24" s="29">
        <f>SUM(D4:D13)-SUM(D14:D23)</f>
        <v>10997</v>
      </c>
      <c r="E24" s="22">
        <f t="shared" ref="E24:W24" si="0">SUM(E4:E13)-SUM(E14:E23)</f>
        <v>2346</v>
      </c>
      <c r="F24" s="24">
        <f t="shared" si="0"/>
        <v>906</v>
      </c>
      <c r="G24" s="33">
        <f t="shared" si="0"/>
        <v>26</v>
      </c>
      <c r="H24" s="22">
        <f t="shared" si="0"/>
        <v>3940</v>
      </c>
      <c r="I24" s="37">
        <f t="shared" si="0"/>
        <v>109</v>
      </c>
      <c r="J24" s="24">
        <f t="shared" si="0"/>
        <v>1385</v>
      </c>
      <c r="K24" s="37">
        <f>SUM(K4:K13)-SUM(K14:K23)</f>
        <v>29</v>
      </c>
      <c r="L24" s="24">
        <f t="shared" si="0"/>
        <v>1652</v>
      </c>
      <c r="M24" s="37">
        <f t="shared" si="0"/>
        <v>105</v>
      </c>
      <c r="N24" s="23">
        <f t="shared" si="0"/>
        <v>0</v>
      </c>
      <c r="O24" s="29">
        <f t="shared" si="0"/>
        <v>560</v>
      </c>
      <c r="P24" s="24">
        <f t="shared" si="0"/>
        <v>540</v>
      </c>
      <c r="Q24" s="33">
        <f t="shared" si="0"/>
        <v>0</v>
      </c>
      <c r="R24" s="22">
        <f t="shared" si="0"/>
        <v>1332</v>
      </c>
      <c r="S24" s="33">
        <f t="shared" si="0"/>
        <v>568</v>
      </c>
      <c r="T24" s="22">
        <f t="shared" si="0"/>
        <v>2395</v>
      </c>
      <c r="U24" s="33">
        <f t="shared" si="0"/>
        <v>559</v>
      </c>
      <c r="V24" s="33">
        <f t="shared" si="0"/>
        <v>278</v>
      </c>
      <c r="W24" s="25">
        <f t="shared" si="0"/>
        <v>52</v>
      </c>
    </row>
    <row r="26" spans="1:24" x14ac:dyDescent="0.25">
      <c r="D26">
        <f>D24*0.36</f>
        <v>3958.92</v>
      </c>
      <c r="E26">
        <f>+E24*0.41</f>
        <v>961.8599999999999</v>
      </c>
      <c r="F26">
        <f>+F24*0.38</f>
        <v>344.28000000000003</v>
      </c>
      <c r="G26">
        <f>+G24*0.48</f>
        <v>12.48</v>
      </c>
      <c r="H26">
        <f>+H24*0.57</f>
        <v>2245.7999999999997</v>
      </c>
      <c r="I26">
        <f>+I24*0.6</f>
        <v>65.399999999999991</v>
      </c>
      <c r="J26">
        <f>+J24*0.89</f>
        <v>1232.6500000000001</v>
      </c>
      <c r="K26">
        <f>+K24*0.68</f>
        <v>19.720000000000002</v>
      </c>
      <c r="L26">
        <f>+L24*0.66</f>
        <v>1090.3200000000002</v>
      </c>
      <c r="M26">
        <f>+M24*0.7</f>
        <v>73.5</v>
      </c>
      <c r="N26">
        <f>+N24*0.62</f>
        <v>0</v>
      </c>
      <c r="O26">
        <f>+O24*2.3</f>
        <v>1288</v>
      </c>
      <c r="P26">
        <f>+P24*1.77</f>
        <v>955.8</v>
      </c>
      <c r="Q26">
        <f>+Q24*2.35</f>
        <v>0</v>
      </c>
      <c r="R26">
        <f>+R24*1.92</f>
        <v>2557.44</v>
      </c>
      <c r="S26">
        <f>+S24*2.36</f>
        <v>1340.48</v>
      </c>
      <c r="T26">
        <f>+T24*0.42</f>
        <v>1005.9</v>
      </c>
      <c r="U26">
        <f>+U24*0.32</f>
        <v>178.88</v>
      </c>
      <c r="V26">
        <f>+V24*0.8</f>
        <v>222.4</v>
      </c>
      <c r="W26">
        <f>+W24*2</f>
        <v>104</v>
      </c>
      <c r="X26">
        <f>SUM(D26:W26)</f>
        <v>17657.829999999998</v>
      </c>
    </row>
    <row r="28" spans="1:24" x14ac:dyDescent="0.25">
      <c r="C28" s="47" t="s">
        <v>35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</row>
    <row r="29" spans="1:24" x14ac:dyDescent="0.25">
      <c r="C29" s="39" t="s">
        <v>36</v>
      </c>
      <c r="D29" s="39">
        <f>D28-D24</f>
        <v>-10997</v>
      </c>
      <c r="E29" s="39">
        <f t="shared" ref="E29:W29" si="1">E28-E24</f>
        <v>-2346</v>
      </c>
      <c r="F29" s="39">
        <f t="shared" si="1"/>
        <v>-906</v>
      </c>
      <c r="G29" s="39">
        <f t="shared" si="1"/>
        <v>-26</v>
      </c>
      <c r="H29" s="39">
        <f t="shared" si="1"/>
        <v>-3940</v>
      </c>
      <c r="I29" s="39">
        <f t="shared" si="1"/>
        <v>-109</v>
      </c>
      <c r="J29" s="39">
        <f t="shared" si="1"/>
        <v>-1385</v>
      </c>
      <c r="K29" s="39">
        <f t="shared" si="1"/>
        <v>-29</v>
      </c>
      <c r="L29" s="39">
        <f t="shared" si="1"/>
        <v>-1652</v>
      </c>
      <c r="M29" s="39">
        <f t="shared" si="1"/>
        <v>-105</v>
      </c>
      <c r="N29" s="39">
        <f t="shared" si="1"/>
        <v>0</v>
      </c>
      <c r="O29" s="39">
        <f t="shared" si="1"/>
        <v>-560</v>
      </c>
      <c r="P29" s="39">
        <f t="shared" si="1"/>
        <v>-540</v>
      </c>
      <c r="Q29" s="39">
        <f t="shared" si="1"/>
        <v>0</v>
      </c>
      <c r="R29" s="39">
        <f t="shared" si="1"/>
        <v>-1332</v>
      </c>
      <c r="S29" s="39">
        <f t="shared" si="1"/>
        <v>-568</v>
      </c>
      <c r="T29" s="39">
        <f t="shared" si="1"/>
        <v>-2395</v>
      </c>
      <c r="U29" s="39">
        <f t="shared" si="1"/>
        <v>-559</v>
      </c>
      <c r="V29" s="39">
        <f t="shared" si="1"/>
        <v>-278</v>
      </c>
      <c r="W29" s="39">
        <f t="shared" si="1"/>
        <v>-52</v>
      </c>
    </row>
    <row r="36" spans="8:8" x14ac:dyDescent="0.25">
      <c r="H36" t="s">
        <v>37</v>
      </c>
    </row>
  </sheetData>
  <mergeCells count="7">
    <mergeCell ref="T2:U2"/>
    <mergeCell ref="A4:A13"/>
    <mergeCell ref="A14:A23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449A-84C9-4784-8627-6A0D233804F5}">
  <dimension ref="A1:X33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5" sqref="E15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12.2851562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8.425781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2.5703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46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34</v>
      </c>
    </row>
    <row r="4" spans="1:23" x14ac:dyDescent="0.25">
      <c r="A4" s="310" t="s">
        <v>19</v>
      </c>
      <c r="B4" s="1"/>
      <c r="C4" s="2" t="s">
        <v>20</v>
      </c>
      <c r="D4" s="42">
        <f>'STOCK 19 a 25'!D24</f>
        <v>10997</v>
      </c>
      <c r="E4" s="42">
        <f>'STOCK 19 a 25'!E24</f>
        <v>2346</v>
      </c>
      <c r="F4" s="42">
        <f>'STOCK 19 a 25'!F24</f>
        <v>906</v>
      </c>
      <c r="G4" s="42">
        <f>'STOCK 19 a 25'!G24</f>
        <v>26</v>
      </c>
      <c r="H4" s="42">
        <f>'STOCK 19 a 25'!H24</f>
        <v>3940</v>
      </c>
      <c r="I4" s="42">
        <f>'STOCK 19 a 25'!I24</f>
        <v>109</v>
      </c>
      <c r="J4" s="42">
        <f>'STOCK 19 a 25'!J24</f>
        <v>1385</v>
      </c>
      <c r="K4" s="42">
        <f>'STOCK 19 a 25'!K24</f>
        <v>29</v>
      </c>
      <c r="L4" s="42">
        <f>'STOCK 19 a 25'!L24</f>
        <v>1652</v>
      </c>
      <c r="M4" s="42">
        <f>'STOCK 19 a 25'!M24</f>
        <v>105</v>
      </c>
      <c r="N4" s="42">
        <f>'STOCK 19 a 25'!N24</f>
        <v>0</v>
      </c>
      <c r="O4" s="42">
        <f>'STOCK 19 a 25'!O24</f>
        <v>560</v>
      </c>
      <c r="P4" s="42">
        <f>'STOCK 19 a 25'!P24</f>
        <v>540</v>
      </c>
      <c r="Q4" s="42">
        <f>'STOCK 19 a 25'!Q24</f>
        <v>0</v>
      </c>
      <c r="R4" s="42">
        <f>'STOCK 19 a 25'!R24</f>
        <v>1332</v>
      </c>
      <c r="S4" s="42">
        <f>'STOCK 19 a 25'!S24</f>
        <v>568</v>
      </c>
      <c r="T4" s="42">
        <f>'STOCK 19 a 25'!T24</f>
        <v>2395</v>
      </c>
      <c r="U4" s="42">
        <f>'STOCK 19 a 25'!U24</f>
        <v>559</v>
      </c>
      <c r="V4" s="42">
        <f>'STOCK 19 a 25'!V24</f>
        <v>278</v>
      </c>
      <c r="W4" s="42">
        <f>'STOCK 19 a 25'!W24</f>
        <v>52</v>
      </c>
    </row>
    <row r="5" spans="1:23" x14ac:dyDescent="0.25">
      <c r="A5" s="311"/>
      <c r="B5" s="20">
        <v>45262</v>
      </c>
      <c r="C5" s="14" t="s">
        <v>27</v>
      </c>
      <c r="D5" s="27"/>
      <c r="G5" s="31"/>
      <c r="H5" s="13"/>
      <c r="I5" s="35"/>
      <c r="K5" s="35"/>
      <c r="M5" s="35"/>
      <c r="N5" s="14"/>
      <c r="O5" s="27"/>
      <c r="Q5" s="31"/>
      <c r="R5" s="13"/>
      <c r="S5" s="31"/>
      <c r="T5" s="13">
        <v>2830</v>
      </c>
      <c r="U5" s="31"/>
      <c r="V5" s="31"/>
      <c r="W5" s="15"/>
    </row>
    <row r="6" spans="1:23" x14ac:dyDescent="0.25">
      <c r="A6" s="311"/>
      <c r="B6" s="20"/>
      <c r="C6" s="14"/>
      <c r="D6" s="27"/>
      <c r="G6" s="31"/>
      <c r="H6" s="13"/>
      <c r="I6" s="35"/>
      <c r="K6" s="35"/>
      <c r="M6" s="35"/>
      <c r="N6" s="14"/>
      <c r="O6" s="27"/>
      <c r="Q6" s="31"/>
      <c r="R6" s="13"/>
      <c r="S6" s="31"/>
      <c r="T6" s="13"/>
      <c r="U6" s="31"/>
      <c r="V6" s="31"/>
      <c r="W6" s="15"/>
    </row>
    <row r="7" spans="1:23" x14ac:dyDescent="0.25">
      <c r="A7" s="311"/>
      <c r="B7" s="20"/>
      <c r="C7" s="14"/>
      <c r="D7" s="27"/>
      <c r="G7" s="31"/>
      <c r="H7" s="13"/>
      <c r="I7" s="35"/>
      <c r="K7" s="35"/>
      <c r="M7" s="35"/>
      <c r="N7" s="14"/>
      <c r="O7" s="27"/>
      <c r="Q7" s="31"/>
      <c r="R7" s="13"/>
      <c r="S7" s="31"/>
      <c r="T7" s="13"/>
      <c r="U7" s="31"/>
      <c r="V7" s="31"/>
      <c r="W7" s="15"/>
    </row>
    <row r="8" spans="1:23" x14ac:dyDescent="0.25">
      <c r="A8" s="311"/>
      <c r="B8" s="20"/>
      <c r="C8" s="14"/>
      <c r="D8" s="27"/>
      <c r="G8" s="31"/>
      <c r="H8" s="13"/>
      <c r="I8" s="35"/>
      <c r="K8" s="35"/>
      <c r="M8" s="35"/>
      <c r="N8" s="14"/>
      <c r="O8" s="27"/>
      <c r="Q8" s="31"/>
      <c r="R8" s="13"/>
      <c r="S8" s="31"/>
      <c r="T8" s="13"/>
      <c r="U8" s="31"/>
      <c r="V8" s="31"/>
      <c r="W8" s="15"/>
    </row>
    <row r="9" spans="1:23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32"/>
      <c r="T10" s="16"/>
      <c r="U10" s="32"/>
      <c r="V10" s="32"/>
      <c r="W10" s="19"/>
    </row>
    <row r="11" spans="1:23" x14ac:dyDescent="0.25">
      <c r="A11" s="310" t="s">
        <v>21</v>
      </c>
      <c r="B11" s="20">
        <v>45257</v>
      </c>
      <c r="C11" s="14" t="s">
        <v>38</v>
      </c>
      <c r="D11" s="27"/>
      <c r="G11" s="31"/>
      <c r="H11" s="13"/>
      <c r="I11" s="35"/>
      <c r="K11" s="35"/>
      <c r="L11">
        <v>1652</v>
      </c>
      <c r="M11" s="35">
        <v>74</v>
      </c>
      <c r="N11" s="14"/>
      <c r="O11" s="27"/>
      <c r="Q11" s="31"/>
      <c r="R11" s="13"/>
      <c r="S11" s="31"/>
      <c r="T11" s="13"/>
      <c r="U11" s="31"/>
      <c r="V11" s="31"/>
      <c r="W11" s="15"/>
    </row>
    <row r="12" spans="1:23" x14ac:dyDescent="0.25">
      <c r="A12" s="311"/>
      <c r="B12" s="20">
        <v>45257</v>
      </c>
      <c r="C12" s="14" t="s">
        <v>40</v>
      </c>
      <c r="D12" s="27"/>
      <c r="G12" s="31"/>
      <c r="H12" s="13"/>
      <c r="I12" s="35"/>
      <c r="K12" s="35">
        <v>29</v>
      </c>
      <c r="M12" s="35">
        <v>31</v>
      </c>
      <c r="N12" s="14"/>
      <c r="O12" s="27"/>
      <c r="Q12" s="31"/>
      <c r="R12" s="13"/>
      <c r="S12" s="31"/>
      <c r="T12" s="13"/>
      <c r="U12" s="31"/>
      <c r="V12" s="31"/>
      <c r="W12" s="15"/>
    </row>
    <row r="13" spans="1:23" x14ac:dyDescent="0.25">
      <c r="A13" s="311"/>
      <c r="B13" s="20">
        <v>45257</v>
      </c>
      <c r="C13" s="14" t="s">
        <v>22</v>
      </c>
      <c r="D13" s="27">
        <v>200</v>
      </c>
      <c r="G13" s="31"/>
      <c r="H13" s="13">
        <v>150</v>
      </c>
      <c r="I13" s="35"/>
      <c r="K13" s="35"/>
      <c r="M13" s="35"/>
      <c r="N13" s="14"/>
      <c r="O13" s="27"/>
      <c r="Q13" s="31"/>
      <c r="R13" s="13">
        <v>250</v>
      </c>
      <c r="S13" s="31"/>
      <c r="T13" s="13">
        <f>300+20</f>
        <v>320</v>
      </c>
      <c r="U13" s="31">
        <v>250</v>
      </c>
      <c r="V13" s="31"/>
      <c r="W13" s="15"/>
    </row>
    <row r="14" spans="1:23" x14ac:dyDescent="0.25">
      <c r="A14" s="311"/>
      <c r="B14" s="20">
        <v>45258</v>
      </c>
      <c r="C14" s="14" t="s">
        <v>22</v>
      </c>
      <c r="D14" s="27">
        <v>1</v>
      </c>
      <c r="G14" s="31"/>
      <c r="H14" s="13">
        <v>23</v>
      </c>
      <c r="I14" s="35"/>
      <c r="K14" s="35"/>
      <c r="M14" s="35"/>
      <c r="N14" s="14"/>
      <c r="O14" s="27"/>
      <c r="Q14" s="31"/>
      <c r="R14" s="13"/>
      <c r="S14" s="31"/>
      <c r="T14" s="13"/>
      <c r="U14" s="31"/>
      <c r="V14" s="31"/>
      <c r="W14" s="15"/>
    </row>
    <row r="15" spans="1:23" x14ac:dyDescent="0.25">
      <c r="A15" s="311"/>
      <c r="B15" s="20">
        <v>45259</v>
      </c>
      <c r="C15" s="14" t="s">
        <v>22</v>
      </c>
      <c r="D15" s="27"/>
      <c r="E15">
        <v>2000</v>
      </c>
      <c r="G15" s="31"/>
      <c r="H15" s="13"/>
      <c r="I15" s="35"/>
      <c r="K15" s="35"/>
      <c r="M15" s="35"/>
      <c r="N15" s="14"/>
      <c r="O15" s="27"/>
      <c r="Q15" s="31"/>
      <c r="R15" s="13"/>
      <c r="S15" s="31"/>
      <c r="T15" s="48">
        <v>1000</v>
      </c>
      <c r="U15" s="31"/>
      <c r="V15" s="31"/>
      <c r="W15" s="15"/>
    </row>
    <row r="16" spans="1:23" x14ac:dyDescent="0.25">
      <c r="A16" s="311"/>
      <c r="B16" s="20">
        <v>45260</v>
      </c>
      <c r="C16" s="14" t="s">
        <v>22</v>
      </c>
      <c r="D16" s="27">
        <f>1000+1000</f>
        <v>2000</v>
      </c>
      <c r="G16" s="31"/>
      <c r="H16" s="13">
        <v>490</v>
      </c>
      <c r="I16" s="35"/>
      <c r="K16" s="35"/>
      <c r="M16" s="35"/>
      <c r="N16" s="14"/>
      <c r="O16" s="27"/>
      <c r="Q16" s="31"/>
      <c r="R16" s="13"/>
      <c r="S16" s="31"/>
      <c r="T16" s="13"/>
      <c r="U16" s="31"/>
      <c r="V16" s="31"/>
      <c r="W16" s="15"/>
    </row>
    <row r="17" spans="1:24" x14ac:dyDescent="0.25">
      <c r="A17" s="311"/>
      <c r="B17" s="20">
        <v>45261</v>
      </c>
      <c r="C17" s="14" t="s">
        <v>22</v>
      </c>
      <c r="D17" s="27"/>
      <c r="G17" s="31"/>
      <c r="H17" s="13"/>
      <c r="I17" s="35"/>
      <c r="K17" s="35"/>
      <c r="M17" s="35"/>
      <c r="N17" s="14"/>
      <c r="O17" s="27">
        <v>360</v>
      </c>
      <c r="P17">
        <v>30</v>
      </c>
      <c r="Q17" s="31"/>
      <c r="R17" s="13">
        <v>20</v>
      </c>
      <c r="S17" s="31"/>
      <c r="T17" s="13"/>
      <c r="U17" s="31"/>
      <c r="V17" s="31"/>
      <c r="W17" s="15"/>
    </row>
    <row r="18" spans="1:24" x14ac:dyDescent="0.25">
      <c r="A18" s="311"/>
      <c r="B18" s="20">
        <v>45262</v>
      </c>
      <c r="C18" s="14" t="s">
        <v>22</v>
      </c>
      <c r="D18" s="27"/>
      <c r="G18" s="31"/>
      <c r="H18" s="13"/>
      <c r="I18" s="35"/>
      <c r="K18" s="35"/>
      <c r="M18" s="35"/>
      <c r="N18" s="14"/>
      <c r="O18" s="27"/>
      <c r="Q18" s="31"/>
      <c r="R18" s="13">
        <v>600</v>
      </c>
      <c r="S18" s="31"/>
      <c r="T18" s="13"/>
      <c r="U18" s="31"/>
      <c r="V18" s="31"/>
      <c r="W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/>
      <c r="V19" s="31"/>
      <c r="W19" s="15"/>
    </row>
    <row r="20" spans="1:24" ht="15.75" thickBot="1" x14ac:dyDescent="0.3">
      <c r="A20" s="312"/>
      <c r="B20" s="13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ht="21.75" thickBot="1" x14ac:dyDescent="0.3">
      <c r="A21" s="21" t="s">
        <v>23</v>
      </c>
      <c r="B21" s="22"/>
      <c r="C21" s="23"/>
      <c r="D21" s="29">
        <f t="shared" ref="D21:W21" si="0">SUM(D4:D10)-SUM(D11:D20)</f>
        <v>8796</v>
      </c>
      <c r="E21" s="22">
        <f t="shared" si="0"/>
        <v>346</v>
      </c>
      <c r="F21" s="24">
        <f t="shared" si="0"/>
        <v>906</v>
      </c>
      <c r="G21" s="33">
        <f t="shared" si="0"/>
        <v>26</v>
      </c>
      <c r="H21" s="22">
        <f t="shared" si="0"/>
        <v>3277</v>
      </c>
      <c r="I21" s="37">
        <f t="shared" si="0"/>
        <v>109</v>
      </c>
      <c r="J21" s="24">
        <f t="shared" si="0"/>
        <v>1385</v>
      </c>
      <c r="K21" s="37">
        <f t="shared" si="0"/>
        <v>0</v>
      </c>
      <c r="L21" s="24">
        <f t="shared" si="0"/>
        <v>0</v>
      </c>
      <c r="M21" s="37">
        <f t="shared" si="0"/>
        <v>0</v>
      </c>
      <c r="N21" s="23">
        <f t="shared" si="0"/>
        <v>0</v>
      </c>
      <c r="O21" s="29">
        <f t="shared" si="0"/>
        <v>200</v>
      </c>
      <c r="P21" s="24">
        <f t="shared" si="0"/>
        <v>510</v>
      </c>
      <c r="Q21" s="33">
        <f t="shared" si="0"/>
        <v>0</v>
      </c>
      <c r="R21" s="22">
        <f t="shared" si="0"/>
        <v>462</v>
      </c>
      <c r="S21" s="33">
        <f t="shared" si="0"/>
        <v>568</v>
      </c>
      <c r="T21" s="22">
        <f t="shared" si="0"/>
        <v>3905</v>
      </c>
      <c r="U21" s="33">
        <f t="shared" si="0"/>
        <v>309</v>
      </c>
      <c r="V21" s="33">
        <f t="shared" si="0"/>
        <v>278</v>
      </c>
      <c r="W21" s="25">
        <f t="shared" si="0"/>
        <v>52</v>
      </c>
    </row>
    <row r="23" spans="1:24" x14ac:dyDescent="0.25">
      <c r="D23">
        <f>D21*0.36</f>
        <v>3166.56</v>
      </c>
      <c r="E23">
        <f>+E21*0.41</f>
        <v>141.85999999999999</v>
      </c>
      <c r="F23">
        <f>+F21*0.38</f>
        <v>344.28000000000003</v>
      </c>
      <c r="G23">
        <f>+G21*0.48</f>
        <v>12.48</v>
      </c>
      <c r="H23">
        <f>+H21*0.57</f>
        <v>1867.8899999999999</v>
      </c>
      <c r="I23">
        <f>+I21*0.6</f>
        <v>65.399999999999991</v>
      </c>
      <c r="J23">
        <f>+J21*0.89</f>
        <v>1232.6500000000001</v>
      </c>
      <c r="K23">
        <f>+K21*0.68</f>
        <v>0</v>
      </c>
      <c r="L23">
        <f>+L21*0.66</f>
        <v>0</v>
      </c>
      <c r="M23">
        <f>+M21*0.7</f>
        <v>0</v>
      </c>
      <c r="N23">
        <f>+N21*0.62</f>
        <v>0</v>
      </c>
      <c r="O23">
        <f>+O21*2.3</f>
        <v>459.99999999999994</v>
      </c>
      <c r="P23">
        <f>+P21*1.77</f>
        <v>902.7</v>
      </c>
      <c r="Q23">
        <f>+Q21*2.35</f>
        <v>0</v>
      </c>
      <c r="R23">
        <f>+R21*1.92</f>
        <v>887.04</v>
      </c>
      <c r="S23">
        <f>+S21*2.36</f>
        <v>1340.48</v>
      </c>
      <c r="T23">
        <f>+T21*0.42</f>
        <v>1640.1</v>
      </c>
      <c r="U23">
        <f>+U21*0.32</f>
        <v>98.88</v>
      </c>
      <c r="V23">
        <f>+V21*0.8</f>
        <v>222.4</v>
      </c>
      <c r="W23">
        <f>+W21*2</f>
        <v>104</v>
      </c>
      <c r="X23">
        <f>SUM(D23:W23)</f>
        <v>12486.72</v>
      </c>
    </row>
    <row r="25" spans="1:24" x14ac:dyDescent="0.25">
      <c r="C25" s="47" t="s">
        <v>35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</row>
    <row r="26" spans="1:24" x14ac:dyDescent="0.25">
      <c r="C26" s="39" t="s">
        <v>36</v>
      </c>
      <c r="D26" s="39">
        <f>D25-D21</f>
        <v>-8796</v>
      </c>
      <c r="E26" s="39">
        <f t="shared" ref="E26:W26" si="1">E25-E21</f>
        <v>-346</v>
      </c>
      <c r="F26" s="39">
        <f t="shared" si="1"/>
        <v>-906</v>
      </c>
      <c r="G26" s="39">
        <f t="shared" si="1"/>
        <v>-26</v>
      </c>
      <c r="H26" s="39">
        <f t="shared" si="1"/>
        <v>-3277</v>
      </c>
      <c r="I26" s="39">
        <f t="shared" si="1"/>
        <v>-109</v>
      </c>
      <c r="J26" s="39">
        <f t="shared" si="1"/>
        <v>-1385</v>
      </c>
      <c r="K26" s="39">
        <f t="shared" si="1"/>
        <v>0</v>
      </c>
      <c r="L26" s="39">
        <f t="shared" si="1"/>
        <v>0</v>
      </c>
      <c r="M26" s="39">
        <f t="shared" si="1"/>
        <v>0</v>
      </c>
      <c r="N26" s="39">
        <f t="shared" si="1"/>
        <v>0</v>
      </c>
      <c r="O26" s="39">
        <f t="shared" si="1"/>
        <v>-200</v>
      </c>
      <c r="P26" s="39">
        <f t="shared" si="1"/>
        <v>-510</v>
      </c>
      <c r="Q26" s="39">
        <f t="shared" si="1"/>
        <v>0</v>
      </c>
      <c r="R26" s="39">
        <f t="shared" si="1"/>
        <v>-462</v>
      </c>
      <c r="S26" s="39">
        <f t="shared" si="1"/>
        <v>-568</v>
      </c>
      <c r="T26" s="39">
        <f t="shared" si="1"/>
        <v>-3905</v>
      </c>
      <c r="U26" s="39">
        <f t="shared" si="1"/>
        <v>-309</v>
      </c>
      <c r="V26" s="39">
        <f t="shared" si="1"/>
        <v>-278</v>
      </c>
      <c r="W26" s="39">
        <f t="shared" si="1"/>
        <v>-52</v>
      </c>
    </row>
    <row r="33" spans="8:8" x14ac:dyDescent="0.25">
      <c r="H33" t="s">
        <v>37</v>
      </c>
    </row>
  </sheetData>
  <mergeCells count="7">
    <mergeCell ref="T2:U2"/>
    <mergeCell ref="A4:A10"/>
    <mergeCell ref="A11:A20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FEC4-B552-45C7-B115-84335C0CF3DC}">
  <dimension ref="A1:X23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24" sqref="J24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12.2851562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8.425781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2.5703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46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34</v>
      </c>
    </row>
    <row r="4" spans="1:23" x14ac:dyDescent="0.25">
      <c r="A4" s="310" t="s">
        <v>19</v>
      </c>
      <c r="B4" s="1"/>
      <c r="C4" s="2"/>
      <c r="D4" s="42">
        <f>'STOCK 26 a 02'!D21</f>
        <v>8796</v>
      </c>
      <c r="E4" s="42">
        <f>'STOCK 26 a 02'!E21</f>
        <v>346</v>
      </c>
      <c r="F4" s="42">
        <f>'STOCK 26 a 02'!F21</f>
        <v>906</v>
      </c>
      <c r="G4" s="42">
        <f>'STOCK 26 a 02'!G21</f>
        <v>26</v>
      </c>
      <c r="H4" s="42">
        <f>'STOCK 26 a 02'!H21</f>
        <v>3277</v>
      </c>
      <c r="I4" s="42">
        <f>'STOCK 26 a 02'!I21</f>
        <v>109</v>
      </c>
      <c r="J4" s="42">
        <f>'STOCK 26 a 02'!J21</f>
        <v>1385</v>
      </c>
      <c r="K4" s="42">
        <f>'STOCK 26 a 02'!K21</f>
        <v>0</v>
      </c>
      <c r="L4" s="42">
        <f>'STOCK 26 a 02'!L21</f>
        <v>0</v>
      </c>
      <c r="M4" s="42">
        <f>'STOCK 26 a 02'!M21</f>
        <v>0</v>
      </c>
      <c r="N4" s="42">
        <f>'STOCK 26 a 02'!N21</f>
        <v>0</v>
      </c>
      <c r="O4" s="42">
        <f>'STOCK 26 a 02'!O21</f>
        <v>200</v>
      </c>
      <c r="P4" s="42">
        <f>'STOCK 26 a 02'!P21</f>
        <v>510</v>
      </c>
      <c r="Q4" s="42">
        <f>'STOCK 26 a 02'!Q21</f>
        <v>0</v>
      </c>
      <c r="R4" s="42">
        <f>'STOCK 26 a 02'!R21</f>
        <v>462</v>
      </c>
      <c r="S4" s="42">
        <f>'STOCK 26 a 02'!S21</f>
        <v>568</v>
      </c>
      <c r="T4" s="42">
        <f>'STOCK 26 a 02'!T21</f>
        <v>3905</v>
      </c>
      <c r="U4" s="42">
        <f>'STOCK 26 a 02'!U21</f>
        <v>309</v>
      </c>
      <c r="V4" s="42">
        <f>'STOCK 26 a 02'!V21</f>
        <v>278</v>
      </c>
      <c r="W4" s="42">
        <f>'STOCK 26 a 02'!W21</f>
        <v>52</v>
      </c>
    </row>
    <row r="5" spans="1:23" x14ac:dyDescent="0.25">
      <c r="A5" s="311"/>
      <c r="B5" s="20">
        <v>45265</v>
      </c>
      <c r="C5" s="14" t="s">
        <v>24</v>
      </c>
      <c r="D5" s="27"/>
      <c r="G5" s="31"/>
      <c r="H5" s="13"/>
      <c r="I5" s="35"/>
      <c r="K5" s="35">
        <v>1500</v>
      </c>
      <c r="M5" s="35"/>
      <c r="N5" s="14"/>
      <c r="O5" s="27"/>
      <c r="Q5" s="31"/>
      <c r="R5" s="13"/>
      <c r="S5" s="31"/>
      <c r="T5" s="13"/>
      <c r="U5" s="31"/>
      <c r="V5" s="31"/>
      <c r="W5" s="15"/>
    </row>
    <row r="6" spans="1:23" x14ac:dyDescent="0.25">
      <c r="A6" s="311"/>
      <c r="B6" s="20">
        <v>45267</v>
      </c>
      <c r="C6" s="14" t="s">
        <v>27</v>
      </c>
      <c r="D6" s="27">
        <v>4500</v>
      </c>
      <c r="G6" s="31"/>
      <c r="H6" s="13"/>
      <c r="I6" s="35"/>
      <c r="K6" s="35"/>
      <c r="M6" s="35"/>
      <c r="N6" s="14"/>
      <c r="O6" s="27"/>
      <c r="P6">
        <v>700</v>
      </c>
      <c r="Q6" s="31"/>
      <c r="R6" s="13">
        <v>500</v>
      </c>
      <c r="S6" s="31"/>
      <c r="T6" s="13"/>
      <c r="U6" s="31"/>
      <c r="V6" s="31"/>
      <c r="W6" s="15"/>
    </row>
    <row r="7" spans="1:23" x14ac:dyDescent="0.25">
      <c r="A7" s="311"/>
      <c r="B7" s="20">
        <v>45268</v>
      </c>
      <c r="C7" s="14" t="s">
        <v>24</v>
      </c>
      <c r="D7" s="27"/>
      <c r="G7" s="31"/>
      <c r="H7" s="13"/>
      <c r="I7" s="35"/>
      <c r="K7" s="35"/>
      <c r="M7" s="35"/>
      <c r="N7" s="14"/>
      <c r="O7" s="27"/>
      <c r="Q7" s="31"/>
      <c r="R7" s="13"/>
      <c r="S7" s="31"/>
      <c r="T7" s="13"/>
      <c r="U7" s="31">
        <v>3000</v>
      </c>
      <c r="V7" s="31"/>
      <c r="W7" s="15"/>
    </row>
    <row r="8" spans="1:23" x14ac:dyDescent="0.25">
      <c r="A8" s="311"/>
      <c r="B8" s="20">
        <v>45269</v>
      </c>
      <c r="C8" s="14" t="s">
        <v>27</v>
      </c>
      <c r="D8" s="27"/>
      <c r="G8" s="31"/>
      <c r="H8" s="13"/>
      <c r="I8" s="35"/>
      <c r="K8" s="35">
        <v>1500</v>
      </c>
      <c r="M8" s="35"/>
      <c r="N8" s="14"/>
      <c r="O8" s="27"/>
      <c r="Q8" s="31"/>
      <c r="R8" s="13"/>
      <c r="S8" s="31"/>
      <c r="T8" s="13"/>
      <c r="U8" s="31"/>
      <c r="V8" s="31"/>
      <c r="W8" s="15"/>
    </row>
    <row r="9" spans="1:23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32"/>
      <c r="T10" s="16"/>
      <c r="U10" s="32"/>
      <c r="V10" s="32"/>
      <c r="W10" s="19"/>
    </row>
    <row r="11" spans="1:23" x14ac:dyDescent="0.25">
      <c r="A11" s="310" t="s">
        <v>21</v>
      </c>
      <c r="B11" s="20">
        <v>45264</v>
      </c>
      <c r="C11" s="14" t="s">
        <v>41</v>
      </c>
      <c r="D11" s="27">
        <v>500</v>
      </c>
      <c r="G11" s="31"/>
      <c r="H11" s="13"/>
      <c r="I11" s="35"/>
      <c r="K11" s="35"/>
      <c r="M11" s="35"/>
      <c r="N11" s="14"/>
      <c r="O11" s="27"/>
      <c r="P11">
        <v>230</v>
      </c>
      <c r="Q11" s="31"/>
      <c r="R11" s="13"/>
      <c r="S11" s="31"/>
      <c r="T11" s="13"/>
      <c r="U11" s="31"/>
      <c r="V11" s="31"/>
      <c r="W11" s="15"/>
    </row>
    <row r="12" spans="1:23" x14ac:dyDescent="0.25">
      <c r="A12" s="311"/>
      <c r="B12" s="20">
        <v>45265</v>
      </c>
      <c r="C12" s="14" t="s">
        <v>41</v>
      </c>
      <c r="D12" s="27">
        <v>1000</v>
      </c>
      <c r="G12" s="31"/>
      <c r="H12" s="13"/>
      <c r="I12" s="35"/>
      <c r="K12" s="35">
        <v>500</v>
      </c>
      <c r="M12" s="35"/>
      <c r="N12" s="14"/>
      <c r="O12" s="27"/>
      <c r="P12">
        <f>30+80</f>
        <v>110</v>
      </c>
      <c r="Q12" s="31"/>
      <c r="R12" s="13"/>
      <c r="S12" s="31"/>
      <c r="T12" s="13"/>
      <c r="U12" s="31"/>
      <c r="V12" s="31"/>
      <c r="W12" s="15"/>
    </row>
    <row r="13" spans="1:23" x14ac:dyDescent="0.25">
      <c r="A13" s="311"/>
      <c r="B13" s="20">
        <v>45266</v>
      </c>
      <c r="C13" s="14" t="s">
        <v>41</v>
      </c>
      <c r="D13" s="27"/>
      <c r="G13" s="31"/>
      <c r="H13" s="13"/>
      <c r="I13" s="35"/>
      <c r="J13">
        <v>1000</v>
      </c>
      <c r="K13" s="35"/>
      <c r="M13" s="35"/>
      <c r="N13" s="14"/>
      <c r="O13" s="27"/>
      <c r="P13">
        <v>90</v>
      </c>
      <c r="Q13" s="31"/>
      <c r="R13" s="13"/>
      <c r="S13" s="31"/>
      <c r="T13" s="13"/>
      <c r="U13" s="31"/>
      <c r="V13" s="31"/>
      <c r="W13" s="15"/>
    </row>
    <row r="14" spans="1:23" x14ac:dyDescent="0.25">
      <c r="A14" s="311"/>
      <c r="B14" s="20">
        <v>45267</v>
      </c>
      <c r="C14" s="14" t="s">
        <v>41</v>
      </c>
      <c r="D14" s="27"/>
      <c r="G14" s="31"/>
      <c r="H14" s="13"/>
      <c r="I14" s="35"/>
      <c r="K14" s="35"/>
      <c r="M14" s="35"/>
      <c r="N14" s="14"/>
      <c r="O14" s="27"/>
      <c r="Q14" s="31"/>
      <c r="R14" s="13"/>
      <c r="S14" s="31"/>
      <c r="T14" s="13">
        <f>5+10</f>
        <v>15</v>
      </c>
      <c r="U14" s="31"/>
      <c r="V14" s="31"/>
      <c r="W14" s="15"/>
    </row>
    <row r="15" spans="1:23" x14ac:dyDescent="0.25">
      <c r="A15" s="311"/>
      <c r="B15" s="20">
        <v>45268</v>
      </c>
      <c r="C15" s="14" t="s">
        <v>41</v>
      </c>
      <c r="D15" s="27"/>
      <c r="G15" s="31"/>
      <c r="H15" s="13"/>
      <c r="I15" s="35"/>
      <c r="K15" s="35">
        <v>500</v>
      </c>
      <c r="M15" s="35"/>
      <c r="N15" s="14"/>
      <c r="O15" s="27"/>
      <c r="Q15" s="31"/>
      <c r="R15" s="13"/>
      <c r="S15" s="31"/>
      <c r="T15" s="48"/>
      <c r="U15" s="31"/>
      <c r="V15" s="31"/>
      <c r="W15" s="15"/>
    </row>
    <row r="16" spans="1:23" x14ac:dyDescent="0.25">
      <c r="A16" s="311"/>
      <c r="B16" s="20">
        <v>45269</v>
      </c>
      <c r="C16" s="14" t="s">
        <v>41</v>
      </c>
      <c r="D16" s="27"/>
      <c r="E16">
        <v>300</v>
      </c>
      <c r="G16" s="31"/>
      <c r="H16" s="13"/>
      <c r="I16" s="35"/>
      <c r="K16" s="35"/>
      <c r="M16" s="35"/>
      <c r="N16" s="14"/>
      <c r="O16" s="27"/>
      <c r="Q16" s="31"/>
      <c r="R16" s="13"/>
      <c r="S16" s="31"/>
      <c r="T16" s="13"/>
      <c r="U16" s="31"/>
      <c r="V16" s="31"/>
      <c r="W16" s="15"/>
    </row>
    <row r="17" spans="1:24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S17" s="31"/>
      <c r="T17" s="13"/>
      <c r="U17" s="31"/>
      <c r="V17" s="31"/>
      <c r="W17" s="15"/>
    </row>
    <row r="18" spans="1:24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S18" s="31"/>
      <c r="T18" s="13"/>
      <c r="U18" s="31"/>
      <c r="V18" s="31"/>
      <c r="W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/>
      <c r="V19" s="31"/>
      <c r="W19" s="15"/>
    </row>
    <row r="20" spans="1:24" ht="15.75" thickBot="1" x14ac:dyDescent="0.3">
      <c r="A20" s="312"/>
      <c r="B20" s="13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ht="21.75" thickBot="1" x14ac:dyDescent="0.3">
      <c r="A21" s="21" t="s">
        <v>23</v>
      </c>
      <c r="B21" s="22"/>
      <c r="C21" s="23"/>
      <c r="D21" s="29">
        <f t="shared" ref="D21:W21" si="0">SUM(D4:D10)-SUM(D11:D20)</f>
        <v>11796</v>
      </c>
      <c r="E21" s="22">
        <f t="shared" si="0"/>
        <v>46</v>
      </c>
      <c r="F21" s="24">
        <f t="shared" si="0"/>
        <v>906</v>
      </c>
      <c r="G21" s="33">
        <f t="shared" si="0"/>
        <v>26</v>
      </c>
      <c r="H21" s="22">
        <f t="shared" si="0"/>
        <v>3277</v>
      </c>
      <c r="I21" s="37">
        <f t="shared" si="0"/>
        <v>109</v>
      </c>
      <c r="J21" s="24">
        <f t="shared" si="0"/>
        <v>385</v>
      </c>
      <c r="K21" s="37">
        <f t="shared" si="0"/>
        <v>2000</v>
      </c>
      <c r="L21" s="24">
        <f t="shared" si="0"/>
        <v>0</v>
      </c>
      <c r="M21" s="37">
        <f t="shared" si="0"/>
        <v>0</v>
      </c>
      <c r="N21" s="23">
        <f t="shared" si="0"/>
        <v>0</v>
      </c>
      <c r="O21" s="29">
        <f t="shared" si="0"/>
        <v>200</v>
      </c>
      <c r="P21" s="24">
        <f>SUM(P4:P10)-SUM(P11:P20)</f>
        <v>780</v>
      </c>
      <c r="Q21" s="33">
        <f t="shared" si="0"/>
        <v>0</v>
      </c>
      <c r="R21" s="22">
        <f t="shared" si="0"/>
        <v>962</v>
      </c>
      <c r="S21" s="33">
        <f t="shared" si="0"/>
        <v>568</v>
      </c>
      <c r="T21" s="22">
        <f t="shared" si="0"/>
        <v>3890</v>
      </c>
      <c r="U21" s="33">
        <f t="shared" si="0"/>
        <v>3309</v>
      </c>
      <c r="V21" s="33">
        <f t="shared" si="0"/>
        <v>278</v>
      </c>
      <c r="W21" s="25">
        <f t="shared" si="0"/>
        <v>52</v>
      </c>
    </row>
    <row r="23" spans="1:24" x14ac:dyDescent="0.25">
      <c r="D23">
        <f>D21*0.36</f>
        <v>4246.5599999999995</v>
      </c>
      <c r="E23">
        <f>+E21*0.41</f>
        <v>18.86</v>
      </c>
      <c r="F23">
        <f>+F21*0.38</f>
        <v>344.28000000000003</v>
      </c>
      <c r="G23">
        <f>+G21*0.48</f>
        <v>12.48</v>
      </c>
      <c r="H23">
        <f>+H21*0.57</f>
        <v>1867.8899999999999</v>
      </c>
      <c r="I23">
        <f>+I21*0.6</f>
        <v>65.399999999999991</v>
      </c>
      <c r="J23">
        <f>+J21*0.89</f>
        <v>342.65</v>
      </c>
      <c r="K23">
        <f>+K21*0.68</f>
        <v>1360</v>
      </c>
      <c r="L23">
        <f>+L21*0.66</f>
        <v>0</v>
      </c>
      <c r="M23">
        <f>+M21*0.7</f>
        <v>0</v>
      </c>
      <c r="N23">
        <f>+N21*0.62</f>
        <v>0</v>
      </c>
      <c r="O23">
        <f>+O21*2.3</f>
        <v>459.99999999999994</v>
      </c>
      <c r="P23">
        <f>+P21*1.77</f>
        <v>1380.6</v>
      </c>
      <c r="Q23">
        <f>+Q21*2.35</f>
        <v>0</v>
      </c>
      <c r="R23">
        <f>+R21*1.92</f>
        <v>1847.04</v>
      </c>
      <c r="S23">
        <f>+S21*2.36</f>
        <v>1340.48</v>
      </c>
      <c r="T23">
        <f>+T21*0.42</f>
        <v>1633.8</v>
      </c>
      <c r="U23">
        <f>+U21*0.32</f>
        <v>1058.8800000000001</v>
      </c>
      <c r="V23">
        <f>+V21*0.8</f>
        <v>222.4</v>
      </c>
      <c r="W23">
        <f>+W21*2</f>
        <v>104</v>
      </c>
      <c r="X23">
        <f>SUM(D23:W23)</f>
        <v>16305.319999999998</v>
      </c>
    </row>
  </sheetData>
  <mergeCells count="7">
    <mergeCell ref="T2:U2"/>
    <mergeCell ref="A4:A10"/>
    <mergeCell ref="A11:A20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4708-8677-41B7-804E-9E8610E18F74}">
  <dimension ref="A1:X26"/>
  <sheetViews>
    <sheetView zoomScale="70" zoomScaleNormal="7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Q23" sqref="Q23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12.2851562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8.425781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2.5703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46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34</v>
      </c>
    </row>
    <row r="4" spans="1:23" x14ac:dyDescent="0.25">
      <c r="A4" s="310" t="s">
        <v>19</v>
      </c>
      <c r="B4" s="49"/>
      <c r="C4" s="2"/>
      <c r="D4" s="42">
        <f>'STOCK 03 a 09'!D21</f>
        <v>11796</v>
      </c>
      <c r="E4" s="42">
        <f>'STOCK 03 a 09'!E21</f>
        <v>46</v>
      </c>
      <c r="F4" s="42">
        <f>'STOCK 03 a 09'!F21</f>
        <v>906</v>
      </c>
      <c r="G4" s="42">
        <f>'STOCK 03 a 09'!G21</f>
        <v>26</v>
      </c>
      <c r="H4" s="42">
        <f>'STOCK 03 a 09'!H21</f>
        <v>3277</v>
      </c>
      <c r="I4" s="42">
        <f>'STOCK 03 a 09'!I21</f>
        <v>109</v>
      </c>
      <c r="J4" s="42">
        <f>'STOCK 03 a 09'!J21</f>
        <v>385</v>
      </c>
      <c r="K4" s="42">
        <f>'STOCK 03 a 09'!K21</f>
        <v>2000</v>
      </c>
      <c r="L4" s="42">
        <f>'STOCK 03 a 09'!L21</f>
        <v>0</v>
      </c>
      <c r="M4" s="42">
        <f>'STOCK 03 a 09'!M21</f>
        <v>0</v>
      </c>
      <c r="N4" s="42">
        <f>'STOCK 03 a 09'!N21</f>
        <v>0</v>
      </c>
      <c r="O4" s="42">
        <f>'STOCK 03 a 09'!O21</f>
        <v>200</v>
      </c>
      <c r="P4" s="42">
        <f>'STOCK 03 a 09'!P21</f>
        <v>780</v>
      </c>
      <c r="Q4" s="42">
        <f>'STOCK 03 a 09'!Q21</f>
        <v>0</v>
      </c>
      <c r="R4" s="42">
        <f>'STOCK 03 a 09'!R21</f>
        <v>962</v>
      </c>
      <c r="S4" s="42">
        <f>'STOCK 03 a 09'!S21</f>
        <v>568</v>
      </c>
      <c r="T4" s="42">
        <f>'STOCK 03 a 09'!T21</f>
        <v>3890</v>
      </c>
      <c r="U4" s="42">
        <f>'STOCK 03 a 09'!U21</f>
        <v>3309</v>
      </c>
      <c r="V4" s="42">
        <f>'STOCK 03 a 09'!V21</f>
        <v>278</v>
      </c>
      <c r="W4" s="42">
        <f>'STOCK 03 a 09'!W21</f>
        <v>52</v>
      </c>
    </row>
    <row r="5" spans="1:23" x14ac:dyDescent="0.25">
      <c r="A5" s="311"/>
      <c r="B5" s="20">
        <v>45272</v>
      </c>
      <c r="C5" s="14" t="s">
        <v>27</v>
      </c>
      <c r="D5" s="27"/>
      <c r="G5" s="31"/>
      <c r="H5" s="13"/>
      <c r="I5" s="35"/>
      <c r="J5">
        <v>2458</v>
      </c>
      <c r="K5" s="35"/>
      <c r="M5" s="35"/>
      <c r="N5" s="14"/>
      <c r="O5" s="27"/>
      <c r="Q5" s="31"/>
      <c r="R5" s="13"/>
      <c r="S5" s="31"/>
      <c r="T5" s="13"/>
      <c r="U5" s="31"/>
      <c r="V5" s="31"/>
      <c r="W5" s="15"/>
    </row>
    <row r="6" spans="1:23" x14ac:dyDescent="0.25">
      <c r="A6" s="311"/>
      <c r="B6" s="20">
        <v>45272</v>
      </c>
      <c r="C6" s="14" t="s">
        <v>24</v>
      </c>
      <c r="D6" s="27"/>
      <c r="G6" s="31"/>
      <c r="H6" s="13"/>
      <c r="I6" s="35"/>
      <c r="K6" s="35"/>
      <c r="M6" s="35"/>
      <c r="N6" s="14"/>
      <c r="O6" s="27"/>
      <c r="P6">
        <v>1200</v>
      </c>
      <c r="Q6" s="31">
        <v>600</v>
      </c>
      <c r="R6" s="13"/>
      <c r="S6" s="31">
        <v>500</v>
      </c>
      <c r="T6" s="13"/>
      <c r="U6" s="31"/>
      <c r="V6" s="31"/>
      <c r="W6" s="15"/>
    </row>
    <row r="7" spans="1:23" x14ac:dyDescent="0.25">
      <c r="A7" s="311"/>
      <c r="B7" s="20">
        <v>45273</v>
      </c>
      <c r="C7" s="14" t="s">
        <v>27</v>
      </c>
      <c r="D7" s="27"/>
      <c r="G7" s="31"/>
      <c r="H7" s="13"/>
      <c r="I7" s="35"/>
      <c r="K7" s="35"/>
      <c r="M7" s="35"/>
      <c r="N7" s="14"/>
      <c r="O7" s="27"/>
      <c r="Q7" s="31"/>
      <c r="R7" s="13">
        <v>1000</v>
      </c>
      <c r="S7" s="31"/>
      <c r="T7" s="13"/>
      <c r="U7" s="31"/>
      <c r="V7" s="31"/>
      <c r="W7" s="15"/>
    </row>
    <row r="8" spans="1:23" x14ac:dyDescent="0.25">
      <c r="A8" s="311"/>
      <c r="B8" s="20">
        <v>45275</v>
      </c>
      <c r="C8" s="14" t="s">
        <v>27</v>
      </c>
      <c r="D8" s="27">
        <v>4500</v>
      </c>
      <c r="G8" s="31"/>
      <c r="H8" s="13"/>
      <c r="I8" s="35"/>
      <c r="K8" s="35"/>
      <c r="M8" s="35"/>
      <c r="N8" s="14"/>
      <c r="O8" s="27"/>
      <c r="Q8" s="31"/>
      <c r="R8" s="13"/>
      <c r="S8" s="31"/>
      <c r="T8" s="13"/>
      <c r="U8" s="31"/>
      <c r="V8" s="31"/>
      <c r="W8" s="15"/>
    </row>
    <row r="9" spans="1:23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32"/>
      <c r="T10" s="16"/>
      <c r="U10" s="32"/>
      <c r="V10" s="32"/>
      <c r="W10" s="19"/>
    </row>
    <row r="11" spans="1:23" x14ac:dyDescent="0.25">
      <c r="A11" s="310" t="s">
        <v>21</v>
      </c>
      <c r="B11" s="20">
        <v>45271</v>
      </c>
      <c r="C11" s="14" t="s">
        <v>22</v>
      </c>
      <c r="D11" s="27">
        <f>3000+200</f>
        <v>3200</v>
      </c>
      <c r="G11" s="31"/>
      <c r="H11" s="13">
        <v>28</v>
      </c>
      <c r="I11" s="35"/>
      <c r="K11" s="35"/>
      <c r="M11" s="35"/>
      <c r="N11" s="14"/>
      <c r="O11" s="27"/>
      <c r="P11">
        <v>800</v>
      </c>
      <c r="Q11" s="31"/>
      <c r="R11" s="13">
        <v>450</v>
      </c>
      <c r="S11" s="31"/>
      <c r="T11" s="13"/>
      <c r="U11" s="31">
        <v>1000</v>
      </c>
      <c r="V11" s="31"/>
      <c r="W11" s="15"/>
    </row>
    <row r="12" spans="1:23" x14ac:dyDescent="0.25">
      <c r="A12" s="311"/>
      <c r="B12" s="20">
        <v>45272</v>
      </c>
      <c r="C12" s="14" t="s">
        <v>22</v>
      </c>
      <c r="D12" s="27"/>
      <c r="G12" s="31"/>
      <c r="H12" s="13"/>
      <c r="I12" s="35"/>
      <c r="J12">
        <v>370</v>
      </c>
      <c r="K12" s="35"/>
      <c r="M12" s="35"/>
      <c r="N12" s="14"/>
      <c r="O12" s="27"/>
      <c r="Q12" s="31"/>
      <c r="R12" s="13"/>
      <c r="S12" s="31"/>
      <c r="T12" s="13"/>
      <c r="U12" s="31"/>
      <c r="V12" s="31"/>
      <c r="W12" s="15"/>
    </row>
    <row r="13" spans="1:23" x14ac:dyDescent="0.25">
      <c r="A13" s="311"/>
      <c r="B13" s="20">
        <v>45273</v>
      </c>
      <c r="C13" s="14" t="s">
        <v>22</v>
      </c>
      <c r="D13" s="27">
        <v>70</v>
      </c>
      <c r="G13" s="31"/>
      <c r="H13" s="13"/>
      <c r="I13" s="35"/>
      <c r="K13" s="35"/>
      <c r="M13" s="35"/>
      <c r="N13" s="14"/>
      <c r="O13" s="27"/>
      <c r="Q13" s="31"/>
      <c r="R13" s="13"/>
      <c r="S13" s="31"/>
      <c r="T13" s="13"/>
      <c r="U13" s="31"/>
      <c r="V13" s="31"/>
      <c r="W13" s="15"/>
    </row>
    <row r="14" spans="1:23" x14ac:dyDescent="0.25">
      <c r="A14" s="311"/>
      <c r="B14" s="20">
        <v>45274</v>
      </c>
      <c r="C14" s="14" t="s">
        <v>22</v>
      </c>
      <c r="D14" s="27">
        <v>1000</v>
      </c>
      <c r="G14" s="31"/>
      <c r="H14" s="13"/>
      <c r="I14" s="35"/>
      <c r="K14" s="35">
        <v>1000</v>
      </c>
      <c r="M14" s="35"/>
      <c r="N14" s="14"/>
      <c r="O14" s="27"/>
      <c r="P14">
        <v>250</v>
      </c>
      <c r="Q14" s="31"/>
      <c r="R14" s="13">
        <f>50+34</f>
        <v>84</v>
      </c>
      <c r="S14" s="31"/>
      <c r="T14" s="13">
        <v>35</v>
      </c>
      <c r="U14" s="31">
        <v>500</v>
      </c>
      <c r="V14" s="31"/>
      <c r="W14" s="15"/>
    </row>
    <row r="15" spans="1:23" x14ac:dyDescent="0.25">
      <c r="A15" s="311"/>
      <c r="B15" s="20">
        <v>45275</v>
      </c>
      <c r="C15" s="14" t="s">
        <v>22</v>
      </c>
      <c r="D15" s="27">
        <v>1000</v>
      </c>
      <c r="G15" s="31"/>
      <c r="H15" s="13"/>
      <c r="I15" s="35"/>
      <c r="K15" s="35"/>
      <c r="M15" s="35"/>
      <c r="N15" s="14"/>
      <c r="O15" s="27"/>
      <c r="P15">
        <f>30+20</f>
        <v>50</v>
      </c>
      <c r="Q15" s="31"/>
      <c r="R15" s="13"/>
      <c r="S15" s="31"/>
      <c r="T15" s="13"/>
      <c r="U15" s="31"/>
      <c r="V15" s="31"/>
      <c r="W15" s="15"/>
    </row>
    <row r="16" spans="1:23" x14ac:dyDescent="0.25">
      <c r="A16" s="311"/>
      <c r="B16" s="20">
        <v>45276</v>
      </c>
      <c r="C16" s="14" t="s">
        <v>22</v>
      </c>
      <c r="D16" s="27"/>
      <c r="G16" s="31"/>
      <c r="H16" s="13">
        <v>1000</v>
      </c>
      <c r="I16" s="35"/>
      <c r="K16" s="35"/>
      <c r="M16" s="35"/>
      <c r="N16" s="14"/>
      <c r="O16" s="27"/>
      <c r="Q16" s="31"/>
      <c r="R16" s="13"/>
      <c r="S16" s="31"/>
      <c r="T16" s="13"/>
      <c r="U16" s="31"/>
      <c r="V16" s="31"/>
      <c r="W16" s="15"/>
    </row>
    <row r="17" spans="1:24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S17" s="31"/>
      <c r="T17" s="13"/>
      <c r="U17" s="31"/>
      <c r="V17" s="31"/>
      <c r="W17" s="15"/>
    </row>
    <row r="18" spans="1:24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S18" s="31"/>
      <c r="T18" s="13"/>
      <c r="U18" s="31"/>
      <c r="V18" s="31"/>
      <c r="W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/>
      <c r="V19" s="31"/>
      <c r="W19" s="15"/>
    </row>
    <row r="20" spans="1:24" ht="15.75" thickBot="1" x14ac:dyDescent="0.3">
      <c r="A20" s="312"/>
      <c r="B20" s="13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ht="21.75" thickBot="1" x14ac:dyDescent="0.3">
      <c r="A21" s="21" t="s">
        <v>23</v>
      </c>
      <c r="B21" s="22"/>
      <c r="C21" s="23"/>
      <c r="D21" s="29">
        <f t="shared" ref="D21:W21" si="0">SUM(D4:D10)-SUM(D11:D20)</f>
        <v>11026</v>
      </c>
      <c r="E21" s="22">
        <f t="shared" si="0"/>
        <v>46</v>
      </c>
      <c r="F21" s="24">
        <f t="shared" si="0"/>
        <v>906</v>
      </c>
      <c r="G21" s="33">
        <f t="shared" si="0"/>
        <v>26</v>
      </c>
      <c r="H21" s="22">
        <f t="shared" si="0"/>
        <v>2249</v>
      </c>
      <c r="I21" s="37">
        <f t="shared" si="0"/>
        <v>109</v>
      </c>
      <c r="J21" s="24">
        <f t="shared" si="0"/>
        <v>2473</v>
      </c>
      <c r="K21" s="37">
        <f t="shared" si="0"/>
        <v>1000</v>
      </c>
      <c r="L21" s="24">
        <f t="shared" si="0"/>
        <v>0</v>
      </c>
      <c r="M21" s="37">
        <f t="shared" si="0"/>
        <v>0</v>
      </c>
      <c r="N21" s="23">
        <f t="shared" si="0"/>
        <v>0</v>
      </c>
      <c r="O21" s="29">
        <f t="shared" si="0"/>
        <v>200</v>
      </c>
      <c r="P21" s="24">
        <f>SUM(P4:P10)-SUM(P11:P20)</f>
        <v>880</v>
      </c>
      <c r="Q21" s="33">
        <f t="shared" si="0"/>
        <v>600</v>
      </c>
      <c r="R21" s="22">
        <f t="shared" si="0"/>
        <v>1428</v>
      </c>
      <c r="S21" s="33">
        <f t="shared" si="0"/>
        <v>1068</v>
      </c>
      <c r="T21" s="22">
        <f t="shared" si="0"/>
        <v>3855</v>
      </c>
      <c r="U21" s="33">
        <f t="shared" si="0"/>
        <v>1809</v>
      </c>
      <c r="V21" s="33">
        <f t="shared" si="0"/>
        <v>278</v>
      </c>
      <c r="W21" s="25">
        <f t="shared" si="0"/>
        <v>52</v>
      </c>
    </row>
    <row r="23" spans="1:24" x14ac:dyDescent="0.25">
      <c r="D23">
        <f>D21*0.36</f>
        <v>3969.3599999999997</v>
      </c>
      <c r="E23">
        <f>+E21*0.41</f>
        <v>18.86</v>
      </c>
      <c r="F23">
        <f>+F21*0.38</f>
        <v>344.28000000000003</v>
      </c>
      <c r="G23">
        <f>+G21*0.48</f>
        <v>12.48</v>
      </c>
      <c r="H23">
        <f>+H21*0.57</f>
        <v>1281.9299999999998</v>
      </c>
      <c r="I23">
        <f>+I21*0.6</f>
        <v>65.399999999999991</v>
      </c>
      <c r="J23" s="50">
        <f>+J21*0.89-(2458*0.02)</f>
        <v>2151.8100000000004</v>
      </c>
      <c r="K23">
        <f>+K21*0.68</f>
        <v>680</v>
      </c>
      <c r="L23">
        <f>+L21*0.66</f>
        <v>0</v>
      </c>
      <c r="M23">
        <f>+M21*0.7</f>
        <v>0</v>
      </c>
      <c r="N23">
        <f>+N21*0.62</f>
        <v>0</v>
      </c>
      <c r="O23">
        <f>+O21*2.3</f>
        <v>459.99999999999994</v>
      </c>
      <c r="P23">
        <f>+P21*1.77</f>
        <v>1557.6</v>
      </c>
      <c r="Q23">
        <f>+Q21*2.26</f>
        <v>1355.9999999999998</v>
      </c>
      <c r="R23">
        <f>+R21*1.92</f>
        <v>2741.7599999999998</v>
      </c>
      <c r="S23">
        <f>+S21*2.36</f>
        <v>2520.48</v>
      </c>
      <c r="T23">
        <f>+T21*0.42</f>
        <v>1619.1</v>
      </c>
      <c r="U23">
        <f>+U21*0.32</f>
        <v>578.88</v>
      </c>
      <c r="V23">
        <f>+V21*0.8</f>
        <v>222.4</v>
      </c>
      <c r="W23">
        <f>+W21*2</f>
        <v>104</v>
      </c>
      <c r="X23">
        <f>SUM(D23:W23)</f>
        <v>19684.34</v>
      </c>
    </row>
    <row r="25" spans="1:24" x14ac:dyDescent="0.25">
      <c r="J25">
        <f>2458*0.87</f>
        <v>2138.46</v>
      </c>
    </row>
    <row r="26" spans="1:24" x14ac:dyDescent="0.25">
      <c r="J26">
        <f>15*0.89</f>
        <v>13.35</v>
      </c>
    </row>
  </sheetData>
  <mergeCells count="7">
    <mergeCell ref="T2:U2"/>
    <mergeCell ref="A4:A10"/>
    <mergeCell ref="A11:A20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5904-892A-490A-9DBD-B7FBB4DDE19C}">
  <dimension ref="A1:X26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3" sqref="D23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12.2851562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8.425781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2.5703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46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34</v>
      </c>
    </row>
    <row r="4" spans="1:23" x14ac:dyDescent="0.25">
      <c r="A4" s="310" t="s">
        <v>19</v>
      </c>
      <c r="B4" s="49"/>
      <c r="C4" s="2"/>
      <c r="D4" s="42">
        <f>'STOCK 10 a 16'!D21</f>
        <v>11026</v>
      </c>
      <c r="E4" s="42">
        <f>'STOCK 10 a 16'!E21</f>
        <v>46</v>
      </c>
      <c r="F4" s="42">
        <f>'STOCK 10 a 16'!F21</f>
        <v>906</v>
      </c>
      <c r="G4" s="42">
        <f>'STOCK 10 a 16'!G21</f>
        <v>26</v>
      </c>
      <c r="H4" s="42">
        <f>'STOCK 10 a 16'!H21</f>
        <v>2249</v>
      </c>
      <c r="I4" s="42">
        <f>'STOCK 10 a 16'!I21</f>
        <v>109</v>
      </c>
      <c r="J4" s="42">
        <f>'STOCK 10 a 16'!J21</f>
        <v>2473</v>
      </c>
      <c r="K4" s="42">
        <f>'STOCK 10 a 16'!K21</f>
        <v>1000</v>
      </c>
      <c r="L4" s="42">
        <f>'STOCK 10 a 16'!L21</f>
        <v>0</v>
      </c>
      <c r="M4" s="42">
        <f>'STOCK 10 a 16'!M21</f>
        <v>0</v>
      </c>
      <c r="N4" s="42">
        <f>'STOCK 10 a 16'!N21</f>
        <v>0</v>
      </c>
      <c r="O4" s="42">
        <f>'STOCK 10 a 16'!O21</f>
        <v>200</v>
      </c>
      <c r="P4" s="42">
        <f>'STOCK 10 a 16'!P21</f>
        <v>880</v>
      </c>
      <c r="Q4" s="42">
        <f>'STOCK 10 a 16'!Q21</f>
        <v>600</v>
      </c>
      <c r="R4" s="42">
        <f>'STOCK 10 a 16'!R21</f>
        <v>1428</v>
      </c>
      <c r="S4" s="42">
        <f>'STOCK 10 a 16'!S21</f>
        <v>1068</v>
      </c>
      <c r="T4" s="42">
        <f>'STOCK 10 a 16'!T21</f>
        <v>3855</v>
      </c>
      <c r="U4" s="42">
        <f>'STOCK 10 a 16'!U21</f>
        <v>1809</v>
      </c>
      <c r="V4" s="42">
        <f>'STOCK 10 a 16'!V21</f>
        <v>278</v>
      </c>
      <c r="W4" s="42">
        <f>'STOCK 10 a 16'!W21</f>
        <v>52</v>
      </c>
    </row>
    <row r="5" spans="1:23" x14ac:dyDescent="0.25">
      <c r="A5" s="311"/>
      <c r="B5" s="20">
        <v>45279</v>
      </c>
      <c r="C5" s="14" t="s">
        <v>27</v>
      </c>
      <c r="D5" s="27"/>
      <c r="G5" s="31"/>
      <c r="H5" s="13"/>
      <c r="I5" s="35"/>
      <c r="K5" s="35">
        <v>3500</v>
      </c>
      <c r="M5" s="35"/>
      <c r="N5" s="14"/>
      <c r="O5" s="27"/>
      <c r="Q5" s="31"/>
      <c r="R5" s="13"/>
      <c r="S5" s="31"/>
      <c r="T5" s="13"/>
      <c r="U5" s="31"/>
      <c r="V5" s="31"/>
      <c r="W5" s="15"/>
    </row>
    <row r="6" spans="1:23" x14ac:dyDescent="0.25">
      <c r="A6" s="311"/>
      <c r="B6" s="20">
        <v>45279</v>
      </c>
      <c r="C6" s="14" t="s">
        <v>24</v>
      </c>
      <c r="D6" s="27"/>
      <c r="G6" s="31"/>
      <c r="H6" s="13"/>
      <c r="I6" s="35"/>
      <c r="K6" s="35"/>
      <c r="M6" s="35"/>
      <c r="N6" s="14"/>
      <c r="O6" s="27"/>
      <c r="Q6" s="31"/>
      <c r="R6" s="13"/>
      <c r="S6" s="31"/>
      <c r="T6" s="13"/>
      <c r="U6" s="31">
        <v>2000</v>
      </c>
      <c r="V6" s="31"/>
      <c r="W6" s="15"/>
    </row>
    <row r="7" spans="1:23" x14ac:dyDescent="0.25">
      <c r="A7" s="311"/>
      <c r="B7" s="20">
        <v>45280</v>
      </c>
      <c r="C7" s="14" t="s">
        <v>25</v>
      </c>
      <c r="D7" s="27">
        <v>3300</v>
      </c>
      <c r="G7" s="31"/>
      <c r="H7" s="13"/>
      <c r="I7" s="35"/>
      <c r="K7" s="35"/>
      <c r="M7" s="35"/>
      <c r="N7" s="14"/>
      <c r="O7" s="27"/>
      <c r="Q7" s="31"/>
      <c r="R7" s="13"/>
      <c r="S7" s="31"/>
      <c r="T7" s="13"/>
      <c r="U7" s="31"/>
      <c r="V7" s="31"/>
      <c r="W7" s="15"/>
    </row>
    <row r="8" spans="1:23" x14ac:dyDescent="0.25">
      <c r="A8" s="311"/>
      <c r="B8" s="20">
        <v>45282</v>
      </c>
      <c r="C8" s="14" t="s">
        <v>24</v>
      </c>
      <c r="D8" s="27"/>
      <c r="G8" s="31"/>
      <c r="H8" s="13"/>
      <c r="I8" s="35"/>
      <c r="K8" s="35"/>
      <c r="M8" s="35"/>
      <c r="N8" s="14"/>
      <c r="O8" s="27"/>
      <c r="Q8" s="31"/>
      <c r="R8" s="13"/>
      <c r="S8" s="31"/>
      <c r="T8" s="13">
        <v>2500</v>
      </c>
      <c r="U8" s="31"/>
      <c r="V8" s="31"/>
      <c r="W8" s="15"/>
    </row>
    <row r="9" spans="1:23" x14ac:dyDescent="0.25">
      <c r="A9" s="311"/>
      <c r="B9" s="20">
        <v>45283</v>
      </c>
      <c r="C9" s="14" t="s">
        <v>27</v>
      </c>
      <c r="D9" s="27"/>
      <c r="G9" s="31"/>
      <c r="H9" s="13"/>
      <c r="I9" s="35"/>
      <c r="K9" s="35">
        <v>1500</v>
      </c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32"/>
      <c r="T10" s="16"/>
      <c r="U10" s="32"/>
      <c r="V10" s="32"/>
      <c r="W10" s="19"/>
    </row>
    <row r="11" spans="1:23" x14ac:dyDescent="0.25">
      <c r="A11" s="310" t="s">
        <v>21</v>
      </c>
      <c r="B11" s="20">
        <v>45278</v>
      </c>
      <c r="C11" s="14" t="s">
        <v>22</v>
      </c>
      <c r="D11" s="27"/>
      <c r="G11" s="31"/>
      <c r="H11" s="13"/>
      <c r="I11" s="35"/>
      <c r="K11" s="35"/>
      <c r="M11" s="35"/>
      <c r="N11" s="14"/>
      <c r="O11" s="27">
        <v>200</v>
      </c>
      <c r="Q11" s="31"/>
      <c r="R11" s="13"/>
      <c r="S11" s="31"/>
      <c r="T11" s="13">
        <v>1000</v>
      </c>
      <c r="U11" s="31">
        <f>20+500</f>
        <v>520</v>
      </c>
      <c r="V11" s="31"/>
      <c r="W11" s="15"/>
    </row>
    <row r="12" spans="1:23" x14ac:dyDescent="0.25">
      <c r="A12" s="311"/>
      <c r="B12" s="20">
        <v>45279</v>
      </c>
      <c r="C12" s="14" t="s">
        <v>22</v>
      </c>
      <c r="D12" s="27">
        <v>1000</v>
      </c>
      <c r="G12" s="31"/>
      <c r="H12" s="13"/>
      <c r="I12" s="35"/>
      <c r="K12" s="35"/>
      <c r="M12" s="35"/>
      <c r="N12" s="14"/>
      <c r="O12" s="27"/>
      <c r="Q12" s="31"/>
      <c r="R12" s="13"/>
      <c r="S12" s="31"/>
      <c r="T12" s="13"/>
      <c r="U12" s="31">
        <v>25</v>
      </c>
      <c r="V12" s="31"/>
      <c r="W12" s="15"/>
    </row>
    <row r="13" spans="1:23" x14ac:dyDescent="0.25">
      <c r="A13" s="311"/>
      <c r="B13" s="20">
        <v>45280</v>
      </c>
      <c r="C13" s="14" t="s">
        <v>22</v>
      </c>
      <c r="D13" s="27">
        <v>1500</v>
      </c>
      <c r="G13" s="31"/>
      <c r="H13" s="13"/>
      <c r="I13" s="35"/>
      <c r="K13" s="35"/>
      <c r="M13" s="35"/>
      <c r="N13" s="14"/>
      <c r="O13" s="27"/>
      <c r="Q13" s="31"/>
      <c r="R13" s="13">
        <v>5</v>
      </c>
      <c r="S13" s="31"/>
      <c r="T13" s="13"/>
      <c r="U13" s="31"/>
      <c r="V13" s="31"/>
      <c r="W13" s="15"/>
    </row>
    <row r="14" spans="1:23" x14ac:dyDescent="0.25">
      <c r="A14" s="311"/>
      <c r="B14" s="20">
        <v>45282</v>
      </c>
      <c r="C14" s="14" t="s">
        <v>22</v>
      </c>
      <c r="D14" s="27"/>
      <c r="G14" s="31"/>
      <c r="H14" s="13"/>
      <c r="I14" s="35"/>
      <c r="K14" s="35"/>
      <c r="M14" s="35"/>
      <c r="N14" s="14"/>
      <c r="O14" s="27"/>
      <c r="Q14" s="31"/>
      <c r="R14" s="13"/>
      <c r="S14" s="31"/>
      <c r="T14" s="13">
        <f>1000+10</f>
        <v>1010</v>
      </c>
      <c r="U14" s="31">
        <v>10</v>
      </c>
      <c r="V14" s="31"/>
      <c r="W14" s="15"/>
    </row>
    <row r="15" spans="1:23" x14ac:dyDescent="0.25">
      <c r="A15" s="311"/>
      <c r="B15" s="20">
        <v>45283</v>
      </c>
      <c r="C15" s="14" t="s">
        <v>22</v>
      </c>
      <c r="D15" s="27">
        <v>50</v>
      </c>
      <c r="G15" s="31"/>
      <c r="H15" s="13"/>
      <c r="I15" s="35"/>
      <c r="K15" s="35"/>
      <c r="M15" s="35"/>
      <c r="N15" s="14"/>
      <c r="O15" s="27"/>
      <c r="Q15" s="31"/>
      <c r="R15" s="13"/>
      <c r="S15" s="31"/>
      <c r="T15" s="13"/>
      <c r="U15" s="31"/>
      <c r="V15" s="31"/>
      <c r="W15" s="15"/>
    </row>
    <row r="16" spans="1:23" x14ac:dyDescent="0.25">
      <c r="A16" s="311"/>
      <c r="B16" s="20"/>
      <c r="C16" s="14"/>
      <c r="D16" s="27"/>
      <c r="G16" s="31"/>
      <c r="H16" s="13"/>
      <c r="I16" s="35"/>
      <c r="K16" s="35"/>
      <c r="M16" s="35"/>
      <c r="N16" s="14"/>
      <c r="O16" s="27"/>
      <c r="Q16" s="31"/>
      <c r="R16" s="13"/>
      <c r="S16" s="31"/>
      <c r="T16" s="13"/>
      <c r="U16" s="31"/>
      <c r="V16" s="31"/>
      <c r="W16" s="15"/>
    </row>
    <row r="17" spans="1:24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S17" s="31"/>
      <c r="T17" s="13"/>
      <c r="U17" s="31"/>
      <c r="V17" s="31"/>
      <c r="W17" s="15"/>
    </row>
    <row r="18" spans="1:24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S18" s="31"/>
      <c r="T18" s="13"/>
      <c r="U18" s="31"/>
      <c r="V18" s="31"/>
      <c r="W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/>
      <c r="V19" s="31"/>
      <c r="W19" s="15"/>
    </row>
    <row r="20" spans="1:24" ht="15.75" thickBot="1" x14ac:dyDescent="0.3">
      <c r="A20" s="312"/>
      <c r="B20" s="13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ht="21.75" thickBot="1" x14ac:dyDescent="0.3">
      <c r="A21" s="21" t="s">
        <v>23</v>
      </c>
      <c r="B21" s="22"/>
      <c r="C21" s="23"/>
      <c r="D21" s="29">
        <f t="shared" ref="D21:W21" si="0">SUM(D4:D10)-SUM(D11:D20)</f>
        <v>11776</v>
      </c>
      <c r="E21" s="22">
        <f t="shared" si="0"/>
        <v>46</v>
      </c>
      <c r="F21" s="24">
        <f t="shared" si="0"/>
        <v>906</v>
      </c>
      <c r="G21" s="33">
        <f t="shared" si="0"/>
        <v>26</v>
      </c>
      <c r="H21" s="22">
        <f t="shared" si="0"/>
        <v>2249</v>
      </c>
      <c r="I21" s="37">
        <f t="shared" si="0"/>
        <v>109</v>
      </c>
      <c r="J21" s="24">
        <f t="shared" si="0"/>
        <v>2473</v>
      </c>
      <c r="K21" s="37">
        <f t="shared" si="0"/>
        <v>6000</v>
      </c>
      <c r="L21" s="24">
        <f t="shared" si="0"/>
        <v>0</v>
      </c>
      <c r="M21" s="37">
        <f t="shared" si="0"/>
        <v>0</v>
      </c>
      <c r="N21" s="23">
        <f t="shared" si="0"/>
        <v>0</v>
      </c>
      <c r="O21" s="29">
        <f t="shared" si="0"/>
        <v>0</v>
      </c>
      <c r="P21" s="24">
        <f>SUM(P4:P10)-SUM(P11:P20)</f>
        <v>880</v>
      </c>
      <c r="Q21" s="33">
        <f t="shared" si="0"/>
        <v>600</v>
      </c>
      <c r="R21" s="22">
        <f t="shared" si="0"/>
        <v>1423</v>
      </c>
      <c r="S21" s="33">
        <f t="shared" si="0"/>
        <v>1068</v>
      </c>
      <c r="T21" s="22">
        <f t="shared" si="0"/>
        <v>4345</v>
      </c>
      <c r="U21" s="33">
        <f t="shared" si="0"/>
        <v>3254</v>
      </c>
      <c r="V21" s="33">
        <f t="shared" si="0"/>
        <v>278</v>
      </c>
      <c r="W21" s="25">
        <f t="shared" si="0"/>
        <v>52</v>
      </c>
    </row>
    <row r="23" spans="1:24" x14ac:dyDescent="0.25">
      <c r="D23">
        <f>D21*0.36</f>
        <v>4239.3599999999997</v>
      </c>
      <c r="E23">
        <f>+E21*0.41</f>
        <v>18.86</v>
      </c>
      <c r="F23">
        <f>+F21*0.38</f>
        <v>344.28000000000003</v>
      </c>
      <c r="G23">
        <f>+G21*0.48</f>
        <v>12.48</v>
      </c>
      <c r="H23">
        <f>+H21*0.57</f>
        <v>1281.9299999999998</v>
      </c>
      <c r="I23">
        <f>+I21*0.6</f>
        <v>65.399999999999991</v>
      </c>
      <c r="J23" s="50">
        <f>+J21*0.89-(2458*0.02)</f>
        <v>2151.8100000000004</v>
      </c>
      <c r="K23">
        <f>+K21*0.68</f>
        <v>4080.0000000000005</v>
      </c>
      <c r="L23">
        <f>+L21*0.66</f>
        <v>0</v>
      </c>
      <c r="M23">
        <f>+M21*0.7</f>
        <v>0</v>
      </c>
      <c r="N23">
        <f>+N21*0.62</f>
        <v>0</v>
      </c>
      <c r="O23">
        <f>+O21*2.3</f>
        <v>0</v>
      </c>
      <c r="P23">
        <f>+P21*1.77</f>
        <v>1557.6</v>
      </c>
      <c r="Q23">
        <f>+Q21*2.26</f>
        <v>1355.9999999999998</v>
      </c>
      <c r="R23">
        <f>+R21*1.92</f>
        <v>2732.16</v>
      </c>
      <c r="S23">
        <f>+S21*2.36</f>
        <v>2520.48</v>
      </c>
      <c r="T23">
        <f>+T21*0.42</f>
        <v>1824.8999999999999</v>
      </c>
      <c r="U23">
        <f>+U21*0.32</f>
        <v>1041.28</v>
      </c>
      <c r="V23">
        <f>+V21*0.8</f>
        <v>222.4</v>
      </c>
      <c r="W23">
        <f>+W21*2</f>
        <v>104</v>
      </c>
      <c r="X23">
        <f>SUM(D23:W23)</f>
        <v>23552.94</v>
      </c>
    </row>
    <row r="25" spans="1:24" x14ac:dyDescent="0.25">
      <c r="J25">
        <f>2458*0.87</f>
        <v>2138.46</v>
      </c>
    </row>
    <row r="26" spans="1:24" x14ac:dyDescent="0.25">
      <c r="J26">
        <f>15*0.89</f>
        <v>13.35</v>
      </c>
    </row>
  </sheetData>
  <mergeCells count="7">
    <mergeCell ref="T2:U2"/>
    <mergeCell ref="A4:A10"/>
    <mergeCell ref="A11:A20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0A5A-99DE-4A65-A9B6-BACAEC2132FD}">
  <dimension ref="A1:X29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X19" sqref="X19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12.2851562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8.85546875" bestFit="1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8" width="10.7109375" customWidth="1"/>
    <col min="19" max="19" width="15.140625" customWidth="1"/>
    <col min="20" max="20" width="14.42578125" customWidth="1"/>
    <col min="21" max="21" width="12.28515625" bestFit="1" customWidth="1"/>
    <col min="22" max="22" width="12.28515625" customWidth="1"/>
    <col min="23" max="23" width="12.5703125" customWidth="1"/>
  </cols>
  <sheetData>
    <row r="1" spans="1:23" ht="33" customHeight="1" thickBot="1" x14ac:dyDescent="0.3"/>
    <row r="2" spans="1:23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09"/>
      <c r="T2" s="308" t="s">
        <v>4</v>
      </c>
      <c r="U2" s="309"/>
      <c r="V2" s="40" t="s">
        <v>31</v>
      </c>
      <c r="W2" s="46" t="s">
        <v>5</v>
      </c>
    </row>
    <row r="3" spans="1:23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8" t="s">
        <v>13</v>
      </c>
      <c r="T3" s="6" t="s">
        <v>17</v>
      </c>
      <c r="U3" s="8" t="s">
        <v>18</v>
      </c>
      <c r="V3" s="7" t="s">
        <v>13</v>
      </c>
      <c r="W3" s="10" t="s">
        <v>34</v>
      </c>
    </row>
    <row r="4" spans="1:23" x14ac:dyDescent="0.25">
      <c r="A4" s="310" t="s">
        <v>19</v>
      </c>
      <c r="B4" s="49"/>
      <c r="C4" s="2"/>
      <c r="D4" s="42">
        <f>'STOCK 17 a 23'!D21</f>
        <v>11776</v>
      </c>
      <c r="E4" s="42">
        <f>'STOCK 17 a 23'!E21</f>
        <v>46</v>
      </c>
      <c r="F4" s="42">
        <f>'STOCK 17 a 23'!F21</f>
        <v>906</v>
      </c>
      <c r="G4" s="42">
        <f>'STOCK 17 a 23'!G21</f>
        <v>26</v>
      </c>
      <c r="H4" s="42">
        <f>'STOCK 17 a 23'!H21</f>
        <v>2249</v>
      </c>
      <c r="I4" s="42">
        <f>'STOCK 17 a 23'!I21</f>
        <v>109</v>
      </c>
      <c r="J4" s="42">
        <f>'STOCK 17 a 23'!J21</f>
        <v>2473</v>
      </c>
      <c r="K4" s="42">
        <f>'STOCK 17 a 23'!K21</f>
        <v>6000</v>
      </c>
      <c r="L4" s="42">
        <f>'STOCK 17 a 23'!L21</f>
        <v>0</v>
      </c>
      <c r="M4" s="42">
        <f>'STOCK 17 a 23'!M21</f>
        <v>0</v>
      </c>
      <c r="N4" s="42">
        <f>'STOCK 17 a 23'!N21</f>
        <v>0</v>
      </c>
      <c r="O4" s="42">
        <f>'STOCK 17 a 23'!O21</f>
        <v>0</v>
      </c>
      <c r="P4" s="42">
        <f>'STOCK 17 a 23'!P21</f>
        <v>880</v>
      </c>
      <c r="Q4" s="42">
        <f>'STOCK 17 a 23'!Q21</f>
        <v>600</v>
      </c>
      <c r="R4" s="42">
        <f>'STOCK 17 a 23'!R21</f>
        <v>1423</v>
      </c>
      <c r="S4" s="42">
        <f>'STOCK 17 a 23'!S21</f>
        <v>1068</v>
      </c>
      <c r="T4" s="42">
        <f>'STOCK 17 a 23'!T21</f>
        <v>4345</v>
      </c>
      <c r="U4" s="42">
        <f>'STOCK 17 a 23'!U21</f>
        <v>3254</v>
      </c>
      <c r="V4" s="42">
        <f>'STOCK 17 a 23'!V21</f>
        <v>278</v>
      </c>
      <c r="W4" s="42">
        <f>'STOCK 17 a 23'!W21</f>
        <v>52</v>
      </c>
    </row>
    <row r="5" spans="1:23" x14ac:dyDescent="0.25">
      <c r="A5" s="311"/>
      <c r="B5" s="20">
        <v>45286</v>
      </c>
      <c r="C5" s="14" t="s">
        <v>27</v>
      </c>
      <c r="D5" s="27"/>
      <c r="G5" s="31"/>
      <c r="H5" s="13"/>
      <c r="I5" s="35"/>
      <c r="J5">
        <v>500</v>
      </c>
      <c r="K5" s="35"/>
      <c r="M5" s="35"/>
      <c r="N5" s="14"/>
      <c r="O5" s="27"/>
      <c r="Q5" s="31"/>
      <c r="R5" s="13"/>
      <c r="S5" s="31"/>
      <c r="T5" s="13"/>
      <c r="U5" s="31"/>
      <c r="V5" s="31"/>
      <c r="W5" s="15"/>
    </row>
    <row r="6" spans="1:23" x14ac:dyDescent="0.25">
      <c r="A6" s="311"/>
      <c r="B6" s="20">
        <v>45287</v>
      </c>
      <c r="C6" s="14" t="s">
        <v>24</v>
      </c>
      <c r="D6" s="27"/>
      <c r="E6">
        <v>4500</v>
      </c>
      <c r="G6" s="31"/>
      <c r="H6" s="13"/>
      <c r="I6" s="35"/>
      <c r="K6" s="35"/>
      <c r="M6" s="35"/>
      <c r="N6" s="14"/>
      <c r="O6" s="27"/>
      <c r="Q6" s="31"/>
      <c r="R6" s="13"/>
      <c r="S6" s="31"/>
      <c r="T6" s="13"/>
      <c r="U6" s="31"/>
      <c r="V6" s="31"/>
      <c r="W6" s="15"/>
    </row>
    <row r="7" spans="1:23" x14ac:dyDescent="0.25">
      <c r="A7" s="311"/>
      <c r="B7" s="20">
        <v>45289</v>
      </c>
      <c r="C7" s="14" t="s">
        <v>27</v>
      </c>
      <c r="D7" s="27"/>
      <c r="G7" s="31"/>
      <c r="H7" s="13"/>
      <c r="I7" s="35"/>
      <c r="J7">
        <v>2000</v>
      </c>
      <c r="K7" s="35"/>
      <c r="M7" s="35"/>
      <c r="N7" s="14"/>
      <c r="O7" s="27"/>
      <c r="Q7" s="31"/>
      <c r="R7" s="13"/>
      <c r="S7" s="31"/>
      <c r="T7" s="13"/>
      <c r="U7" s="31"/>
      <c r="V7" s="31"/>
      <c r="W7" s="15"/>
    </row>
    <row r="8" spans="1:23" x14ac:dyDescent="0.25">
      <c r="A8" s="311"/>
      <c r="B8" s="20">
        <v>45290</v>
      </c>
      <c r="C8" s="14" t="s">
        <v>27</v>
      </c>
      <c r="D8" s="27"/>
      <c r="G8" s="31"/>
      <c r="H8" s="13"/>
      <c r="I8" s="35"/>
      <c r="K8" s="35"/>
      <c r="M8" s="35"/>
      <c r="N8" s="14"/>
      <c r="O8" s="27">
        <v>1200</v>
      </c>
      <c r="Q8" s="31"/>
      <c r="R8" s="13"/>
      <c r="S8" s="31"/>
      <c r="T8" s="13"/>
      <c r="U8" s="31"/>
      <c r="V8" s="31"/>
      <c r="W8" s="15"/>
    </row>
    <row r="9" spans="1:23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S9" s="31"/>
      <c r="T9" s="13"/>
      <c r="U9" s="31"/>
      <c r="V9" s="31"/>
      <c r="W9" s="15"/>
    </row>
    <row r="10" spans="1:23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32"/>
      <c r="T10" s="16"/>
      <c r="U10" s="32"/>
      <c r="V10" s="32"/>
      <c r="W10" s="19"/>
    </row>
    <row r="11" spans="1:23" x14ac:dyDescent="0.25">
      <c r="A11" s="310" t="s">
        <v>21</v>
      </c>
      <c r="B11" s="20">
        <v>45286</v>
      </c>
      <c r="C11" s="14" t="s">
        <v>22</v>
      </c>
      <c r="D11" s="27"/>
      <c r="G11" s="31"/>
      <c r="H11" s="13"/>
      <c r="I11" s="35"/>
      <c r="K11" s="35"/>
      <c r="M11" s="35"/>
      <c r="N11" s="14"/>
      <c r="O11" s="27"/>
      <c r="Q11" s="31"/>
      <c r="R11" s="13"/>
      <c r="S11" s="31"/>
      <c r="T11" s="13">
        <v>100</v>
      </c>
      <c r="U11" s="31"/>
      <c r="V11" s="31"/>
      <c r="W11" s="15"/>
    </row>
    <row r="12" spans="1:23" x14ac:dyDescent="0.25">
      <c r="A12" s="311"/>
      <c r="B12" s="20">
        <v>45286</v>
      </c>
      <c r="C12" s="14" t="s">
        <v>42</v>
      </c>
      <c r="D12" s="27"/>
      <c r="G12" s="31"/>
      <c r="H12" s="13"/>
      <c r="I12" s="35"/>
      <c r="J12">
        <v>2000</v>
      </c>
      <c r="K12" s="35"/>
      <c r="M12" s="35"/>
      <c r="N12" s="14"/>
      <c r="O12" s="27"/>
      <c r="Q12" s="31"/>
      <c r="R12" s="13"/>
      <c r="S12" s="31"/>
      <c r="T12" s="13"/>
      <c r="U12" s="31"/>
      <c r="V12" s="31"/>
      <c r="W12" s="15"/>
    </row>
    <row r="13" spans="1:23" x14ac:dyDescent="0.25">
      <c r="A13" s="311"/>
      <c r="B13" s="20">
        <v>45287</v>
      </c>
      <c r="C13" s="14" t="s">
        <v>42</v>
      </c>
      <c r="D13" s="27">
        <v>2700</v>
      </c>
      <c r="G13" s="31"/>
      <c r="H13" s="13"/>
      <c r="I13" s="35"/>
      <c r="K13" s="35">
        <v>1000</v>
      </c>
      <c r="M13" s="35"/>
      <c r="N13" s="14"/>
      <c r="O13" s="27"/>
      <c r="Q13" s="31"/>
      <c r="R13" s="13"/>
      <c r="S13" s="31"/>
      <c r="T13" s="13"/>
      <c r="U13" s="31"/>
      <c r="V13" s="31"/>
      <c r="W13" s="15"/>
    </row>
    <row r="14" spans="1:23" x14ac:dyDescent="0.25">
      <c r="A14" s="311"/>
      <c r="B14" s="20">
        <v>45287</v>
      </c>
      <c r="C14" s="14" t="s">
        <v>22</v>
      </c>
      <c r="D14" s="27">
        <f>500+400+2000</f>
        <v>2900</v>
      </c>
      <c r="G14" s="31"/>
      <c r="H14" s="13"/>
      <c r="I14" s="35"/>
      <c r="K14" s="35"/>
      <c r="M14" s="35"/>
      <c r="N14" s="14"/>
      <c r="O14" s="27"/>
      <c r="Q14" s="31"/>
      <c r="R14" s="13"/>
      <c r="S14" s="31"/>
      <c r="T14" s="13">
        <v>200</v>
      </c>
      <c r="U14" s="31"/>
      <c r="V14" s="31"/>
      <c r="W14" s="15"/>
    </row>
    <row r="15" spans="1:23" x14ac:dyDescent="0.25">
      <c r="A15" s="311"/>
      <c r="B15" s="20">
        <v>45288</v>
      </c>
      <c r="C15" s="14" t="s">
        <v>22</v>
      </c>
      <c r="D15" s="27">
        <v>350</v>
      </c>
      <c r="G15" s="31"/>
      <c r="H15" s="13"/>
      <c r="I15" s="35"/>
      <c r="K15" s="35"/>
      <c r="M15" s="35"/>
      <c r="N15" s="14"/>
      <c r="O15" s="27"/>
      <c r="Q15" s="31"/>
      <c r="R15" s="13"/>
      <c r="S15" s="31"/>
      <c r="T15" s="13">
        <v>300</v>
      </c>
      <c r="U15" s="31"/>
      <c r="V15" s="31"/>
      <c r="W15" s="15"/>
    </row>
    <row r="16" spans="1:23" x14ac:dyDescent="0.25">
      <c r="A16" s="311"/>
      <c r="B16" s="20">
        <v>45289</v>
      </c>
      <c r="C16" s="14" t="s">
        <v>22</v>
      </c>
      <c r="D16" s="27"/>
      <c r="G16" s="31"/>
      <c r="H16" s="13">
        <v>800</v>
      </c>
      <c r="I16" s="35"/>
      <c r="K16" s="35"/>
      <c r="M16" s="35"/>
      <c r="N16" s="14"/>
      <c r="O16" s="27"/>
      <c r="Q16" s="31"/>
      <c r="R16" s="13"/>
      <c r="S16" s="31"/>
      <c r="T16" s="13">
        <v>100</v>
      </c>
      <c r="U16" s="31"/>
      <c r="V16" s="31"/>
      <c r="W16" s="15"/>
    </row>
    <row r="17" spans="1:24" x14ac:dyDescent="0.25">
      <c r="A17" s="311"/>
      <c r="B17" s="20">
        <v>45290</v>
      </c>
      <c r="C17" s="14" t="s">
        <v>22</v>
      </c>
      <c r="D17" s="27">
        <f>2000+100+1000</f>
        <v>3100</v>
      </c>
      <c r="E17">
        <v>346</v>
      </c>
      <c r="G17" s="31"/>
      <c r="H17" s="13"/>
      <c r="I17" s="35"/>
      <c r="K17" s="35"/>
      <c r="M17" s="35"/>
      <c r="N17" s="14"/>
      <c r="O17" s="27">
        <v>900</v>
      </c>
      <c r="Q17" s="31"/>
      <c r="R17" s="13"/>
      <c r="S17" s="31"/>
      <c r="T17" s="13"/>
      <c r="U17" s="31"/>
      <c r="V17" s="31"/>
      <c r="W17" s="15"/>
    </row>
    <row r="18" spans="1:24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S18" s="31"/>
      <c r="T18" s="13"/>
      <c r="U18" s="31"/>
      <c r="V18" s="31"/>
      <c r="W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S19" s="31"/>
      <c r="T19" s="13"/>
      <c r="U19" s="31"/>
      <c r="V19" s="31"/>
      <c r="W19" s="15"/>
      <c r="X19">
        <f>+X23-X21</f>
        <v>219.70999999999913</v>
      </c>
    </row>
    <row r="20" spans="1:24" ht="15.75" thickBot="1" x14ac:dyDescent="0.3">
      <c r="A20" s="312"/>
      <c r="B20" s="13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S20" s="31"/>
      <c r="T20" s="13"/>
      <c r="U20" s="31"/>
      <c r="V20" s="31"/>
      <c r="W20" s="15"/>
    </row>
    <row r="21" spans="1:24" ht="21.75" thickBot="1" x14ac:dyDescent="0.3">
      <c r="A21" s="21" t="s">
        <v>23</v>
      </c>
      <c r="B21" s="22"/>
      <c r="C21" s="23"/>
      <c r="D21" s="29">
        <f t="shared" ref="D21:W21" si="0">SUM(D4:D10)-SUM(D11:D20)</f>
        <v>2726</v>
      </c>
      <c r="E21" s="22">
        <f t="shared" si="0"/>
        <v>4200</v>
      </c>
      <c r="F21" s="24">
        <f t="shared" si="0"/>
        <v>906</v>
      </c>
      <c r="G21" s="33">
        <f t="shared" si="0"/>
        <v>26</v>
      </c>
      <c r="H21" s="22">
        <f t="shared" si="0"/>
        <v>1449</v>
      </c>
      <c r="I21" s="37">
        <f t="shared" si="0"/>
        <v>109</v>
      </c>
      <c r="J21" s="24">
        <f>SUM(J4:J10)-SUM(J11:J20)</f>
        <v>2973</v>
      </c>
      <c r="K21" s="37">
        <f t="shared" si="0"/>
        <v>5000</v>
      </c>
      <c r="L21" s="24">
        <f t="shared" si="0"/>
        <v>0</v>
      </c>
      <c r="M21" s="37">
        <f t="shared" si="0"/>
        <v>0</v>
      </c>
      <c r="N21" s="23">
        <f t="shared" si="0"/>
        <v>0</v>
      </c>
      <c r="O21" s="29">
        <f t="shared" si="0"/>
        <v>300</v>
      </c>
      <c r="P21" s="24">
        <f>SUM(P4:P10)-SUM(P11:P20)</f>
        <v>880</v>
      </c>
      <c r="Q21" s="33">
        <f t="shared" si="0"/>
        <v>600</v>
      </c>
      <c r="R21" s="22">
        <f t="shared" si="0"/>
        <v>1423</v>
      </c>
      <c r="S21" s="33">
        <f t="shared" si="0"/>
        <v>1068</v>
      </c>
      <c r="T21" s="22">
        <f t="shared" si="0"/>
        <v>3645</v>
      </c>
      <c r="U21" s="33">
        <f t="shared" si="0"/>
        <v>3254</v>
      </c>
      <c r="V21" s="33">
        <f t="shared" si="0"/>
        <v>278</v>
      </c>
      <c r="W21" s="25">
        <f t="shared" si="0"/>
        <v>52</v>
      </c>
      <c r="X21" s="51">
        <f>SUM(X22:X29)</f>
        <v>21407.070000000003</v>
      </c>
    </row>
    <row r="23" spans="1:24" x14ac:dyDescent="0.25">
      <c r="D23">
        <f>D21*0.36</f>
        <v>981.36</v>
      </c>
      <c r="E23">
        <f>+E21*0.4</f>
        <v>1680</v>
      </c>
      <c r="F23">
        <f>+F21*0.38</f>
        <v>344.28000000000003</v>
      </c>
      <c r="G23">
        <f>+G21*0.48</f>
        <v>12.48</v>
      </c>
      <c r="H23">
        <f>+H21*0.57</f>
        <v>825.93</v>
      </c>
      <c r="I23">
        <f>+I21*0.6</f>
        <v>65.399999999999991</v>
      </c>
      <c r="J23" s="50">
        <f>+J21*0.87</f>
        <v>2586.5099999999998</v>
      </c>
      <c r="K23">
        <f>+K21*0.68</f>
        <v>3400.0000000000005</v>
      </c>
      <c r="L23">
        <f>+L21*0.66</f>
        <v>0</v>
      </c>
      <c r="M23">
        <f>+M21*0.7</f>
        <v>0</v>
      </c>
      <c r="N23">
        <f>+N21*0.62</f>
        <v>0</v>
      </c>
      <c r="O23">
        <f>+O21*2.22</f>
        <v>666.00000000000011</v>
      </c>
      <c r="P23">
        <f>+P21*1.77</f>
        <v>1557.6</v>
      </c>
      <c r="Q23">
        <f>+Q21*2.26</f>
        <v>1355.9999999999998</v>
      </c>
      <c r="R23">
        <f>+R21*1.92</f>
        <v>2732.16</v>
      </c>
      <c r="S23">
        <f>+S21*2.36</f>
        <v>2520.48</v>
      </c>
      <c r="T23">
        <f>+T21*0.42</f>
        <v>1530.8999999999999</v>
      </c>
      <c r="U23">
        <f>+U21*0.32</f>
        <v>1041.28</v>
      </c>
      <c r="V23">
        <f>+V21*0.8</f>
        <v>222.4</v>
      </c>
      <c r="W23">
        <f>+W21*2</f>
        <v>104</v>
      </c>
      <c r="X23">
        <f>SUM(D23:W23)</f>
        <v>21626.780000000002</v>
      </c>
    </row>
    <row r="25" spans="1:24" x14ac:dyDescent="0.25">
      <c r="D25" s="52">
        <v>2889</v>
      </c>
      <c r="E25" s="52">
        <v>4210</v>
      </c>
      <c r="F25" s="52">
        <v>906</v>
      </c>
      <c r="G25" s="52"/>
      <c r="H25" s="52">
        <v>1552</v>
      </c>
      <c r="I25" s="52">
        <v>103</v>
      </c>
      <c r="J25" s="52">
        <v>2955</v>
      </c>
      <c r="K25" s="52">
        <v>5020</v>
      </c>
      <c r="L25" s="52"/>
      <c r="M25" s="52"/>
      <c r="N25" s="52"/>
      <c r="O25" s="52">
        <v>300</v>
      </c>
      <c r="P25" s="52">
        <v>870</v>
      </c>
      <c r="Q25" s="52">
        <v>602</v>
      </c>
      <c r="R25" s="52">
        <v>1444</v>
      </c>
      <c r="S25" s="52">
        <v>1068</v>
      </c>
      <c r="T25" s="52">
        <v>3012</v>
      </c>
      <c r="U25" s="52">
        <v>3042</v>
      </c>
      <c r="V25" s="52">
        <v>280</v>
      </c>
      <c r="W25" s="52">
        <v>43</v>
      </c>
    </row>
    <row r="27" spans="1:24" x14ac:dyDescent="0.25">
      <c r="D27">
        <f>+D25-D21</f>
        <v>163</v>
      </c>
      <c r="E27">
        <f>+E25-E21</f>
        <v>10</v>
      </c>
      <c r="F27">
        <f t="shared" ref="F27:W27" si="1">+F25-F21</f>
        <v>0</v>
      </c>
      <c r="G27">
        <f t="shared" si="1"/>
        <v>-26</v>
      </c>
      <c r="H27">
        <f t="shared" si="1"/>
        <v>103</v>
      </c>
      <c r="I27">
        <f>+I25-I21</f>
        <v>-6</v>
      </c>
      <c r="J27">
        <f t="shared" si="1"/>
        <v>-18</v>
      </c>
      <c r="K27">
        <f t="shared" si="1"/>
        <v>20</v>
      </c>
      <c r="L27">
        <f t="shared" si="1"/>
        <v>0</v>
      </c>
      <c r="M27">
        <f t="shared" si="1"/>
        <v>0</v>
      </c>
      <c r="N27">
        <f t="shared" si="1"/>
        <v>0</v>
      </c>
      <c r="O27">
        <f t="shared" si="1"/>
        <v>0</v>
      </c>
      <c r="P27">
        <f t="shared" si="1"/>
        <v>-10</v>
      </c>
      <c r="Q27">
        <f t="shared" si="1"/>
        <v>2</v>
      </c>
      <c r="R27">
        <f t="shared" si="1"/>
        <v>21</v>
      </c>
      <c r="S27">
        <f t="shared" si="1"/>
        <v>0</v>
      </c>
      <c r="T27">
        <f t="shared" si="1"/>
        <v>-633</v>
      </c>
      <c r="U27">
        <f t="shared" si="1"/>
        <v>-212</v>
      </c>
      <c r="V27">
        <f>+V25-V21</f>
        <v>2</v>
      </c>
      <c r="W27">
        <f t="shared" si="1"/>
        <v>-9</v>
      </c>
    </row>
    <row r="28" spans="1:24" x14ac:dyDescent="0.25">
      <c r="D28">
        <f>+D27*0.36</f>
        <v>58.68</v>
      </c>
      <c r="E28">
        <f>+E27*0.4</f>
        <v>4</v>
      </c>
      <c r="H28">
        <f>+H27*0.57</f>
        <v>58.709999999999994</v>
      </c>
      <c r="K28">
        <f>+K27*0.68</f>
        <v>13.600000000000001</v>
      </c>
      <c r="Q28">
        <f>+Q27*2.26</f>
        <v>4.5199999999999996</v>
      </c>
      <c r="R28">
        <f>+R27*1.92</f>
        <v>40.32</v>
      </c>
      <c r="V28">
        <f>+V27*0.8</f>
        <v>1.6</v>
      </c>
      <c r="X28">
        <f>SUM(D28:W28)</f>
        <v>181.42999999999998</v>
      </c>
    </row>
    <row r="29" spans="1:24" x14ac:dyDescent="0.25">
      <c r="F29">
        <f>F27*0.38</f>
        <v>0</v>
      </c>
      <c r="G29">
        <f>G27*0.48</f>
        <v>-12.48</v>
      </c>
      <c r="I29">
        <f>I27*0.6</f>
        <v>-3.5999999999999996</v>
      </c>
      <c r="J29">
        <f>J27*0.87</f>
        <v>-15.66</v>
      </c>
      <c r="P29">
        <f>P27*1.77</f>
        <v>-17.7</v>
      </c>
      <c r="T29">
        <f>T27*0.42</f>
        <v>-265.86</v>
      </c>
      <c r="U29">
        <f>U27*0.32</f>
        <v>-67.84</v>
      </c>
      <c r="W29">
        <f>W27*2</f>
        <v>-18</v>
      </c>
      <c r="X29">
        <f>SUM(D29:W29)</f>
        <v>-401.14</v>
      </c>
    </row>
  </sheetData>
  <mergeCells count="7">
    <mergeCell ref="T2:U2"/>
    <mergeCell ref="A4:A10"/>
    <mergeCell ref="A11:A20"/>
    <mergeCell ref="D2:G2"/>
    <mergeCell ref="H2:N2"/>
    <mergeCell ref="O2:Q2"/>
    <mergeCell ref="R2:S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E41C-CA7E-4D76-9DD1-DFAEBBAE4AD3}">
  <dimension ref="A1:X25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3" sqref="S3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2.28515625" customWidth="1"/>
    <col min="24" max="24" width="12.5703125" customWidth="1"/>
  </cols>
  <sheetData>
    <row r="1" spans="1:24" ht="33" customHeight="1" thickBot="1" x14ac:dyDescent="0.3"/>
    <row r="2" spans="1:24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31</v>
      </c>
      <c r="X2" s="46" t="s">
        <v>5</v>
      </c>
    </row>
    <row r="3" spans="1:24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/>
      <c r="T3" s="8" t="s">
        <v>13</v>
      </c>
      <c r="U3" s="6" t="s">
        <v>17</v>
      </c>
      <c r="V3" s="8" t="s">
        <v>18</v>
      </c>
      <c r="W3" s="7" t="s">
        <v>13</v>
      </c>
      <c r="X3" s="10" t="s">
        <v>34</v>
      </c>
    </row>
    <row r="4" spans="1:24" x14ac:dyDescent="0.25">
      <c r="A4" s="310" t="s">
        <v>19</v>
      </c>
      <c r="B4" s="49"/>
      <c r="C4" s="2"/>
      <c r="D4" s="42">
        <f>'STOCK 24 a 30'!D25</f>
        <v>2889</v>
      </c>
      <c r="E4" s="42">
        <f>'STOCK 24 a 30'!E25</f>
        <v>4210</v>
      </c>
      <c r="F4" s="42">
        <f>'STOCK 24 a 30'!F25</f>
        <v>906</v>
      </c>
      <c r="G4" s="42">
        <f>'STOCK 24 a 30'!G25</f>
        <v>0</v>
      </c>
      <c r="H4" s="42">
        <f>'STOCK 24 a 30'!H25</f>
        <v>1552</v>
      </c>
      <c r="I4" s="42">
        <f>'STOCK 24 a 30'!I25</f>
        <v>103</v>
      </c>
      <c r="J4" s="42">
        <f>'STOCK 24 a 30'!J25</f>
        <v>2955</v>
      </c>
      <c r="K4" s="42">
        <f>'STOCK 24 a 30'!K25</f>
        <v>5020</v>
      </c>
      <c r="L4" s="42">
        <f>'STOCK 24 a 30'!L25</f>
        <v>0</v>
      </c>
      <c r="M4" s="42">
        <f>'STOCK 24 a 30'!M25</f>
        <v>0</v>
      </c>
      <c r="N4" s="42">
        <f>'STOCK 24 a 30'!N25</f>
        <v>0</v>
      </c>
      <c r="O4" s="42">
        <f>'STOCK 24 a 30'!O25</f>
        <v>300</v>
      </c>
      <c r="P4" s="42">
        <f>'STOCK 24 a 30'!P25</f>
        <v>870</v>
      </c>
      <c r="Q4" s="42">
        <f>'STOCK 24 a 30'!Q25</f>
        <v>602</v>
      </c>
      <c r="R4" s="42">
        <f>'STOCK 24 a 30'!R25</f>
        <v>1444</v>
      </c>
      <c r="S4" s="42"/>
      <c r="T4" s="42">
        <f>'STOCK 24 a 30'!S25</f>
        <v>1068</v>
      </c>
      <c r="U4" s="42">
        <f>'STOCK 24 a 30'!T25</f>
        <v>3012</v>
      </c>
      <c r="V4" s="42">
        <f>'STOCK 24 a 30'!U25</f>
        <v>3042</v>
      </c>
      <c r="W4" s="42">
        <f>'STOCK 24 a 30'!V25</f>
        <v>280</v>
      </c>
      <c r="X4" s="42">
        <f>'STOCK 24 a 30'!W25</f>
        <v>43</v>
      </c>
    </row>
    <row r="5" spans="1:24" x14ac:dyDescent="0.25">
      <c r="A5" s="311"/>
      <c r="B5" s="20">
        <v>45293</v>
      </c>
      <c r="C5" s="14" t="s">
        <v>27</v>
      </c>
      <c r="D5" s="27"/>
      <c r="G5" s="31"/>
      <c r="H5" s="13"/>
      <c r="I5" s="35"/>
      <c r="K5" s="35"/>
      <c r="M5" s="35"/>
      <c r="N5" s="14"/>
      <c r="O5" s="27"/>
      <c r="Q5" s="31"/>
      <c r="R5" s="13"/>
      <c r="S5">
        <v>500</v>
      </c>
      <c r="T5" s="31"/>
      <c r="U5" s="13"/>
      <c r="V5" s="31"/>
      <c r="W5" s="31"/>
      <c r="X5" s="15"/>
    </row>
    <row r="6" spans="1:24" x14ac:dyDescent="0.25">
      <c r="A6" s="311"/>
      <c r="B6" s="20">
        <v>45296</v>
      </c>
      <c r="C6" s="14" t="s">
        <v>27</v>
      </c>
      <c r="D6" s="27">
        <v>4500</v>
      </c>
      <c r="G6" s="31"/>
      <c r="H6" s="13"/>
      <c r="I6" s="35"/>
      <c r="K6" s="35"/>
      <c r="M6" s="35"/>
      <c r="N6" s="14"/>
      <c r="O6" s="27"/>
      <c r="Q6" s="31"/>
      <c r="R6" s="13"/>
      <c r="T6" s="31"/>
      <c r="U6" s="13"/>
      <c r="V6" s="31"/>
      <c r="W6" s="31"/>
      <c r="X6" s="15"/>
    </row>
    <row r="7" spans="1:24" x14ac:dyDescent="0.25">
      <c r="A7" s="311"/>
      <c r="B7" s="20">
        <v>45297</v>
      </c>
      <c r="C7" s="14" t="s">
        <v>27</v>
      </c>
      <c r="D7" s="27">
        <v>4500</v>
      </c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/>
      <c r="W7" s="31"/>
      <c r="X7" s="15"/>
    </row>
    <row r="8" spans="1:24" x14ac:dyDescent="0.25">
      <c r="A8" s="311"/>
      <c r="B8" s="20">
        <v>45297</v>
      </c>
      <c r="C8" s="14" t="s">
        <v>24</v>
      </c>
      <c r="D8" s="27"/>
      <c r="G8" s="31"/>
      <c r="H8" s="13"/>
      <c r="I8" s="35"/>
      <c r="K8" s="35"/>
      <c r="M8" s="35"/>
      <c r="N8" s="14"/>
      <c r="O8" s="27"/>
      <c r="P8">
        <v>700</v>
      </c>
      <c r="Q8" s="31"/>
      <c r="R8" s="13">
        <v>300</v>
      </c>
      <c r="T8" s="31"/>
      <c r="U8" s="13"/>
      <c r="V8" s="31"/>
      <c r="W8" s="31"/>
      <c r="X8" s="15"/>
    </row>
    <row r="9" spans="1:24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W9" s="31"/>
      <c r="X9" s="15"/>
    </row>
    <row r="10" spans="1:24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32"/>
      <c r="X10" s="19"/>
    </row>
    <row r="11" spans="1:24" x14ac:dyDescent="0.25">
      <c r="A11" s="310" t="s">
        <v>21</v>
      </c>
      <c r="B11" s="20">
        <v>45293</v>
      </c>
      <c r="C11" s="14" t="s">
        <v>22</v>
      </c>
      <c r="D11" s="27">
        <v>700</v>
      </c>
      <c r="G11" s="31"/>
      <c r="H11" s="13"/>
      <c r="I11" s="35"/>
      <c r="K11" s="35"/>
      <c r="M11" s="35"/>
      <c r="N11" s="14"/>
      <c r="O11" s="27"/>
      <c r="Q11" s="31"/>
      <c r="R11" s="13"/>
      <c r="T11" s="31"/>
      <c r="U11" s="13">
        <v>150</v>
      </c>
      <c r="V11" s="31"/>
      <c r="W11" s="31"/>
      <c r="X11" s="15"/>
    </row>
    <row r="12" spans="1:24" x14ac:dyDescent="0.25">
      <c r="A12" s="311"/>
      <c r="B12" s="20">
        <v>45294</v>
      </c>
      <c r="C12" s="14" t="s">
        <v>22</v>
      </c>
      <c r="D12" s="27"/>
      <c r="G12" s="31"/>
      <c r="H12" s="13"/>
      <c r="I12" s="35"/>
      <c r="K12" s="35">
        <v>220</v>
      </c>
      <c r="M12" s="35"/>
      <c r="N12" s="14"/>
      <c r="O12" s="27"/>
      <c r="Q12" s="31"/>
      <c r="R12" s="13">
        <v>590</v>
      </c>
      <c r="T12" s="31"/>
      <c r="U12" s="13">
        <v>50</v>
      </c>
      <c r="V12" s="31"/>
      <c r="W12" s="31"/>
      <c r="X12" s="15"/>
    </row>
    <row r="13" spans="1:24" x14ac:dyDescent="0.25">
      <c r="A13" s="311"/>
      <c r="B13" s="20">
        <v>45295</v>
      </c>
      <c r="C13" s="14" t="s">
        <v>22</v>
      </c>
      <c r="D13" s="27">
        <f>2000+50</f>
        <v>2050</v>
      </c>
      <c r="G13" s="31"/>
      <c r="H13" s="13"/>
      <c r="I13" s="35"/>
      <c r="K13" s="35"/>
      <c r="M13" s="35"/>
      <c r="N13" s="14"/>
      <c r="O13" s="27"/>
      <c r="Q13" s="31"/>
      <c r="R13" s="13"/>
      <c r="T13" s="31"/>
      <c r="U13" s="13"/>
      <c r="V13" s="31"/>
      <c r="W13" s="31"/>
      <c r="X13" s="15"/>
    </row>
    <row r="14" spans="1:24" x14ac:dyDescent="0.25">
      <c r="A14" s="311"/>
      <c r="B14" s="20">
        <v>45296</v>
      </c>
      <c r="C14" s="14" t="s">
        <v>22</v>
      </c>
      <c r="D14" s="27">
        <v>2000</v>
      </c>
      <c r="G14" s="31"/>
      <c r="H14" s="13"/>
      <c r="I14" s="35"/>
      <c r="K14" s="35"/>
      <c r="M14" s="35"/>
      <c r="N14" s="14"/>
      <c r="O14" s="27"/>
      <c r="Q14" s="31"/>
      <c r="R14" s="13"/>
      <c r="T14" s="31"/>
      <c r="U14" s="13">
        <v>100</v>
      </c>
      <c r="V14" s="31">
        <v>100</v>
      </c>
      <c r="W14" s="31"/>
      <c r="X14" s="15"/>
    </row>
    <row r="15" spans="1:24" x14ac:dyDescent="0.25">
      <c r="A15" s="311"/>
      <c r="B15" s="20">
        <v>45297</v>
      </c>
      <c r="C15" s="14" t="s">
        <v>22</v>
      </c>
      <c r="D15" s="27"/>
      <c r="G15" s="31"/>
      <c r="H15" s="13"/>
      <c r="I15" s="35"/>
      <c r="J15">
        <v>200</v>
      </c>
      <c r="K15" s="35"/>
      <c r="M15" s="35"/>
      <c r="N15" s="14"/>
      <c r="O15" s="27"/>
      <c r="Q15" s="31"/>
      <c r="R15" s="13"/>
      <c r="T15" s="31"/>
      <c r="U15" s="13"/>
      <c r="V15" s="31">
        <v>300</v>
      </c>
      <c r="W15" s="31"/>
      <c r="X15" s="15"/>
    </row>
    <row r="16" spans="1:24" x14ac:dyDescent="0.25">
      <c r="A16" s="311"/>
      <c r="B16" s="20"/>
      <c r="C16" s="14"/>
      <c r="D16" s="27"/>
      <c r="G16" s="31"/>
      <c r="H16" s="13"/>
      <c r="I16" s="35"/>
      <c r="K16" s="35"/>
      <c r="M16" s="35"/>
      <c r="N16" s="14"/>
      <c r="O16" s="27"/>
      <c r="Q16" s="31"/>
      <c r="R16" s="13"/>
      <c r="T16" s="31"/>
      <c r="U16" s="13"/>
      <c r="V16" s="31"/>
      <c r="W16" s="31"/>
      <c r="X16" s="15"/>
    </row>
    <row r="17" spans="1:24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W17" s="31"/>
      <c r="X17" s="15"/>
    </row>
    <row r="18" spans="1:24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/>
      <c r="V18" s="31"/>
      <c r="W18" s="31"/>
      <c r="X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W19" s="31"/>
      <c r="X19" s="15"/>
    </row>
    <row r="20" spans="1:24" ht="15.75" thickBot="1" x14ac:dyDescent="0.3">
      <c r="A20" s="312"/>
      <c r="B20" s="13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W20" s="31"/>
      <c r="X20" s="15"/>
    </row>
    <row r="21" spans="1:24" ht="21.75" thickBot="1" x14ac:dyDescent="0.3">
      <c r="A21" s="21" t="s">
        <v>23</v>
      </c>
      <c r="B21" s="22"/>
      <c r="C21" s="23"/>
      <c r="D21" s="29">
        <f t="shared" ref="D21:X21" si="0">SUM(D4:D10)-SUM(D11:D20)</f>
        <v>7139</v>
      </c>
      <c r="E21" s="22">
        <f t="shared" si="0"/>
        <v>4210</v>
      </c>
      <c r="F21" s="24">
        <f t="shared" si="0"/>
        <v>906</v>
      </c>
      <c r="G21" s="33">
        <f t="shared" si="0"/>
        <v>0</v>
      </c>
      <c r="H21" s="22">
        <f t="shared" si="0"/>
        <v>1552</v>
      </c>
      <c r="I21" s="37">
        <f t="shared" si="0"/>
        <v>103</v>
      </c>
      <c r="J21" s="24">
        <f>SUM(J4:J10)-SUM(J11:J20)</f>
        <v>2755</v>
      </c>
      <c r="K21" s="37">
        <f t="shared" si="0"/>
        <v>4800</v>
      </c>
      <c r="L21" s="24">
        <f t="shared" si="0"/>
        <v>0</v>
      </c>
      <c r="M21" s="37">
        <f t="shared" si="0"/>
        <v>0</v>
      </c>
      <c r="N21" s="23">
        <f t="shared" si="0"/>
        <v>0</v>
      </c>
      <c r="O21" s="29">
        <f t="shared" si="0"/>
        <v>300</v>
      </c>
      <c r="P21" s="24">
        <f>SUM(P4:P10)-SUM(P11:P20)</f>
        <v>1570</v>
      </c>
      <c r="Q21" s="33">
        <f t="shared" si="0"/>
        <v>602</v>
      </c>
      <c r="R21" s="22">
        <f t="shared" si="0"/>
        <v>1154</v>
      </c>
      <c r="S21" s="22">
        <f>SUM(S4:S10)-SUM(S11:S20)</f>
        <v>500</v>
      </c>
      <c r="T21" s="33">
        <f t="shared" si="0"/>
        <v>1068</v>
      </c>
      <c r="U21" s="22">
        <f t="shared" si="0"/>
        <v>2712</v>
      </c>
      <c r="V21" s="33">
        <f t="shared" si="0"/>
        <v>2642</v>
      </c>
      <c r="W21" s="33">
        <f t="shared" si="0"/>
        <v>280</v>
      </c>
      <c r="X21" s="25">
        <f t="shared" si="0"/>
        <v>43</v>
      </c>
    </row>
    <row r="23" spans="1:24" x14ac:dyDescent="0.25">
      <c r="D23">
        <f>D21*0.36</f>
        <v>2570.04</v>
      </c>
      <c r="E23">
        <f>+E21*0.4</f>
        <v>1684</v>
      </c>
      <c r="F23">
        <f>+F21*0.38</f>
        <v>344.28000000000003</v>
      </c>
      <c r="G23">
        <f>+G21*0.48</f>
        <v>0</v>
      </c>
      <c r="H23">
        <f>+H21*0.57</f>
        <v>884.63999999999987</v>
      </c>
      <c r="I23">
        <f>+I21*0.6</f>
        <v>61.8</v>
      </c>
      <c r="J23" s="50">
        <f>+J21*0.87</f>
        <v>2396.85</v>
      </c>
      <c r="K23">
        <f>+K21*0.68</f>
        <v>3264.0000000000005</v>
      </c>
      <c r="L23">
        <f>+L21*0.66</f>
        <v>0</v>
      </c>
      <c r="M23">
        <f>+M21*0.7</f>
        <v>0</v>
      </c>
      <c r="N23">
        <f>+N21*0.62</f>
        <v>0</v>
      </c>
      <c r="O23">
        <f>+O21*2.22</f>
        <v>666.00000000000011</v>
      </c>
      <c r="P23">
        <f>+P21*1.77</f>
        <v>2778.9</v>
      </c>
      <c r="Q23">
        <f>+Q21*2.26</f>
        <v>1360.52</v>
      </c>
      <c r="R23">
        <f>+R21*1.92</f>
        <v>2215.6799999999998</v>
      </c>
      <c r="S23">
        <f>+S21*2.47</f>
        <v>1235</v>
      </c>
      <c r="T23">
        <f>+T21*2.36</f>
        <v>2520.48</v>
      </c>
      <c r="U23">
        <f>+U21*0.42</f>
        <v>1139.04</v>
      </c>
      <c r="V23">
        <f>+V21*0.32</f>
        <v>845.44</v>
      </c>
      <c r="W23">
        <f>+W21*0.8</f>
        <v>224</v>
      </c>
      <c r="X23">
        <f>+X21*2</f>
        <v>86</v>
      </c>
    </row>
    <row r="25" spans="1:24" ht="21" x14ac:dyDescent="0.25">
      <c r="X25" s="51">
        <f>SUM(D23:X23)</f>
        <v>24276.67</v>
      </c>
    </row>
  </sheetData>
  <mergeCells count="7">
    <mergeCell ref="U2:V2"/>
    <mergeCell ref="A4:A10"/>
    <mergeCell ref="A11:A20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9B71-FD1A-4820-8E8B-851DD0B42C2B}">
  <dimension ref="A1:X25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21" sqref="P21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2.28515625" customWidth="1"/>
    <col min="24" max="24" width="12.5703125" customWidth="1"/>
  </cols>
  <sheetData>
    <row r="1" spans="1:24" ht="33" customHeight="1" thickBot="1" x14ac:dyDescent="0.3"/>
    <row r="2" spans="1:24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31</v>
      </c>
      <c r="X2" s="46" t="s">
        <v>5</v>
      </c>
    </row>
    <row r="3" spans="1:24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/>
      <c r="T3" s="8" t="s">
        <v>13</v>
      </c>
      <c r="U3" s="6" t="s">
        <v>17</v>
      </c>
      <c r="V3" s="8" t="s">
        <v>18</v>
      </c>
      <c r="W3" s="7" t="s">
        <v>13</v>
      </c>
      <c r="X3" s="10" t="s">
        <v>34</v>
      </c>
    </row>
    <row r="4" spans="1:24" x14ac:dyDescent="0.25">
      <c r="A4" s="310" t="s">
        <v>19</v>
      </c>
      <c r="B4" s="49"/>
      <c r="C4" s="2"/>
      <c r="D4" s="42">
        <f>'STOCK 31 a 06'!D21</f>
        <v>7139</v>
      </c>
      <c r="E4" s="42">
        <f>'STOCK 31 a 06'!E21</f>
        <v>4210</v>
      </c>
      <c r="F4" s="42">
        <f>'STOCK 31 a 06'!F21</f>
        <v>906</v>
      </c>
      <c r="G4" s="42">
        <f>'STOCK 31 a 06'!G21</f>
        <v>0</v>
      </c>
      <c r="H4" s="42">
        <f>'STOCK 31 a 06'!H21</f>
        <v>1552</v>
      </c>
      <c r="I4" s="42">
        <f>'STOCK 31 a 06'!I21</f>
        <v>103</v>
      </c>
      <c r="J4" s="42">
        <f>'STOCK 31 a 06'!J21</f>
        <v>2755</v>
      </c>
      <c r="K4" s="42">
        <f>'STOCK 31 a 06'!K21</f>
        <v>4800</v>
      </c>
      <c r="L4" s="42">
        <f>'STOCK 31 a 06'!L21</f>
        <v>0</v>
      </c>
      <c r="M4" s="42">
        <f>'STOCK 31 a 06'!M21</f>
        <v>0</v>
      </c>
      <c r="N4" s="42">
        <f>'STOCK 31 a 06'!N21</f>
        <v>0</v>
      </c>
      <c r="O4" s="42">
        <f>'STOCK 31 a 06'!O21</f>
        <v>300</v>
      </c>
      <c r="P4" s="42">
        <f>'STOCK 31 a 06'!P21</f>
        <v>1570</v>
      </c>
      <c r="Q4" s="42">
        <f>'STOCK 31 a 06'!Q21</f>
        <v>602</v>
      </c>
      <c r="R4" s="42">
        <f>'STOCK 31 a 06'!R21</f>
        <v>1154</v>
      </c>
      <c r="S4" s="42">
        <f>'STOCK 31 a 06'!S21</f>
        <v>500</v>
      </c>
      <c r="T4" s="42">
        <f>'STOCK 31 a 06'!T21</f>
        <v>1068</v>
      </c>
      <c r="U4" s="42">
        <f>'STOCK 31 a 06'!U21</f>
        <v>2712</v>
      </c>
      <c r="V4" s="42">
        <f>'STOCK 31 a 06'!V21</f>
        <v>2642</v>
      </c>
      <c r="W4" s="42">
        <f>'STOCK 31 a 06'!W21</f>
        <v>280</v>
      </c>
      <c r="X4" s="42">
        <f>'STOCK 31 a 06'!X21</f>
        <v>43</v>
      </c>
    </row>
    <row r="5" spans="1:24" x14ac:dyDescent="0.25">
      <c r="A5" s="311"/>
      <c r="B5" s="20">
        <v>45300</v>
      </c>
      <c r="C5" s="14" t="s">
        <v>27</v>
      </c>
      <c r="D5" s="27"/>
      <c r="G5" s="31"/>
      <c r="H5" s="13"/>
      <c r="I5" s="35"/>
      <c r="K5" s="35"/>
      <c r="M5" s="35"/>
      <c r="N5" s="14"/>
      <c r="O5" s="27"/>
      <c r="P5">
        <v>550</v>
      </c>
      <c r="Q5" s="31"/>
      <c r="R5" s="13"/>
      <c r="T5" s="31"/>
      <c r="U5" s="13"/>
      <c r="V5" s="31"/>
      <c r="W5" s="31"/>
      <c r="X5" s="15"/>
    </row>
    <row r="6" spans="1:24" x14ac:dyDescent="0.25">
      <c r="A6" s="311"/>
      <c r="B6" s="20">
        <v>45301</v>
      </c>
      <c r="C6" s="14" t="s">
        <v>27</v>
      </c>
      <c r="D6" s="27"/>
      <c r="G6" s="31"/>
      <c r="H6" s="13"/>
      <c r="I6" s="35"/>
      <c r="K6" s="35">
        <v>3500</v>
      </c>
      <c r="M6" s="35"/>
      <c r="N6" s="14"/>
      <c r="O6" s="27"/>
      <c r="Q6" s="31"/>
      <c r="R6" s="13"/>
      <c r="T6" s="31"/>
      <c r="U6" s="13"/>
      <c r="V6" s="31"/>
      <c r="W6" s="31"/>
      <c r="X6" s="15"/>
    </row>
    <row r="7" spans="1:24" x14ac:dyDescent="0.25">
      <c r="A7" s="311"/>
      <c r="B7" s="20">
        <v>45302</v>
      </c>
      <c r="C7" s="14" t="s">
        <v>27</v>
      </c>
      <c r="D7" s="27">
        <v>4500</v>
      </c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/>
      <c r="W7" s="31"/>
      <c r="X7" s="15"/>
    </row>
    <row r="8" spans="1:24" x14ac:dyDescent="0.25">
      <c r="A8" s="311"/>
      <c r="B8" s="20"/>
      <c r="C8" s="14"/>
      <c r="D8" s="27"/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W8" s="31"/>
      <c r="X8" s="15"/>
    </row>
    <row r="9" spans="1:24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W9" s="31"/>
      <c r="X9" s="15"/>
    </row>
    <row r="10" spans="1:24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32"/>
      <c r="X10" s="19"/>
    </row>
    <row r="11" spans="1:24" x14ac:dyDescent="0.25">
      <c r="A11" s="310" t="s">
        <v>21</v>
      </c>
      <c r="B11" s="20">
        <v>45298</v>
      </c>
      <c r="C11" s="14" t="s">
        <v>22</v>
      </c>
      <c r="D11" s="27"/>
      <c r="E11">
        <v>190</v>
      </c>
      <c r="G11" s="31"/>
      <c r="H11" s="13">
        <v>40</v>
      </c>
      <c r="I11" s="35"/>
      <c r="K11" s="35"/>
      <c r="M11" s="35"/>
      <c r="N11" s="14"/>
      <c r="O11" s="27"/>
      <c r="Q11" s="31"/>
      <c r="R11" s="13"/>
      <c r="T11" s="31"/>
      <c r="U11" s="13"/>
      <c r="V11" s="31"/>
      <c r="W11" s="31"/>
      <c r="X11" s="15"/>
    </row>
    <row r="12" spans="1:24" x14ac:dyDescent="0.25">
      <c r="A12" s="311"/>
      <c r="B12" s="20">
        <v>45299</v>
      </c>
      <c r="C12" s="14" t="s">
        <v>22</v>
      </c>
      <c r="D12" s="27">
        <f>2000+500</f>
        <v>2500</v>
      </c>
      <c r="G12" s="31"/>
      <c r="H12" s="13"/>
      <c r="I12" s="35"/>
      <c r="K12" s="35"/>
      <c r="M12" s="35"/>
      <c r="N12" s="14"/>
      <c r="O12" s="27"/>
      <c r="P12">
        <v>8</v>
      </c>
      <c r="Q12" s="31"/>
      <c r="R12" s="13"/>
      <c r="T12" s="31"/>
      <c r="U12" s="13"/>
      <c r="V12" s="31">
        <f>100+500+30</f>
        <v>630</v>
      </c>
      <c r="W12" s="31"/>
      <c r="X12" s="15"/>
    </row>
    <row r="13" spans="1:24" x14ac:dyDescent="0.25">
      <c r="A13" s="311"/>
      <c r="B13" s="20">
        <v>45301</v>
      </c>
      <c r="C13" s="14" t="s">
        <v>22</v>
      </c>
      <c r="D13" s="27"/>
      <c r="G13" s="31"/>
      <c r="H13" s="13">
        <v>80</v>
      </c>
      <c r="I13" s="35"/>
      <c r="K13" s="35"/>
      <c r="M13" s="35"/>
      <c r="N13" s="14"/>
      <c r="O13" s="27"/>
      <c r="Q13" s="31"/>
      <c r="R13" s="13"/>
      <c r="T13" s="31"/>
      <c r="U13" s="13"/>
      <c r="V13" s="31"/>
      <c r="W13" s="31"/>
      <c r="X13" s="15"/>
    </row>
    <row r="14" spans="1:24" x14ac:dyDescent="0.25">
      <c r="A14" s="311"/>
      <c r="B14" s="20">
        <v>45302</v>
      </c>
      <c r="C14" s="14" t="s">
        <v>22</v>
      </c>
      <c r="D14" s="27">
        <v>1000</v>
      </c>
      <c r="G14" s="31"/>
      <c r="H14" s="13"/>
      <c r="I14" s="35"/>
      <c r="K14" s="35"/>
      <c r="M14" s="35"/>
      <c r="N14" s="14"/>
      <c r="O14" s="27"/>
      <c r="Q14" s="31"/>
      <c r="R14" s="13"/>
      <c r="T14" s="31"/>
      <c r="U14" s="13"/>
      <c r="V14" s="31"/>
      <c r="W14" s="31"/>
      <c r="X14" s="15"/>
    </row>
    <row r="15" spans="1:24" x14ac:dyDescent="0.25">
      <c r="A15" s="311"/>
      <c r="B15" s="20">
        <v>45303</v>
      </c>
      <c r="C15" s="14" t="s">
        <v>22</v>
      </c>
      <c r="D15" s="27">
        <v>2000</v>
      </c>
      <c r="G15" s="31"/>
      <c r="H15" s="13"/>
      <c r="I15" s="35"/>
      <c r="K15" s="35"/>
      <c r="M15" s="35"/>
      <c r="N15" s="14"/>
      <c r="O15" s="27"/>
      <c r="Q15" s="31"/>
      <c r="R15" s="13"/>
      <c r="T15" s="31"/>
      <c r="U15" s="13"/>
      <c r="V15" s="31"/>
      <c r="W15" s="31"/>
      <c r="X15" s="15"/>
    </row>
    <row r="16" spans="1:24" x14ac:dyDescent="0.25">
      <c r="A16" s="311"/>
      <c r="B16" s="20">
        <v>45304</v>
      </c>
      <c r="C16" s="14" t="s">
        <v>22</v>
      </c>
      <c r="D16" s="27"/>
      <c r="G16" s="31"/>
      <c r="H16" s="13"/>
      <c r="I16" s="35"/>
      <c r="K16" s="35"/>
      <c r="M16" s="35"/>
      <c r="N16" s="14"/>
      <c r="O16" s="27"/>
      <c r="P16">
        <v>300</v>
      </c>
      <c r="Q16" s="31"/>
      <c r="R16" s="13"/>
      <c r="T16" s="31"/>
      <c r="U16" s="13"/>
      <c r="V16" s="31">
        <f>1000+400</f>
        <v>1400</v>
      </c>
      <c r="W16" s="31"/>
      <c r="X16" s="15"/>
    </row>
    <row r="17" spans="1:24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W17" s="31"/>
      <c r="X17" s="15"/>
    </row>
    <row r="18" spans="1:24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/>
      <c r="V18" s="31"/>
      <c r="W18" s="31"/>
      <c r="X18" s="15"/>
    </row>
    <row r="19" spans="1:24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W19" s="31"/>
      <c r="X19" s="15"/>
    </row>
    <row r="20" spans="1:24" ht="15.75" thickBot="1" x14ac:dyDescent="0.3">
      <c r="A20" s="312"/>
      <c r="B20" s="13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W20" s="31"/>
      <c r="X20" s="15"/>
    </row>
    <row r="21" spans="1:24" ht="21.75" thickBot="1" x14ac:dyDescent="0.3">
      <c r="A21" s="21" t="s">
        <v>23</v>
      </c>
      <c r="B21" s="22"/>
      <c r="C21" s="23"/>
      <c r="D21" s="29">
        <f t="shared" ref="D21:X21" si="0">SUM(D4:D10)-SUM(D11:D20)</f>
        <v>6139</v>
      </c>
      <c r="E21" s="22">
        <f t="shared" si="0"/>
        <v>4020</v>
      </c>
      <c r="F21" s="24">
        <f t="shared" si="0"/>
        <v>906</v>
      </c>
      <c r="G21" s="33">
        <f t="shared" si="0"/>
        <v>0</v>
      </c>
      <c r="H21" s="22">
        <f t="shared" si="0"/>
        <v>1432</v>
      </c>
      <c r="I21" s="37">
        <f t="shared" si="0"/>
        <v>103</v>
      </c>
      <c r="J21" s="24">
        <f>SUM(J4:J10)-SUM(J11:J20)</f>
        <v>2755</v>
      </c>
      <c r="K21" s="37">
        <f t="shared" si="0"/>
        <v>8300</v>
      </c>
      <c r="L21" s="24">
        <f t="shared" si="0"/>
        <v>0</v>
      </c>
      <c r="M21" s="37">
        <f t="shared" si="0"/>
        <v>0</v>
      </c>
      <c r="N21" s="23">
        <f t="shared" si="0"/>
        <v>0</v>
      </c>
      <c r="O21" s="29">
        <f t="shared" si="0"/>
        <v>300</v>
      </c>
      <c r="P21" s="24">
        <f>SUM(P4:P10)-SUM(P11:P20)</f>
        <v>1812</v>
      </c>
      <c r="Q21" s="33">
        <f t="shared" si="0"/>
        <v>602</v>
      </c>
      <c r="R21" s="22">
        <f t="shared" si="0"/>
        <v>1154</v>
      </c>
      <c r="S21" s="22">
        <f>SUM(S4:S10)-SUM(S11:S20)</f>
        <v>500</v>
      </c>
      <c r="T21" s="33">
        <f t="shared" si="0"/>
        <v>1068</v>
      </c>
      <c r="U21" s="22">
        <f t="shared" si="0"/>
        <v>2712</v>
      </c>
      <c r="V21" s="33">
        <f t="shared" si="0"/>
        <v>612</v>
      </c>
      <c r="W21" s="33">
        <f t="shared" si="0"/>
        <v>280</v>
      </c>
      <c r="X21" s="25">
        <f t="shared" si="0"/>
        <v>43</v>
      </c>
    </row>
    <row r="23" spans="1:24" x14ac:dyDescent="0.25">
      <c r="D23">
        <f>D21*0.36</f>
        <v>2210.04</v>
      </c>
      <c r="E23">
        <f>+E21*0.4</f>
        <v>1608</v>
      </c>
      <c r="F23">
        <f>+F21*0.38</f>
        <v>344.28000000000003</v>
      </c>
      <c r="G23">
        <f>+G21*0.48</f>
        <v>0</v>
      </c>
      <c r="H23">
        <f>+H21*0.57</f>
        <v>816.2399999999999</v>
      </c>
      <c r="I23">
        <f>+I21*0.6</f>
        <v>61.8</v>
      </c>
      <c r="J23" s="50">
        <f>+J21*0.87</f>
        <v>2396.85</v>
      </c>
      <c r="K23">
        <f>+K21*0.68+(3500*0.02)</f>
        <v>5714</v>
      </c>
      <c r="L23">
        <f>+L21*0.66</f>
        <v>0</v>
      </c>
      <c r="M23">
        <f>+M21*0.7</f>
        <v>0</v>
      </c>
      <c r="N23">
        <f>+N21*0.62</f>
        <v>0</v>
      </c>
      <c r="O23">
        <f>+O21*2.22</f>
        <v>666.00000000000011</v>
      </c>
      <c r="P23">
        <f>+P21*1.77+(550*0.03)</f>
        <v>3223.7400000000002</v>
      </c>
      <c r="Q23">
        <f>+Q21*2.26</f>
        <v>1360.52</v>
      </c>
      <c r="R23">
        <f>+R21*1.92</f>
        <v>2215.6799999999998</v>
      </c>
      <c r="S23">
        <f>+S21*2.47</f>
        <v>1235</v>
      </c>
      <c r="T23">
        <f>+T21*2.36</f>
        <v>2520.48</v>
      </c>
      <c r="U23">
        <f>+U21*0.42</f>
        <v>1139.04</v>
      </c>
      <c r="V23">
        <f>+V21*0.32</f>
        <v>195.84</v>
      </c>
      <c r="W23">
        <f>+W21*0.8</f>
        <v>224</v>
      </c>
      <c r="X23">
        <f>+X21*2</f>
        <v>86</v>
      </c>
    </row>
    <row r="25" spans="1:24" ht="21" x14ac:dyDescent="0.25">
      <c r="X25" s="51">
        <f>SUM(D23:X23)</f>
        <v>26017.510000000002</v>
      </c>
    </row>
  </sheetData>
  <mergeCells count="7">
    <mergeCell ref="U2:V2"/>
    <mergeCell ref="A4:A10"/>
    <mergeCell ref="A11:A20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4DE7-4877-45BB-A1BC-29D623981B0E}">
  <dimension ref="A1:X27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X27" sqref="X27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2.28515625" customWidth="1"/>
    <col min="24" max="24" width="12.5703125" customWidth="1"/>
  </cols>
  <sheetData>
    <row r="1" spans="1:24" ht="33" customHeight="1" thickBot="1" x14ac:dyDescent="0.3"/>
    <row r="2" spans="1:24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31</v>
      </c>
      <c r="X2" s="46" t="s">
        <v>5</v>
      </c>
    </row>
    <row r="3" spans="1:24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/>
      <c r="T3" s="8" t="s">
        <v>13</v>
      </c>
      <c r="U3" s="6" t="s">
        <v>17</v>
      </c>
      <c r="V3" s="8" t="s">
        <v>18</v>
      </c>
      <c r="W3" s="7" t="s">
        <v>13</v>
      </c>
      <c r="X3" s="10" t="s">
        <v>34</v>
      </c>
    </row>
    <row r="4" spans="1:24" x14ac:dyDescent="0.25">
      <c r="A4" s="310" t="s">
        <v>19</v>
      </c>
      <c r="B4" s="49"/>
      <c r="C4" s="2"/>
      <c r="D4" s="42">
        <f>'STOCK 07 a 13'!D21</f>
        <v>6139</v>
      </c>
      <c r="E4" s="42">
        <f>'STOCK 07 a 13'!E21</f>
        <v>4020</v>
      </c>
      <c r="F4" s="42">
        <f>'STOCK 07 a 13'!F21</f>
        <v>906</v>
      </c>
      <c r="G4" s="42">
        <f>'STOCK 07 a 13'!G21</f>
        <v>0</v>
      </c>
      <c r="H4" s="42">
        <f>'STOCK 07 a 13'!H21</f>
        <v>1432</v>
      </c>
      <c r="I4" s="42">
        <f>'STOCK 07 a 13'!I21</f>
        <v>103</v>
      </c>
      <c r="J4" s="42">
        <f>'STOCK 07 a 13'!J21</f>
        <v>2755</v>
      </c>
      <c r="K4" s="42">
        <f>'STOCK 07 a 13'!K21</f>
        <v>8300</v>
      </c>
      <c r="L4" s="42">
        <f>'STOCK 07 a 13'!L21</f>
        <v>0</v>
      </c>
      <c r="M4" s="42">
        <f>'STOCK 07 a 13'!M21</f>
        <v>0</v>
      </c>
      <c r="N4" s="42">
        <f>'STOCK 07 a 13'!N21</f>
        <v>0</v>
      </c>
      <c r="O4" s="42">
        <f>'STOCK 07 a 13'!O21</f>
        <v>300</v>
      </c>
      <c r="P4" s="42">
        <f>'STOCK 07 a 13'!P21</f>
        <v>1812</v>
      </c>
      <c r="Q4" s="42">
        <f>'STOCK 07 a 13'!Q21</f>
        <v>602</v>
      </c>
      <c r="R4" s="42">
        <f>'STOCK 07 a 13'!R21</f>
        <v>1154</v>
      </c>
      <c r="S4" s="42">
        <f>'STOCK 07 a 13'!S21</f>
        <v>500</v>
      </c>
      <c r="T4" s="42">
        <f>'STOCK 07 a 13'!T21</f>
        <v>1068</v>
      </c>
      <c r="U4" s="42">
        <f>'STOCK 07 a 13'!U21</f>
        <v>2712</v>
      </c>
      <c r="V4" s="42">
        <f>'STOCK 07 a 13'!V21</f>
        <v>612</v>
      </c>
      <c r="W4" s="42">
        <f>'STOCK 07 a 13'!W21</f>
        <v>280</v>
      </c>
      <c r="X4" s="42">
        <f>'STOCK 07 a 13'!X21</f>
        <v>43</v>
      </c>
    </row>
    <row r="5" spans="1:24" x14ac:dyDescent="0.25">
      <c r="A5" s="311"/>
      <c r="B5" s="20">
        <v>45307</v>
      </c>
      <c r="C5" s="14" t="s">
        <v>27</v>
      </c>
      <c r="D5" s="27">
        <v>4500</v>
      </c>
      <c r="G5" s="31"/>
      <c r="H5" s="13"/>
      <c r="I5" s="35"/>
      <c r="K5" s="35"/>
      <c r="M5" s="35"/>
      <c r="N5" s="14"/>
      <c r="O5" s="27"/>
      <c r="Q5" s="31"/>
      <c r="R5" s="13">
        <v>300</v>
      </c>
      <c r="T5" s="31"/>
      <c r="U5" s="13"/>
      <c r="V5" s="31"/>
      <c r="W5" s="31"/>
      <c r="X5" s="15"/>
    </row>
    <row r="6" spans="1:24" x14ac:dyDescent="0.25">
      <c r="A6" s="311"/>
      <c r="B6" s="20">
        <v>45308</v>
      </c>
      <c r="C6" s="14" t="s">
        <v>24</v>
      </c>
      <c r="D6" s="27">
        <v>2500</v>
      </c>
      <c r="G6" s="31"/>
      <c r="H6" s="13"/>
      <c r="I6" s="35"/>
      <c r="K6" s="35"/>
      <c r="M6" s="35"/>
      <c r="N6" s="14"/>
      <c r="O6" s="27"/>
      <c r="Q6" s="31"/>
      <c r="R6" s="13"/>
      <c r="T6" s="31"/>
      <c r="U6" s="13"/>
      <c r="V6" s="31"/>
      <c r="W6" s="31"/>
      <c r="X6" s="15"/>
    </row>
    <row r="7" spans="1:24" x14ac:dyDescent="0.25">
      <c r="A7" s="311"/>
      <c r="B7" s="20">
        <v>45309</v>
      </c>
      <c r="C7" s="14" t="s">
        <v>24</v>
      </c>
      <c r="D7" s="27"/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>
        <v>3500</v>
      </c>
      <c r="W7" s="31"/>
      <c r="X7" s="15"/>
    </row>
    <row r="8" spans="1:24" x14ac:dyDescent="0.25">
      <c r="A8" s="311"/>
      <c r="B8" s="20">
        <v>45310</v>
      </c>
      <c r="C8" s="14" t="s">
        <v>27</v>
      </c>
      <c r="D8" s="27">
        <v>4500</v>
      </c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W8" s="31"/>
      <c r="X8" s="15"/>
    </row>
    <row r="9" spans="1:24" x14ac:dyDescent="0.25">
      <c r="A9" s="311"/>
      <c r="B9" s="20">
        <v>45311</v>
      </c>
      <c r="C9" s="14" t="s">
        <v>27</v>
      </c>
      <c r="D9" s="27"/>
      <c r="G9" s="31"/>
      <c r="H9" s="13">
        <v>3000</v>
      </c>
      <c r="I9" s="35"/>
      <c r="K9" s="35"/>
      <c r="M9" s="35"/>
      <c r="N9" s="14"/>
      <c r="O9" s="27"/>
      <c r="P9">
        <v>1200</v>
      </c>
      <c r="Q9" s="31"/>
      <c r="R9" s="13"/>
      <c r="T9" s="31"/>
      <c r="U9" s="13"/>
      <c r="V9" s="31"/>
      <c r="W9" s="31"/>
      <c r="X9" s="15"/>
    </row>
    <row r="10" spans="1:24" x14ac:dyDescent="0.25">
      <c r="A10" s="311"/>
      <c r="B10" s="20">
        <v>45311</v>
      </c>
      <c r="C10" s="14" t="s">
        <v>24</v>
      </c>
      <c r="D10" s="27"/>
      <c r="G10" s="31"/>
      <c r="H10" s="13"/>
      <c r="I10" s="35"/>
      <c r="K10" s="35"/>
      <c r="M10" s="35"/>
      <c r="N10" s="14"/>
      <c r="O10" s="27"/>
      <c r="Q10" s="31"/>
      <c r="R10" s="13">
        <v>1000</v>
      </c>
      <c r="T10" s="31"/>
      <c r="U10" s="13"/>
      <c r="V10" s="31"/>
      <c r="W10" s="31"/>
      <c r="X10" s="15"/>
    </row>
    <row r="11" spans="1:24" ht="15.75" thickBot="1" x14ac:dyDescent="0.3">
      <c r="A11" s="312"/>
      <c r="B11" s="16"/>
      <c r="C11" s="17"/>
      <c r="D11" s="28"/>
      <c r="E11" s="18"/>
      <c r="F11" s="18"/>
      <c r="G11" s="32"/>
      <c r="H11" s="16"/>
      <c r="I11" s="36"/>
      <c r="J11" s="18"/>
      <c r="K11" s="36"/>
      <c r="L11" s="18"/>
      <c r="M11" s="36"/>
      <c r="N11" s="17"/>
      <c r="O11" s="28"/>
      <c r="P11" s="18"/>
      <c r="Q11" s="32"/>
      <c r="R11" s="16"/>
      <c r="S11" s="18"/>
      <c r="T11" s="32"/>
      <c r="U11" s="16"/>
      <c r="V11" s="32"/>
      <c r="W11" s="32"/>
      <c r="X11" s="19"/>
    </row>
    <row r="12" spans="1:24" x14ac:dyDescent="0.25">
      <c r="A12" s="310" t="s">
        <v>21</v>
      </c>
      <c r="B12" s="20">
        <v>45305</v>
      </c>
      <c r="C12" s="14" t="s">
        <v>22</v>
      </c>
      <c r="D12" s="27"/>
      <c r="G12" s="31"/>
      <c r="H12" s="13"/>
      <c r="I12" s="35"/>
      <c r="K12" s="35"/>
      <c r="M12" s="35"/>
      <c r="N12" s="14"/>
      <c r="O12" s="27"/>
      <c r="Q12" s="31"/>
      <c r="R12" s="13"/>
      <c r="T12" s="31"/>
      <c r="U12" s="13"/>
      <c r="V12" s="31">
        <v>32</v>
      </c>
      <c r="W12" s="31"/>
      <c r="X12" s="15"/>
    </row>
    <row r="13" spans="1:24" x14ac:dyDescent="0.25">
      <c r="A13" s="311"/>
      <c r="B13" s="20">
        <v>45306</v>
      </c>
      <c r="C13" s="14" t="s">
        <v>22</v>
      </c>
      <c r="D13" s="27"/>
      <c r="G13" s="31"/>
      <c r="H13" s="13"/>
      <c r="I13" s="35"/>
      <c r="K13" s="35">
        <v>1000</v>
      </c>
      <c r="M13" s="35"/>
      <c r="N13" s="14"/>
      <c r="O13" s="27"/>
      <c r="P13">
        <f>500</f>
        <v>500</v>
      </c>
      <c r="Q13" s="31"/>
      <c r="R13" s="13"/>
      <c r="T13" s="31"/>
      <c r="U13" s="13"/>
      <c r="V13" s="31"/>
      <c r="W13" s="31"/>
      <c r="X13" s="15"/>
    </row>
    <row r="14" spans="1:24" x14ac:dyDescent="0.25">
      <c r="A14" s="311"/>
      <c r="B14" s="20">
        <v>45306</v>
      </c>
      <c r="C14" s="14" t="s">
        <v>44</v>
      </c>
      <c r="D14" s="27">
        <v>2000</v>
      </c>
      <c r="G14" s="31"/>
      <c r="H14" s="13"/>
      <c r="I14" s="35"/>
      <c r="K14" s="35"/>
      <c r="M14" s="35"/>
      <c r="N14" s="14"/>
      <c r="O14" s="27"/>
      <c r="Q14" s="31"/>
      <c r="R14" s="13"/>
      <c r="T14" s="31"/>
      <c r="U14" s="13"/>
      <c r="V14" s="31"/>
      <c r="W14" s="31"/>
      <c r="X14" s="15"/>
    </row>
    <row r="15" spans="1:24" x14ac:dyDescent="0.25">
      <c r="A15" s="311"/>
      <c r="B15" s="20">
        <v>45307</v>
      </c>
      <c r="C15" s="14" t="s">
        <v>22</v>
      </c>
      <c r="D15" s="27">
        <v>250</v>
      </c>
      <c r="G15" s="31"/>
      <c r="H15" s="13"/>
      <c r="I15" s="35"/>
      <c r="K15" s="35"/>
      <c r="M15" s="35"/>
      <c r="N15" s="14"/>
      <c r="O15" s="27"/>
      <c r="Q15" s="31"/>
      <c r="R15" s="13"/>
      <c r="T15" s="31"/>
      <c r="U15" s="13">
        <v>500</v>
      </c>
      <c r="V15" s="31"/>
      <c r="W15" s="31"/>
      <c r="X15" s="15"/>
    </row>
    <row r="16" spans="1:24" x14ac:dyDescent="0.25">
      <c r="A16" s="311"/>
      <c r="B16" s="20">
        <v>45308</v>
      </c>
      <c r="C16" s="14" t="s">
        <v>22</v>
      </c>
      <c r="D16" s="27">
        <f>48+250</f>
        <v>298</v>
      </c>
      <c r="G16" s="31"/>
      <c r="H16" s="13"/>
      <c r="I16" s="35"/>
      <c r="K16" s="35"/>
      <c r="M16" s="35"/>
      <c r="N16" s="14"/>
      <c r="O16" s="27"/>
      <c r="P16">
        <v>536</v>
      </c>
      <c r="Q16" s="31"/>
      <c r="R16" s="13">
        <f>260+650</f>
        <v>910</v>
      </c>
      <c r="T16" s="31"/>
      <c r="U16" s="13"/>
      <c r="V16" s="31"/>
      <c r="W16" s="31"/>
      <c r="X16" s="15"/>
    </row>
    <row r="17" spans="1:24" x14ac:dyDescent="0.25">
      <c r="A17" s="311"/>
      <c r="B17" s="20">
        <v>45309</v>
      </c>
      <c r="C17" s="14" t="s">
        <v>22</v>
      </c>
      <c r="D17" s="27"/>
      <c r="F17">
        <v>400</v>
      </c>
      <c r="G17" s="31"/>
      <c r="H17" s="13">
        <v>380</v>
      </c>
      <c r="I17" s="35"/>
      <c r="K17" s="35"/>
      <c r="M17" s="35"/>
      <c r="N17" s="14"/>
      <c r="O17" s="27"/>
      <c r="Q17" s="31"/>
      <c r="R17" s="13"/>
      <c r="T17" s="31"/>
      <c r="U17" s="13"/>
      <c r="V17" s="31">
        <v>20</v>
      </c>
      <c r="W17" s="31"/>
      <c r="X17" s="15"/>
    </row>
    <row r="18" spans="1:24" x14ac:dyDescent="0.25">
      <c r="A18" s="311"/>
      <c r="B18" s="20">
        <v>45310</v>
      </c>
      <c r="C18" s="14" t="s">
        <v>22</v>
      </c>
      <c r="D18" s="27"/>
      <c r="E18">
        <v>450</v>
      </c>
      <c r="G18" s="31"/>
      <c r="H18" s="13">
        <v>500</v>
      </c>
      <c r="I18" s="35"/>
      <c r="K18" s="35"/>
      <c r="M18" s="35"/>
      <c r="N18" s="14"/>
      <c r="O18" s="27"/>
      <c r="Q18" s="31"/>
      <c r="R18" s="13"/>
      <c r="T18" s="31"/>
      <c r="U18" s="13"/>
      <c r="V18" s="31">
        <v>400</v>
      </c>
      <c r="W18" s="31"/>
      <c r="X18" s="15"/>
    </row>
    <row r="19" spans="1:24" x14ac:dyDescent="0.25">
      <c r="A19" s="311"/>
      <c r="B19" s="20">
        <v>45311</v>
      </c>
      <c r="C19" s="14" t="s">
        <v>22</v>
      </c>
      <c r="D19" s="27"/>
      <c r="G19" s="31"/>
      <c r="H19" s="13"/>
      <c r="I19" s="35"/>
      <c r="K19" s="35"/>
      <c r="M19" s="35"/>
      <c r="N19" s="14"/>
      <c r="O19" s="27"/>
      <c r="P19">
        <v>700</v>
      </c>
      <c r="Q19" s="31"/>
      <c r="R19" s="13"/>
      <c r="T19" s="31"/>
      <c r="U19" s="13"/>
      <c r="V19" s="31">
        <v>600</v>
      </c>
      <c r="W19" s="31"/>
      <c r="X19" s="15"/>
    </row>
    <row r="20" spans="1:24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W20" s="31"/>
      <c r="X20" s="15"/>
    </row>
    <row r="21" spans="1:24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W21" s="31"/>
      <c r="X21" s="15"/>
    </row>
    <row r="22" spans="1:24" ht="15.75" thickBot="1" x14ac:dyDescent="0.3">
      <c r="A22" s="312"/>
      <c r="B22" s="13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W22" s="31"/>
      <c r="X22" s="15"/>
    </row>
    <row r="23" spans="1:24" ht="21.75" thickBot="1" x14ac:dyDescent="0.3">
      <c r="A23" s="21" t="s">
        <v>23</v>
      </c>
      <c r="B23" s="22"/>
      <c r="C23" s="23"/>
      <c r="D23" s="29">
        <f>SUM(D4:D11)-SUM(D12:D22)</f>
        <v>15091</v>
      </c>
      <c r="E23" s="22">
        <f t="shared" ref="E23:X23" si="0">SUM(E4:E11)-SUM(E12:E22)</f>
        <v>3570</v>
      </c>
      <c r="F23" s="24">
        <f t="shared" si="0"/>
        <v>506</v>
      </c>
      <c r="G23" s="33">
        <f t="shared" si="0"/>
        <v>0</v>
      </c>
      <c r="H23" s="22">
        <f t="shared" si="0"/>
        <v>3552</v>
      </c>
      <c r="I23" s="37">
        <f t="shared" si="0"/>
        <v>103</v>
      </c>
      <c r="J23" s="24">
        <f>SUM(J4:J11)-SUM(J12:J22)</f>
        <v>2755</v>
      </c>
      <c r="K23" s="37">
        <f t="shared" si="0"/>
        <v>7300</v>
      </c>
      <c r="L23" s="24">
        <f t="shared" si="0"/>
        <v>0</v>
      </c>
      <c r="M23" s="37">
        <f t="shared" si="0"/>
        <v>0</v>
      </c>
      <c r="N23" s="23">
        <f t="shared" si="0"/>
        <v>0</v>
      </c>
      <c r="O23" s="29">
        <f t="shared" si="0"/>
        <v>300</v>
      </c>
      <c r="P23" s="24">
        <f>SUM(P4:P11)-SUM(P12:P22)</f>
        <v>1276</v>
      </c>
      <c r="Q23" s="33">
        <f t="shared" si="0"/>
        <v>602</v>
      </c>
      <c r="R23" s="22">
        <f t="shared" si="0"/>
        <v>1544</v>
      </c>
      <c r="S23" s="22">
        <f>SUM(S4:S11)-SUM(S12:S22)</f>
        <v>500</v>
      </c>
      <c r="T23" s="33">
        <f t="shared" si="0"/>
        <v>1068</v>
      </c>
      <c r="U23" s="22">
        <f t="shared" si="0"/>
        <v>2212</v>
      </c>
      <c r="V23" s="33">
        <f t="shared" si="0"/>
        <v>3060</v>
      </c>
      <c r="W23" s="33">
        <f t="shared" si="0"/>
        <v>280</v>
      </c>
      <c r="X23" s="25">
        <f t="shared" si="0"/>
        <v>43</v>
      </c>
    </row>
    <row r="25" spans="1:24" x14ac:dyDescent="0.25">
      <c r="D25">
        <f>D23*0.36-11500*0.01</f>
        <v>5317.76</v>
      </c>
      <c r="E25">
        <f>+E23*0.4</f>
        <v>1428</v>
      </c>
      <c r="F25">
        <f>+F23*0.38</f>
        <v>192.28</v>
      </c>
      <c r="G25">
        <f>+G23*0.48</f>
        <v>0</v>
      </c>
      <c r="H25">
        <f>+H23*0.57+3000*0.02</f>
        <v>2084.64</v>
      </c>
      <c r="I25">
        <f>+I23*0.6</f>
        <v>61.8</v>
      </c>
      <c r="J25" s="50">
        <f>+J23*0.87</f>
        <v>2396.85</v>
      </c>
      <c r="K25">
        <f>+K23*0.68+(3500*0.02)</f>
        <v>5034</v>
      </c>
      <c r="L25">
        <f>+L23*0.66</f>
        <v>0</v>
      </c>
      <c r="M25">
        <f>+M23*0.7</f>
        <v>0</v>
      </c>
      <c r="N25">
        <f>+N23*0.62</f>
        <v>0</v>
      </c>
      <c r="O25">
        <f>+O23*2.22</f>
        <v>666.00000000000011</v>
      </c>
      <c r="P25">
        <f>+P23*1.8</f>
        <v>2296.8000000000002</v>
      </c>
      <c r="Q25">
        <f>+Q23*2.26</f>
        <v>1360.52</v>
      </c>
      <c r="R25">
        <f>+R23*1.92+1300*0.03</f>
        <v>3003.48</v>
      </c>
      <c r="S25">
        <f>+S23*2.47</f>
        <v>1235</v>
      </c>
      <c r="T25">
        <f>+T23*2.36</f>
        <v>2520.48</v>
      </c>
      <c r="U25">
        <f>+U23*0.42</f>
        <v>929.04</v>
      </c>
      <c r="V25">
        <f>+V23*0.32</f>
        <v>979.2</v>
      </c>
      <c r="W25">
        <f>+W23*0.8</f>
        <v>224</v>
      </c>
      <c r="X25">
        <f>+X23*2</f>
        <v>86</v>
      </c>
    </row>
    <row r="27" spans="1:24" ht="21" x14ac:dyDescent="0.25">
      <c r="X27" s="51">
        <f>SUM(D25:X25)</f>
        <v>29815.850000000002</v>
      </c>
    </row>
  </sheetData>
  <mergeCells count="7">
    <mergeCell ref="U2:V2"/>
    <mergeCell ref="A4:A11"/>
    <mergeCell ref="A12:A22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CC81-91B8-44DB-A46E-2983E9471C04}">
  <dimension ref="A1:X28"/>
  <sheetViews>
    <sheetView zoomScale="70" zoomScaleNormal="7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H26" sqref="H26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2.28515625" customWidth="1"/>
    <col min="24" max="24" width="12.5703125" customWidth="1"/>
  </cols>
  <sheetData>
    <row r="1" spans="1:24" ht="33" customHeight="1" thickBot="1" x14ac:dyDescent="0.3"/>
    <row r="2" spans="1:24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31</v>
      </c>
      <c r="X2" s="46" t="s">
        <v>5</v>
      </c>
    </row>
    <row r="3" spans="1:24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13</v>
      </c>
      <c r="X3" s="10" t="s">
        <v>34</v>
      </c>
    </row>
    <row r="4" spans="1:24" x14ac:dyDescent="0.25">
      <c r="A4" s="310" t="s">
        <v>19</v>
      </c>
      <c r="B4" s="49"/>
      <c r="C4" s="2"/>
      <c r="D4" s="42">
        <f>'STOCK 14 a 20'!D23</f>
        <v>15091</v>
      </c>
      <c r="E4" s="42">
        <f>'STOCK 14 a 20'!E23</f>
        <v>3570</v>
      </c>
      <c r="F4" s="42">
        <f>'STOCK 14 a 20'!F23</f>
        <v>506</v>
      </c>
      <c r="G4" s="42">
        <f>'STOCK 14 a 20'!G23</f>
        <v>0</v>
      </c>
      <c r="H4" s="42">
        <f>'STOCK 14 a 20'!H23</f>
        <v>3552</v>
      </c>
      <c r="I4" s="42">
        <f>'STOCK 14 a 20'!I23</f>
        <v>103</v>
      </c>
      <c r="J4" s="42">
        <f>'STOCK 14 a 20'!J23</f>
        <v>2755</v>
      </c>
      <c r="K4" s="42">
        <f>'STOCK 14 a 20'!K23</f>
        <v>7300</v>
      </c>
      <c r="L4" s="42">
        <f>'STOCK 14 a 20'!L23</f>
        <v>0</v>
      </c>
      <c r="M4" s="42">
        <f>'STOCK 14 a 20'!M23</f>
        <v>0</v>
      </c>
      <c r="N4" s="42">
        <f>'STOCK 14 a 20'!N23</f>
        <v>0</v>
      </c>
      <c r="O4" s="42">
        <f>'STOCK 14 a 20'!O23</f>
        <v>300</v>
      </c>
      <c r="P4" s="42">
        <f>'STOCK 14 a 20'!P23</f>
        <v>1276</v>
      </c>
      <c r="Q4" s="42">
        <f>'STOCK 14 a 20'!Q23</f>
        <v>602</v>
      </c>
      <c r="R4" s="42">
        <f>'STOCK 14 a 20'!R23</f>
        <v>1544</v>
      </c>
      <c r="S4" s="42">
        <f>'STOCK 14 a 20'!S23</f>
        <v>500</v>
      </c>
      <c r="T4" s="42">
        <f>'STOCK 14 a 20'!T23</f>
        <v>1068</v>
      </c>
      <c r="U4" s="42">
        <f>'STOCK 14 a 20'!U23</f>
        <v>2212</v>
      </c>
      <c r="V4" s="42">
        <f>'STOCK 14 a 20'!V23</f>
        <v>3060</v>
      </c>
      <c r="W4" s="42">
        <f>'STOCK 14 a 20'!W23</f>
        <v>280</v>
      </c>
      <c r="X4" s="42">
        <f>'STOCK 14 a 20'!X23</f>
        <v>43</v>
      </c>
    </row>
    <row r="5" spans="1:24" x14ac:dyDescent="0.25">
      <c r="A5" s="311"/>
      <c r="B5" s="20">
        <v>45314</v>
      </c>
      <c r="C5" s="14" t="s">
        <v>27</v>
      </c>
      <c r="D5" s="27">
        <v>4500</v>
      </c>
      <c r="G5" s="31"/>
      <c r="H5" s="13"/>
      <c r="I5" s="35"/>
      <c r="K5" s="35"/>
      <c r="M5" s="35"/>
      <c r="N5" s="14"/>
      <c r="O5" s="27"/>
      <c r="Q5" s="31"/>
      <c r="R5" s="13"/>
      <c r="T5" s="31"/>
      <c r="U5" s="13"/>
      <c r="V5" s="31"/>
      <c r="W5" s="31"/>
      <c r="X5" s="15"/>
    </row>
    <row r="6" spans="1:24" x14ac:dyDescent="0.25">
      <c r="A6" s="311"/>
      <c r="B6" s="20">
        <v>45315</v>
      </c>
      <c r="C6" s="14" t="s">
        <v>27</v>
      </c>
      <c r="D6" s="27"/>
      <c r="G6" s="31"/>
      <c r="H6" s="13"/>
      <c r="I6" s="35"/>
      <c r="K6" s="35"/>
      <c r="M6" s="35"/>
      <c r="N6" s="14"/>
      <c r="O6" s="27"/>
      <c r="P6">
        <v>750</v>
      </c>
      <c r="Q6" s="31"/>
      <c r="R6" s="13"/>
      <c r="T6" s="31"/>
      <c r="U6" s="13"/>
      <c r="V6" s="31"/>
      <c r="W6" s="31"/>
      <c r="X6" s="15"/>
    </row>
    <row r="7" spans="1:24" x14ac:dyDescent="0.25">
      <c r="A7" s="311"/>
      <c r="B7" s="20">
        <v>45316</v>
      </c>
      <c r="C7" s="14" t="s">
        <v>24</v>
      </c>
      <c r="D7" s="27"/>
      <c r="G7" s="31"/>
      <c r="H7" s="13">
        <v>650</v>
      </c>
      <c r="I7" s="35"/>
      <c r="K7" s="35"/>
      <c r="M7" s="35"/>
      <c r="N7" s="14"/>
      <c r="O7" s="27"/>
      <c r="Q7" s="31"/>
      <c r="R7" s="13"/>
      <c r="T7" s="31"/>
      <c r="U7" s="13"/>
      <c r="V7" s="31"/>
      <c r="W7" s="31"/>
      <c r="X7" s="15"/>
    </row>
    <row r="8" spans="1:24" x14ac:dyDescent="0.25">
      <c r="A8" s="311"/>
      <c r="B8" s="20">
        <v>45317</v>
      </c>
      <c r="C8" s="14" t="s">
        <v>27</v>
      </c>
      <c r="D8" s="27"/>
      <c r="G8" s="31"/>
      <c r="H8" s="13"/>
      <c r="I8" s="35"/>
      <c r="K8" s="35"/>
      <c r="M8" s="35"/>
      <c r="N8" s="14"/>
      <c r="O8" s="27"/>
      <c r="Q8" s="31"/>
      <c r="R8" s="13"/>
      <c r="T8" s="31"/>
      <c r="U8" s="13">
        <v>2150</v>
      </c>
      <c r="V8" s="31"/>
      <c r="W8" s="31"/>
      <c r="X8" s="15"/>
    </row>
    <row r="9" spans="1:24" x14ac:dyDescent="0.25">
      <c r="A9" s="311"/>
      <c r="B9" s="20">
        <v>45317</v>
      </c>
      <c r="C9" s="14" t="s">
        <v>24</v>
      </c>
      <c r="D9" s="27">
        <v>500</v>
      </c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W9" s="31"/>
      <c r="X9" s="15"/>
    </row>
    <row r="10" spans="1:24" x14ac:dyDescent="0.25">
      <c r="A10" s="311"/>
      <c r="B10" s="20"/>
      <c r="C10" s="14"/>
      <c r="D10" s="27"/>
      <c r="G10" s="31"/>
      <c r="H10" s="13"/>
      <c r="I10" s="35"/>
      <c r="K10" s="35"/>
      <c r="M10" s="35"/>
      <c r="N10" s="14"/>
      <c r="O10" s="27"/>
      <c r="Q10" s="31"/>
      <c r="R10" s="13"/>
      <c r="T10" s="31"/>
      <c r="U10" s="13"/>
      <c r="V10" s="31"/>
      <c r="W10" s="31"/>
      <c r="X10" s="15"/>
    </row>
    <row r="11" spans="1:24" ht="15.75" thickBot="1" x14ac:dyDescent="0.3">
      <c r="A11" s="312"/>
      <c r="B11" s="16"/>
      <c r="C11" s="17"/>
      <c r="D11" s="28"/>
      <c r="E11" s="18"/>
      <c r="F11" s="18"/>
      <c r="G11" s="32"/>
      <c r="H11" s="16"/>
      <c r="I11" s="36"/>
      <c r="J11" s="18"/>
      <c r="K11" s="36"/>
      <c r="L11" s="18"/>
      <c r="M11" s="36"/>
      <c r="N11" s="17"/>
      <c r="O11" s="28"/>
      <c r="P11" s="18"/>
      <c r="Q11" s="32"/>
      <c r="R11" s="16"/>
      <c r="S11" s="18"/>
      <c r="T11" s="32"/>
      <c r="U11" s="16"/>
      <c r="V11" s="32"/>
      <c r="W11" s="32"/>
      <c r="X11" s="19"/>
    </row>
    <row r="12" spans="1:24" x14ac:dyDescent="0.25">
      <c r="A12" s="310" t="s">
        <v>21</v>
      </c>
      <c r="B12" s="20">
        <v>45313</v>
      </c>
      <c r="C12" s="14" t="s">
        <v>22</v>
      </c>
      <c r="D12" s="27">
        <v>70</v>
      </c>
      <c r="G12" s="31"/>
      <c r="H12" s="13"/>
      <c r="I12" s="35"/>
      <c r="K12" s="35">
        <v>3000</v>
      </c>
      <c r="M12" s="35"/>
      <c r="N12" s="14"/>
      <c r="O12" s="27"/>
      <c r="Q12" s="31"/>
      <c r="R12" s="13">
        <v>600</v>
      </c>
      <c r="T12" s="31"/>
      <c r="U12" s="13"/>
      <c r="V12" s="31"/>
      <c r="W12" s="31"/>
      <c r="X12" s="15"/>
    </row>
    <row r="13" spans="1:24" x14ac:dyDescent="0.25">
      <c r="A13" s="311"/>
      <c r="B13" s="20">
        <v>45313</v>
      </c>
      <c r="C13" s="14" t="s">
        <v>45</v>
      </c>
      <c r="D13" s="27">
        <v>3000</v>
      </c>
      <c r="G13" s="31"/>
      <c r="H13" s="13"/>
      <c r="I13" s="35"/>
      <c r="K13" s="35"/>
      <c r="M13" s="35"/>
      <c r="N13" s="14"/>
      <c r="O13" s="27"/>
      <c r="Q13" s="31"/>
      <c r="R13" s="13"/>
      <c r="T13" s="31"/>
      <c r="U13" s="13"/>
      <c r="V13" s="31"/>
      <c r="W13" s="31"/>
      <c r="X13" s="15"/>
    </row>
    <row r="14" spans="1:24" x14ac:dyDescent="0.25">
      <c r="A14" s="311"/>
      <c r="B14" s="20">
        <v>45314</v>
      </c>
      <c r="C14" s="14" t="s">
        <v>22</v>
      </c>
      <c r="D14" s="27"/>
      <c r="G14" s="31"/>
      <c r="H14" s="13"/>
      <c r="I14" s="35"/>
      <c r="K14" s="35"/>
      <c r="M14" s="35"/>
      <c r="N14" s="14"/>
      <c r="O14" s="27"/>
      <c r="Q14" s="31"/>
      <c r="R14" s="13"/>
      <c r="T14" s="31"/>
      <c r="U14" s="13">
        <v>200</v>
      </c>
      <c r="V14" s="31">
        <v>100</v>
      </c>
      <c r="W14" s="31"/>
      <c r="X14" s="15"/>
    </row>
    <row r="15" spans="1:24" x14ac:dyDescent="0.25">
      <c r="A15" s="311"/>
      <c r="B15" s="20">
        <v>45315</v>
      </c>
      <c r="C15" s="14" t="s">
        <v>22</v>
      </c>
      <c r="D15" s="27">
        <f>1000+1000</f>
        <v>2000</v>
      </c>
      <c r="G15" s="31"/>
      <c r="H15" s="13"/>
      <c r="I15" s="35"/>
      <c r="K15" s="35"/>
      <c r="M15" s="35"/>
      <c r="N15" s="14"/>
      <c r="O15" s="27"/>
      <c r="Q15" s="31"/>
      <c r="R15" s="13"/>
      <c r="T15" s="31"/>
      <c r="U15" s="13"/>
      <c r="V15" s="31">
        <v>250</v>
      </c>
      <c r="W15" s="31"/>
      <c r="X15" s="15"/>
    </row>
    <row r="16" spans="1:24" x14ac:dyDescent="0.25">
      <c r="A16" s="311"/>
      <c r="B16" s="20">
        <v>45316</v>
      </c>
      <c r="C16" s="14" t="s">
        <v>45</v>
      </c>
      <c r="D16" s="27">
        <v>1500</v>
      </c>
      <c r="G16" s="31"/>
      <c r="H16" s="13"/>
      <c r="I16" s="35"/>
      <c r="K16" s="35">
        <v>500</v>
      </c>
      <c r="M16" s="35"/>
      <c r="N16" s="14"/>
      <c r="O16" s="27"/>
      <c r="Q16" s="31"/>
      <c r="R16" s="13"/>
      <c r="T16" s="31"/>
      <c r="U16" s="13"/>
      <c r="V16" s="31"/>
      <c r="W16" s="31"/>
      <c r="X16" s="15"/>
    </row>
    <row r="17" spans="1:24" x14ac:dyDescent="0.25">
      <c r="A17" s="311"/>
      <c r="B17" s="20">
        <v>45317</v>
      </c>
      <c r="C17" s="14" t="s">
        <v>45</v>
      </c>
      <c r="D17" s="27">
        <v>2000</v>
      </c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>
        <v>1000</v>
      </c>
      <c r="V17" s="31"/>
      <c r="W17" s="31"/>
      <c r="X17" s="15"/>
    </row>
    <row r="18" spans="1:24" x14ac:dyDescent="0.25">
      <c r="A18" s="311"/>
      <c r="B18" s="20">
        <v>45317</v>
      </c>
      <c r="C18" s="14" t="s">
        <v>22</v>
      </c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/>
      <c r="V18" s="31">
        <v>30</v>
      </c>
      <c r="W18" s="31"/>
      <c r="X18" s="15"/>
    </row>
    <row r="19" spans="1:24" x14ac:dyDescent="0.25">
      <c r="A19" s="311"/>
      <c r="B19" s="20">
        <v>45318</v>
      </c>
      <c r="C19" s="14" t="s">
        <v>22</v>
      </c>
      <c r="D19" s="27">
        <v>1000</v>
      </c>
      <c r="G19" s="31"/>
      <c r="H19" s="13"/>
      <c r="I19" s="35"/>
      <c r="J19">
        <v>470</v>
      </c>
      <c r="K19" s="35"/>
      <c r="M19" s="35"/>
      <c r="N19" s="14"/>
      <c r="O19" s="27"/>
      <c r="Q19" s="31"/>
      <c r="R19" s="13"/>
      <c r="T19" s="31"/>
      <c r="U19" s="13"/>
      <c r="V19" s="31">
        <v>6</v>
      </c>
      <c r="W19" s="31"/>
      <c r="X19" s="15"/>
    </row>
    <row r="20" spans="1:24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W20" s="31"/>
      <c r="X20" s="15"/>
    </row>
    <row r="21" spans="1:24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W21" s="31"/>
      <c r="X21" s="15"/>
    </row>
    <row r="22" spans="1:24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W22" s="31"/>
      <c r="X22" s="15"/>
    </row>
    <row r="23" spans="1:24" ht="15.75" thickBot="1" x14ac:dyDescent="0.3">
      <c r="A23" s="312"/>
      <c r="B23" s="13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T23" s="31"/>
      <c r="U23" s="13"/>
      <c r="V23" s="31"/>
      <c r="W23" s="31"/>
      <c r="X23" s="15"/>
    </row>
    <row r="24" spans="1:24" ht="21.75" thickBot="1" x14ac:dyDescent="0.3">
      <c r="A24" s="21" t="s">
        <v>23</v>
      </c>
      <c r="B24" s="22"/>
      <c r="C24" s="23"/>
      <c r="D24" s="29">
        <f t="shared" ref="D24:X24" si="0">SUM(D4:D11)-SUM(D12:D23)</f>
        <v>10521</v>
      </c>
      <c r="E24" s="22">
        <f t="shared" si="0"/>
        <v>3570</v>
      </c>
      <c r="F24" s="24">
        <f t="shared" si="0"/>
        <v>506</v>
      </c>
      <c r="G24" s="33">
        <f t="shared" si="0"/>
        <v>0</v>
      </c>
      <c r="H24" s="22">
        <f t="shared" si="0"/>
        <v>4202</v>
      </c>
      <c r="I24" s="37">
        <f t="shared" si="0"/>
        <v>103</v>
      </c>
      <c r="J24" s="24">
        <f t="shared" si="0"/>
        <v>2285</v>
      </c>
      <c r="K24" s="37">
        <f t="shared" si="0"/>
        <v>3800</v>
      </c>
      <c r="L24" s="24">
        <f t="shared" si="0"/>
        <v>0</v>
      </c>
      <c r="M24" s="37">
        <f t="shared" si="0"/>
        <v>0</v>
      </c>
      <c r="N24" s="23">
        <f t="shared" si="0"/>
        <v>0</v>
      </c>
      <c r="O24" s="29">
        <f t="shared" si="0"/>
        <v>300</v>
      </c>
      <c r="P24" s="24">
        <f t="shared" si="0"/>
        <v>2026</v>
      </c>
      <c r="Q24" s="33">
        <f t="shared" si="0"/>
        <v>602</v>
      </c>
      <c r="R24" s="22">
        <f t="shared" si="0"/>
        <v>944</v>
      </c>
      <c r="S24" s="22">
        <f t="shared" si="0"/>
        <v>500</v>
      </c>
      <c r="T24" s="33">
        <f t="shared" si="0"/>
        <v>1068</v>
      </c>
      <c r="U24" s="22">
        <f t="shared" si="0"/>
        <v>3162</v>
      </c>
      <c r="V24" s="33">
        <f t="shared" si="0"/>
        <v>2674</v>
      </c>
      <c r="W24" s="33">
        <f t="shared" si="0"/>
        <v>280</v>
      </c>
      <c r="X24" s="25">
        <f t="shared" si="0"/>
        <v>43</v>
      </c>
    </row>
    <row r="26" spans="1:24" x14ac:dyDescent="0.25">
      <c r="D26">
        <f>D24*0.35</f>
        <v>3682.35</v>
      </c>
      <c r="E26">
        <f>+E24*0.4</f>
        <v>1428</v>
      </c>
      <c r="F26">
        <f>+F24*0.38</f>
        <v>192.28</v>
      </c>
      <c r="G26">
        <f>+G24*0.48</f>
        <v>0</v>
      </c>
      <c r="H26">
        <f>+H24*0.59-552*0.02</f>
        <v>2468.14</v>
      </c>
      <c r="I26">
        <f>+I24*0.6</f>
        <v>61.8</v>
      </c>
      <c r="J26" s="50">
        <f>+J24*0.87</f>
        <v>1987.95</v>
      </c>
      <c r="K26">
        <f>+K24*0.68+(3500*0.02)</f>
        <v>2654</v>
      </c>
      <c r="L26">
        <f>+L24*0.66</f>
        <v>0</v>
      </c>
      <c r="M26">
        <f>+M24*0.7</f>
        <v>0</v>
      </c>
      <c r="N26">
        <f>+N24*0.62</f>
        <v>0</v>
      </c>
      <c r="O26">
        <f>+O24*2.22</f>
        <v>666.00000000000011</v>
      </c>
      <c r="P26">
        <f>+P24*1.8</f>
        <v>3646.8</v>
      </c>
      <c r="Q26">
        <f>+Q24*2.26</f>
        <v>1360.52</v>
      </c>
      <c r="R26">
        <f>+R24*1.95</f>
        <v>1840.8</v>
      </c>
      <c r="S26">
        <f>+S24*2.47</f>
        <v>1235</v>
      </c>
      <c r="T26">
        <f>+T24*2.36</f>
        <v>2520.48</v>
      </c>
      <c r="U26">
        <f>+U24*0.42</f>
        <v>1328.04</v>
      </c>
      <c r="V26">
        <f>+V24*0.32</f>
        <v>855.68000000000006</v>
      </c>
      <c r="W26">
        <f>+W24*0.8</f>
        <v>224</v>
      </c>
      <c r="X26">
        <f>+X24*2</f>
        <v>86</v>
      </c>
    </row>
    <row r="28" spans="1:24" ht="21" x14ac:dyDescent="0.25">
      <c r="H28">
        <v>2384.64</v>
      </c>
      <c r="X28" s="51">
        <f>SUM(D26:X26)</f>
        <v>26237.84</v>
      </c>
    </row>
  </sheetData>
  <mergeCells count="7">
    <mergeCell ref="U2:V2"/>
    <mergeCell ref="A4:A11"/>
    <mergeCell ref="A12:A23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4C67-892A-4018-BF7C-1F5777BEEB6F}">
  <dimension ref="A1:X28"/>
  <sheetViews>
    <sheetView zoomScale="70" zoomScaleNormal="70" workbookViewId="0">
      <pane xSplit="3" ySplit="3" topLeftCell="E10" activePane="bottomRight" state="frozen"/>
      <selection pane="topRight" activeCell="D1" sqref="D1"/>
      <selection pane="bottomLeft" activeCell="A4" sqref="A4"/>
      <selection pane="bottomRight" activeCell="R26" sqref="R26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2.28515625" customWidth="1"/>
    <col min="24" max="24" width="12.5703125" customWidth="1"/>
  </cols>
  <sheetData>
    <row r="1" spans="1:24" ht="33" customHeight="1" thickBot="1" x14ac:dyDescent="0.3"/>
    <row r="2" spans="1:24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31</v>
      </c>
      <c r="X2" s="46" t="s">
        <v>5</v>
      </c>
    </row>
    <row r="3" spans="1:24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10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13</v>
      </c>
      <c r="X3" s="10" t="s">
        <v>34</v>
      </c>
    </row>
    <row r="4" spans="1:24" x14ac:dyDescent="0.25">
      <c r="A4" s="310" t="s">
        <v>19</v>
      </c>
      <c r="B4" s="49"/>
      <c r="C4" s="2"/>
      <c r="D4" s="42">
        <f>'STOCK 21 a 27'!D24</f>
        <v>10521</v>
      </c>
      <c r="E4" s="42">
        <f>'STOCK 21 a 27'!E24</f>
        <v>3570</v>
      </c>
      <c r="F4" s="42">
        <f>'STOCK 21 a 27'!F24</f>
        <v>506</v>
      </c>
      <c r="G4" s="42">
        <f>'STOCK 21 a 27'!G24</f>
        <v>0</v>
      </c>
      <c r="H4" s="42">
        <f>'STOCK 21 a 27'!H24</f>
        <v>4202</v>
      </c>
      <c r="I4" s="42">
        <f>'STOCK 21 a 27'!I24</f>
        <v>103</v>
      </c>
      <c r="J4" s="42">
        <f>'STOCK 21 a 27'!J24</f>
        <v>2285</v>
      </c>
      <c r="K4" s="42">
        <f>'STOCK 21 a 27'!K24</f>
        <v>3800</v>
      </c>
      <c r="L4" s="42">
        <f>'STOCK 21 a 27'!L24</f>
        <v>0</v>
      </c>
      <c r="M4" s="42">
        <f>'STOCK 21 a 27'!M24</f>
        <v>0</v>
      </c>
      <c r="N4" s="42">
        <f>'STOCK 21 a 27'!N24</f>
        <v>0</v>
      </c>
      <c r="O4" s="42">
        <f>'STOCK 21 a 27'!O24</f>
        <v>300</v>
      </c>
      <c r="P4" s="42">
        <f>'STOCK 21 a 27'!P24</f>
        <v>2026</v>
      </c>
      <c r="Q4" s="42">
        <f>'STOCK 21 a 27'!Q24</f>
        <v>602</v>
      </c>
      <c r="R4" s="42">
        <f>'STOCK 21 a 27'!R24</f>
        <v>944</v>
      </c>
      <c r="S4" s="42">
        <f>'STOCK 21 a 27'!S24</f>
        <v>500</v>
      </c>
      <c r="T4" s="42">
        <f>'STOCK 21 a 27'!T24</f>
        <v>1068</v>
      </c>
      <c r="U4" s="42">
        <f>'STOCK 21 a 27'!U24</f>
        <v>3162</v>
      </c>
      <c r="V4" s="42">
        <f>'STOCK 21 a 27'!V24</f>
        <v>2674</v>
      </c>
      <c r="W4" s="42">
        <f>'STOCK 21 a 27'!W24</f>
        <v>280</v>
      </c>
      <c r="X4" s="42">
        <f>'STOCK 21 a 27'!X24</f>
        <v>43</v>
      </c>
    </row>
    <row r="5" spans="1:24" x14ac:dyDescent="0.25">
      <c r="A5" s="311"/>
      <c r="B5" s="20">
        <v>45322</v>
      </c>
      <c r="C5" s="14" t="s">
        <v>27</v>
      </c>
      <c r="D5" s="27">
        <v>4000</v>
      </c>
      <c r="G5" s="31"/>
      <c r="H5" s="13"/>
      <c r="I5" s="35"/>
      <c r="K5" s="35"/>
      <c r="M5" s="35"/>
      <c r="N5" s="14"/>
      <c r="O5" s="27"/>
      <c r="Q5" s="31"/>
      <c r="R5" s="13"/>
      <c r="T5" s="31"/>
      <c r="U5" s="13"/>
      <c r="V5" s="31"/>
      <c r="W5" s="31"/>
      <c r="X5" s="15"/>
    </row>
    <row r="6" spans="1:24" x14ac:dyDescent="0.25">
      <c r="A6" s="311"/>
      <c r="B6" s="20">
        <v>45322</v>
      </c>
      <c r="C6" s="14" t="s">
        <v>24</v>
      </c>
      <c r="D6" s="27"/>
      <c r="G6" s="31"/>
      <c r="H6" s="13"/>
      <c r="I6" s="35"/>
      <c r="K6" s="35">
        <v>3500</v>
      </c>
      <c r="M6" s="35"/>
      <c r="N6" s="14"/>
      <c r="O6" s="27"/>
      <c r="Q6" s="31"/>
      <c r="R6" s="13"/>
      <c r="T6" s="31"/>
      <c r="U6" s="13"/>
      <c r="V6" s="31"/>
      <c r="W6" s="31"/>
      <c r="X6" s="15"/>
    </row>
    <row r="7" spans="1:24" x14ac:dyDescent="0.25">
      <c r="A7" s="311"/>
      <c r="B7" s="20">
        <v>45323</v>
      </c>
      <c r="C7" s="14" t="s">
        <v>27</v>
      </c>
      <c r="D7" s="27"/>
      <c r="G7" s="31"/>
      <c r="H7" s="13"/>
      <c r="I7" s="35"/>
      <c r="K7" s="35"/>
      <c r="M7" s="35"/>
      <c r="N7" s="14"/>
      <c r="O7" s="27"/>
      <c r="Q7" s="31"/>
      <c r="R7" s="13">
        <v>1000</v>
      </c>
      <c r="T7" s="31"/>
      <c r="U7" s="13"/>
      <c r="V7" s="31"/>
      <c r="W7" s="31"/>
      <c r="X7" s="15"/>
    </row>
    <row r="8" spans="1:24" x14ac:dyDescent="0.25">
      <c r="A8" s="311"/>
      <c r="B8" s="20">
        <v>45325</v>
      </c>
      <c r="C8" s="14" t="s">
        <v>27</v>
      </c>
      <c r="D8" s="27">
        <v>4500</v>
      </c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W8" s="31"/>
      <c r="X8" s="15"/>
    </row>
    <row r="9" spans="1:24" x14ac:dyDescent="0.25">
      <c r="A9" s="311"/>
      <c r="B9" s="20">
        <v>45325</v>
      </c>
      <c r="C9" s="14" t="s">
        <v>24</v>
      </c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>
        <v>1000</v>
      </c>
      <c r="V9" s="31">
        <v>500</v>
      </c>
      <c r="W9" s="31"/>
      <c r="X9" s="15"/>
    </row>
    <row r="10" spans="1:24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32"/>
      <c r="X10" s="19"/>
    </row>
    <row r="11" spans="1:24" x14ac:dyDescent="0.25">
      <c r="A11" s="310" t="s">
        <v>21</v>
      </c>
      <c r="B11" s="20">
        <v>45320</v>
      </c>
      <c r="C11" s="14" t="s">
        <v>22</v>
      </c>
      <c r="D11" s="27"/>
      <c r="G11" s="31"/>
      <c r="H11" s="13">
        <v>100</v>
      </c>
      <c r="I11" s="35"/>
      <c r="K11" s="35"/>
      <c r="M11" s="35"/>
      <c r="N11" s="14"/>
      <c r="O11" s="27"/>
      <c r="Q11" s="31"/>
      <c r="R11" s="13">
        <v>160</v>
      </c>
      <c r="T11" s="31"/>
      <c r="U11" s="13"/>
      <c r="V11" s="31">
        <v>30</v>
      </c>
      <c r="W11" s="31"/>
      <c r="X11" s="15"/>
    </row>
    <row r="12" spans="1:24" x14ac:dyDescent="0.25">
      <c r="A12" s="311"/>
      <c r="B12" s="20">
        <v>45320</v>
      </c>
      <c r="C12" s="14" t="s">
        <v>45</v>
      </c>
      <c r="D12" s="27"/>
      <c r="G12" s="31"/>
      <c r="H12" s="13"/>
      <c r="I12" s="35"/>
      <c r="K12" s="54">
        <v>3500</v>
      </c>
      <c r="M12" s="35"/>
      <c r="N12" s="14"/>
      <c r="O12" s="27"/>
      <c r="Q12" s="31"/>
      <c r="R12" s="13"/>
      <c r="T12" s="31"/>
      <c r="U12" s="13"/>
      <c r="V12" s="31"/>
      <c r="W12" s="31"/>
      <c r="X12" s="15"/>
    </row>
    <row r="13" spans="1:24" x14ac:dyDescent="0.25">
      <c r="A13" s="311"/>
      <c r="B13" s="20">
        <v>45321</v>
      </c>
      <c r="C13" s="14" t="s">
        <v>45</v>
      </c>
      <c r="D13" s="53">
        <v>4000</v>
      </c>
      <c r="G13" s="31"/>
      <c r="H13" s="13"/>
      <c r="I13" s="35"/>
      <c r="K13" s="35"/>
      <c r="M13" s="35"/>
      <c r="N13" s="14"/>
      <c r="O13" s="27"/>
      <c r="Q13" s="31"/>
      <c r="R13" s="13"/>
      <c r="T13" s="31"/>
      <c r="U13" s="13"/>
      <c r="V13" s="31"/>
      <c r="W13" s="31"/>
      <c r="X13" s="15"/>
    </row>
    <row r="14" spans="1:24" x14ac:dyDescent="0.25">
      <c r="A14" s="311"/>
      <c r="B14" s="20">
        <v>45321</v>
      </c>
      <c r="C14" s="14" t="s">
        <v>22</v>
      </c>
      <c r="D14" s="27">
        <f>1000+1000</f>
        <v>2000</v>
      </c>
      <c r="G14" s="31"/>
      <c r="H14" s="13"/>
      <c r="I14" s="35"/>
      <c r="K14" s="35"/>
      <c r="M14" s="35"/>
      <c r="N14" s="14"/>
      <c r="O14" s="27"/>
      <c r="Q14" s="31"/>
      <c r="R14" s="13"/>
      <c r="T14" s="31"/>
      <c r="U14" s="13"/>
      <c r="V14" s="31"/>
      <c r="W14" s="31"/>
      <c r="X14" s="15"/>
    </row>
    <row r="15" spans="1:24" x14ac:dyDescent="0.25">
      <c r="A15" s="311"/>
      <c r="B15" s="20">
        <v>45322</v>
      </c>
      <c r="C15" s="14" t="s">
        <v>45</v>
      </c>
      <c r="D15" s="27"/>
      <c r="G15" s="31"/>
      <c r="H15" s="13"/>
      <c r="I15" s="35"/>
      <c r="K15" s="35"/>
      <c r="M15" s="35"/>
      <c r="N15" s="14"/>
      <c r="O15" s="27"/>
      <c r="Q15" s="31"/>
      <c r="R15" s="53">
        <v>260</v>
      </c>
      <c r="T15" s="31"/>
      <c r="U15" s="13"/>
      <c r="V15" s="31"/>
      <c r="W15" s="31"/>
      <c r="X15" s="15"/>
    </row>
    <row r="16" spans="1:24" x14ac:dyDescent="0.25">
      <c r="A16" s="311"/>
      <c r="B16" s="20">
        <v>45322</v>
      </c>
      <c r="C16" s="14" t="s">
        <v>22</v>
      </c>
      <c r="D16" s="27">
        <v>150</v>
      </c>
      <c r="G16" s="31"/>
      <c r="H16" s="13"/>
      <c r="I16" s="35"/>
      <c r="K16" s="35"/>
      <c r="M16" s="35"/>
      <c r="N16" s="14"/>
      <c r="O16" s="27"/>
      <c r="P16">
        <v>60</v>
      </c>
      <c r="Q16" s="31"/>
      <c r="R16" s="13"/>
      <c r="T16" s="31"/>
      <c r="U16" s="13">
        <v>50</v>
      </c>
      <c r="V16" s="31"/>
      <c r="W16" s="31"/>
      <c r="X16" s="15"/>
    </row>
    <row r="17" spans="1:24" x14ac:dyDescent="0.25">
      <c r="A17" s="311"/>
      <c r="B17" s="20">
        <v>45323</v>
      </c>
      <c r="C17" s="14" t="s">
        <v>45</v>
      </c>
      <c r="D17" s="53">
        <v>1000</v>
      </c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W17" s="31"/>
      <c r="X17" s="15"/>
    </row>
    <row r="18" spans="1:24" x14ac:dyDescent="0.25">
      <c r="A18" s="311"/>
      <c r="B18" s="20">
        <v>45323</v>
      </c>
      <c r="C18" s="14" t="s">
        <v>22</v>
      </c>
      <c r="D18" s="27"/>
      <c r="G18" s="31"/>
      <c r="H18" s="13"/>
      <c r="I18" s="35"/>
      <c r="K18" s="35"/>
      <c r="M18" s="35"/>
      <c r="N18" s="14"/>
      <c r="O18" s="27"/>
      <c r="Q18" s="31"/>
      <c r="R18" s="13">
        <v>200</v>
      </c>
      <c r="T18" s="31"/>
      <c r="U18" s="13"/>
      <c r="V18" s="31">
        <f>500+40</f>
        <v>540</v>
      </c>
      <c r="W18" s="31"/>
      <c r="X18" s="15"/>
    </row>
    <row r="19" spans="1:24" x14ac:dyDescent="0.25">
      <c r="A19" s="311"/>
      <c r="B19" s="20">
        <v>45324</v>
      </c>
      <c r="C19" s="14" t="s">
        <v>22</v>
      </c>
      <c r="D19" s="27">
        <v>1000</v>
      </c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>
        <v>170</v>
      </c>
      <c r="V19" s="31">
        <v>300</v>
      </c>
      <c r="W19" s="31"/>
      <c r="X19" s="15"/>
    </row>
    <row r="20" spans="1:24" x14ac:dyDescent="0.25">
      <c r="A20" s="311"/>
      <c r="B20" s="20">
        <v>45324</v>
      </c>
      <c r="C20" s="14" t="s">
        <v>45</v>
      </c>
      <c r="D20" s="27"/>
      <c r="E20" s="54">
        <v>1000</v>
      </c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W20" s="31"/>
      <c r="X20" s="15"/>
    </row>
    <row r="21" spans="1:24" x14ac:dyDescent="0.25">
      <c r="A21" s="311"/>
      <c r="B21" s="20">
        <v>45325</v>
      </c>
      <c r="C21" s="14" t="s">
        <v>22</v>
      </c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>
        <v>12</v>
      </c>
      <c r="W21" s="31"/>
      <c r="X21" s="15"/>
    </row>
    <row r="22" spans="1:24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W22" s="31"/>
      <c r="X22" s="15"/>
    </row>
    <row r="23" spans="1:24" ht="15.75" thickBot="1" x14ac:dyDescent="0.3">
      <c r="A23" s="312"/>
      <c r="B23" s="13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T23" s="31"/>
      <c r="U23" s="13"/>
      <c r="V23" s="31"/>
      <c r="W23" s="31"/>
      <c r="X23" s="15"/>
    </row>
    <row r="24" spans="1:24" ht="21.75" thickBot="1" x14ac:dyDescent="0.3">
      <c r="A24" s="21" t="s">
        <v>23</v>
      </c>
      <c r="B24" s="22"/>
      <c r="C24" s="23"/>
      <c r="D24" s="29">
        <f t="shared" ref="D24:X24" si="0">SUM(D4:D10)-SUM(D11:D23)</f>
        <v>10871</v>
      </c>
      <c r="E24" s="22">
        <f t="shared" si="0"/>
        <v>2570</v>
      </c>
      <c r="F24" s="24">
        <f t="shared" si="0"/>
        <v>506</v>
      </c>
      <c r="G24" s="33">
        <f t="shared" si="0"/>
        <v>0</v>
      </c>
      <c r="H24" s="22">
        <f t="shared" si="0"/>
        <v>4102</v>
      </c>
      <c r="I24" s="37">
        <f t="shared" si="0"/>
        <v>103</v>
      </c>
      <c r="J24" s="24">
        <f t="shared" si="0"/>
        <v>2285</v>
      </c>
      <c r="K24" s="37">
        <f t="shared" si="0"/>
        <v>3800</v>
      </c>
      <c r="L24" s="24">
        <f t="shared" si="0"/>
        <v>0</v>
      </c>
      <c r="M24" s="37">
        <f t="shared" si="0"/>
        <v>0</v>
      </c>
      <c r="N24" s="23">
        <f t="shared" si="0"/>
        <v>0</v>
      </c>
      <c r="O24" s="29">
        <f t="shared" si="0"/>
        <v>300</v>
      </c>
      <c r="P24" s="24">
        <f t="shared" si="0"/>
        <v>1966</v>
      </c>
      <c r="Q24" s="33">
        <f t="shared" si="0"/>
        <v>602</v>
      </c>
      <c r="R24" s="22">
        <f t="shared" si="0"/>
        <v>1324</v>
      </c>
      <c r="S24" s="22">
        <f t="shared" si="0"/>
        <v>500</v>
      </c>
      <c r="T24" s="33">
        <f t="shared" si="0"/>
        <v>1068</v>
      </c>
      <c r="U24" s="22">
        <f t="shared" si="0"/>
        <v>3942</v>
      </c>
      <c r="V24" s="33">
        <f t="shared" si="0"/>
        <v>2292</v>
      </c>
      <c r="W24" s="33">
        <f t="shared" si="0"/>
        <v>280</v>
      </c>
      <c r="X24" s="25">
        <f t="shared" si="0"/>
        <v>43</v>
      </c>
    </row>
    <row r="26" spans="1:24" x14ac:dyDescent="0.25">
      <c r="D26">
        <f>D24*0.35</f>
        <v>3804.85</v>
      </c>
      <c r="E26">
        <f>+E24*0.4</f>
        <v>1028</v>
      </c>
      <c r="F26">
        <f>+F24*0.38</f>
        <v>192.28</v>
      </c>
      <c r="G26">
        <f>+G24*0.48</f>
        <v>0</v>
      </c>
      <c r="H26">
        <f>+H24*0.59-452*0.02</f>
        <v>2411.14</v>
      </c>
      <c r="I26">
        <f>+I24*0.6</f>
        <v>61.8</v>
      </c>
      <c r="J26" s="50">
        <f>+J24*0.87</f>
        <v>1987.95</v>
      </c>
      <c r="K26">
        <f>+K24*0.7</f>
        <v>2660</v>
      </c>
      <c r="L26">
        <f>+L24*0.66</f>
        <v>0</v>
      </c>
      <c r="M26">
        <f>+M24*0.7</f>
        <v>0</v>
      </c>
      <c r="N26">
        <f>+N24*0.62</f>
        <v>0</v>
      </c>
      <c r="O26">
        <f>+O24*2.22</f>
        <v>666.00000000000011</v>
      </c>
      <c r="P26">
        <f>+P24*1.8</f>
        <v>3538.8</v>
      </c>
      <c r="Q26">
        <f>+Q24*2.26</f>
        <v>1360.52</v>
      </c>
      <c r="R26">
        <f>+R24*1.95</f>
        <v>2581.7999999999997</v>
      </c>
      <c r="S26">
        <f>+S24*2.47</f>
        <v>1235</v>
      </c>
      <c r="T26">
        <f>+T24*2.36</f>
        <v>2520.48</v>
      </c>
      <c r="U26">
        <f>+U24*0.42</f>
        <v>1655.6399999999999</v>
      </c>
      <c r="V26">
        <f>+V24*0.32</f>
        <v>733.44</v>
      </c>
      <c r="W26">
        <f>+W24*0.8</f>
        <v>224</v>
      </c>
      <c r="X26">
        <f>+X24*2</f>
        <v>86</v>
      </c>
    </row>
    <row r="28" spans="1:24" ht="21" x14ac:dyDescent="0.25">
      <c r="H28">
        <v>2384.64</v>
      </c>
      <c r="X28" s="51">
        <f>SUM(D26:X26)</f>
        <v>26747.699999999997</v>
      </c>
    </row>
  </sheetData>
  <mergeCells count="7">
    <mergeCell ref="U2:V2"/>
    <mergeCell ref="A4:A10"/>
    <mergeCell ref="A11:A23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6" orientation="landscape" horizontalDpi="203" verticalDpi="20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82FC-64CB-440F-8904-41579512C834}">
  <dimension ref="A1:Y35"/>
  <sheetViews>
    <sheetView zoomScale="70" zoomScaleNormal="70" workbookViewId="0">
      <pane xSplit="3" ySplit="3" topLeftCell="E16" activePane="bottomRight" state="frozen"/>
      <selection pane="topRight" activeCell="D1" sqref="D1"/>
      <selection pane="bottomLeft" activeCell="A4" sqref="A4"/>
      <selection pane="bottomRight" activeCell="R29" sqref="R29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28 a 03'!D24</f>
        <v>10871</v>
      </c>
      <c r="E4" s="42">
        <f>'STOCK 28 a 03'!E24</f>
        <v>2570</v>
      </c>
      <c r="F4" s="42">
        <f>'STOCK 28 a 03'!F24</f>
        <v>506</v>
      </c>
      <c r="G4" s="42">
        <f>'STOCK 28 a 03'!G24</f>
        <v>0</v>
      </c>
      <c r="H4" s="42">
        <f>'STOCK 28 a 03'!H24</f>
        <v>4102</v>
      </c>
      <c r="I4" s="42">
        <f>'STOCK 28 a 03'!I24</f>
        <v>103</v>
      </c>
      <c r="J4" s="42">
        <f>'STOCK 28 a 03'!J24</f>
        <v>2285</v>
      </c>
      <c r="K4" s="42">
        <f>'STOCK 28 a 03'!K24</f>
        <v>3800</v>
      </c>
      <c r="L4" s="42">
        <f>'STOCK 28 a 03'!L24</f>
        <v>0</v>
      </c>
      <c r="M4" s="42">
        <f>'STOCK 28 a 03'!M24</f>
        <v>0</v>
      </c>
      <c r="N4" s="42">
        <f>'STOCK 28 a 03'!N24</f>
        <v>0</v>
      </c>
      <c r="O4" s="42">
        <f>'STOCK 28 a 03'!O24</f>
        <v>300</v>
      </c>
      <c r="P4" s="42">
        <f>'STOCK 28 a 03'!P24</f>
        <v>1966</v>
      </c>
      <c r="Q4" s="42">
        <f>'STOCK 28 a 03'!Q24</f>
        <v>602</v>
      </c>
      <c r="R4" s="42">
        <f>'STOCK 28 a 03'!R24</f>
        <v>1324</v>
      </c>
      <c r="S4" s="42">
        <f>'STOCK 28 a 03'!S24</f>
        <v>500</v>
      </c>
      <c r="T4" s="42">
        <f>'STOCK 28 a 03'!T24</f>
        <v>1068</v>
      </c>
      <c r="U4" s="42">
        <f>'STOCK 28 a 03'!U24</f>
        <v>3942</v>
      </c>
      <c r="V4" s="42">
        <f>'STOCK 28 a 03'!V24</f>
        <v>2292</v>
      </c>
      <c r="W4" s="42"/>
      <c r="X4" s="42">
        <f>'STOCK 28 a 03'!W24</f>
        <v>280</v>
      </c>
      <c r="Y4" s="42">
        <f>'STOCK 28 a 03'!X24</f>
        <v>43</v>
      </c>
    </row>
    <row r="5" spans="1:25" x14ac:dyDescent="0.25">
      <c r="A5" s="311"/>
      <c r="B5" s="20">
        <v>45327</v>
      </c>
      <c r="C5" s="14" t="s">
        <v>46</v>
      </c>
      <c r="D5" s="27"/>
      <c r="G5" s="31"/>
      <c r="H5" s="13"/>
      <c r="I5" s="35"/>
      <c r="K5" s="35"/>
      <c r="M5" s="35"/>
      <c r="N5" s="14">
        <v>1000</v>
      </c>
      <c r="O5" s="27"/>
      <c r="Q5" s="31"/>
      <c r="R5" s="13"/>
      <c r="T5" s="31"/>
      <c r="U5" s="13"/>
      <c r="V5" s="31"/>
      <c r="X5" s="31"/>
      <c r="Y5" s="15"/>
    </row>
    <row r="6" spans="1:25" x14ac:dyDescent="0.25">
      <c r="A6" s="311"/>
      <c r="B6" s="20">
        <v>45329</v>
      </c>
      <c r="C6" s="14" t="s">
        <v>46</v>
      </c>
      <c r="D6" s="27">
        <v>60</v>
      </c>
      <c r="G6" s="31"/>
      <c r="H6" s="13"/>
      <c r="I6" s="35"/>
      <c r="K6" s="35"/>
      <c r="M6" s="35"/>
      <c r="N6" s="14"/>
      <c r="O6" s="27"/>
      <c r="Q6" s="31"/>
      <c r="R6" s="13"/>
      <c r="T6" s="31"/>
      <c r="U6" s="13"/>
      <c r="V6" s="31"/>
      <c r="X6" s="31"/>
      <c r="Y6" s="15"/>
    </row>
    <row r="7" spans="1:25" x14ac:dyDescent="0.25">
      <c r="A7" s="311"/>
      <c r="B7" s="20">
        <v>45329</v>
      </c>
      <c r="C7" s="14" t="s">
        <v>27</v>
      </c>
      <c r="D7" s="27"/>
      <c r="G7" s="31"/>
      <c r="H7" s="13"/>
      <c r="I7" s="35"/>
      <c r="K7" s="35">
        <v>2000</v>
      </c>
      <c r="M7" s="35"/>
      <c r="N7" s="14"/>
      <c r="O7" s="27"/>
      <c r="Q7" s="31"/>
      <c r="R7" s="13"/>
      <c r="T7" s="31"/>
      <c r="U7" s="13"/>
      <c r="V7" s="31"/>
      <c r="X7" s="31"/>
      <c r="Y7" s="15"/>
    </row>
    <row r="8" spans="1:25" x14ac:dyDescent="0.25">
      <c r="A8" s="311"/>
      <c r="B8" s="20">
        <v>45329</v>
      </c>
      <c r="C8" s="14" t="s">
        <v>24</v>
      </c>
      <c r="D8" s="27"/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>
        <v>3000</v>
      </c>
      <c r="X8" s="31"/>
      <c r="Y8" s="15"/>
    </row>
    <row r="9" spans="1:25" x14ac:dyDescent="0.25">
      <c r="A9" s="311"/>
      <c r="B9" s="20">
        <v>45330</v>
      </c>
      <c r="C9" s="14" t="s">
        <v>46</v>
      </c>
      <c r="D9" s="27"/>
      <c r="G9" s="31">
        <v>5060</v>
      </c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X9" s="31"/>
      <c r="Y9" s="15"/>
    </row>
    <row r="10" spans="1:25" x14ac:dyDescent="0.25">
      <c r="A10" s="311"/>
      <c r="B10" s="20">
        <v>45330</v>
      </c>
      <c r="C10" s="14" t="s">
        <v>27</v>
      </c>
      <c r="D10" s="27"/>
      <c r="G10" s="31"/>
      <c r="H10" s="13"/>
      <c r="I10" s="35"/>
      <c r="K10" s="35"/>
      <c r="M10" s="35"/>
      <c r="N10" s="14"/>
      <c r="O10" s="27"/>
      <c r="Q10" s="31"/>
      <c r="R10" s="13"/>
      <c r="T10" s="31"/>
      <c r="U10" s="13">
        <v>2000</v>
      </c>
      <c r="V10" s="31"/>
      <c r="W10">
        <v>500</v>
      </c>
      <c r="X10" s="31"/>
      <c r="Y10" s="15"/>
    </row>
    <row r="11" spans="1:25" x14ac:dyDescent="0.25">
      <c r="A11" s="311"/>
      <c r="B11" s="20">
        <v>45331</v>
      </c>
      <c r="C11" s="14" t="s">
        <v>46</v>
      </c>
      <c r="D11" s="27">
        <v>1060</v>
      </c>
      <c r="G11" s="31"/>
      <c r="H11" s="13"/>
      <c r="I11" s="35"/>
      <c r="K11" s="35"/>
      <c r="M11" s="35"/>
      <c r="N11" s="14"/>
      <c r="O11" s="27"/>
      <c r="Q11" s="31"/>
      <c r="R11" s="13"/>
      <c r="T11" s="31"/>
      <c r="U11" s="13"/>
      <c r="V11" s="31"/>
      <c r="X11" s="31"/>
      <c r="Y11" s="15"/>
    </row>
    <row r="12" spans="1:25" x14ac:dyDescent="0.25">
      <c r="A12" s="311"/>
      <c r="B12" s="20">
        <v>45331</v>
      </c>
      <c r="C12" s="14" t="s">
        <v>27</v>
      </c>
      <c r="D12" s="27"/>
      <c r="G12" s="31"/>
      <c r="H12" s="13"/>
      <c r="I12" s="35"/>
      <c r="K12" s="35"/>
      <c r="M12" s="35"/>
      <c r="N12" s="14"/>
      <c r="O12" s="27"/>
      <c r="Q12" s="31"/>
      <c r="R12" s="13"/>
      <c r="T12" s="31"/>
      <c r="U12" s="13"/>
      <c r="V12" s="31"/>
      <c r="X12" s="31"/>
      <c r="Y12" s="15"/>
    </row>
    <row r="13" spans="1:25" x14ac:dyDescent="0.25">
      <c r="A13" s="311"/>
      <c r="B13" s="20">
        <v>45331</v>
      </c>
      <c r="C13" s="14" t="s">
        <v>24</v>
      </c>
      <c r="D13" s="27"/>
      <c r="G13" s="31"/>
      <c r="H13" s="13"/>
      <c r="I13" s="35"/>
      <c r="K13" s="35"/>
      <c r="M13" s="35"/>
      <c r="N13" s="14"/>
      <c r="O13" s="27"/>
      <c r="Q13" s="31"/>
      <c r="R13" s="13"/>
      <c r="T13" s="31"/>
      <c r="U13" s="13"/>
      <c r="V13" s="31">
        <v>3000</v>
      </c>
      <c r="X13" s="31"/>
      <c r="Y13" s="15"/>
    </row>
    <row r="14" spans="1:25" x14ac:dyDescent="0.25">
      <c r="A14" s="311"/>
      <c r="B14" s="20"/>
      <c r="C14" s="14"/>
      <c r="D14" s="27"/>
      <c r="G14" s="31"/>
      <c r="H14" s="13"/>
      <c r="I14" s="35"/>
      <c r="K14" s="35"/>
      <c r="M14" s="35"/>
      <c r="N14" s="14"/>
      <c r="O14" s="27"/>
      <c r="Q14" s="31"/>
      <c r="R14" s="13"/>
      <c r="T14" s="31"/>
      <c r="U14" s="13"/>
      <c r="V14" s="31"/>
      <c r="X14" s="31"/>
      <c r="Y14" s="15"/>
    </row>
    <row r="15" spans="1:25" ht="15.75" thickBot="1" x14ac:dyDescent="0.3">
      <c r="A15" s="312"/>
      <c r="B15" s="16"/>
      <c r="C15" s="17"/>
      <c r="D15" s="28"/>
      <c r="E15" s="18"/>
      <c r="F15" s="18"/>
      <c r="G15" s="32"/>
      <c r="H15" s="16"/>
      <c r="I15" s="36"/>
      <c r="J15" s="18"/>
      <c r="K15" s="36"/>
      <c r="L15" s="18"/>
      <c r="M15" s="36"/>
      <c r="N15" s="17"/>
      <c r="O15" s="28"/>
      <c r="P15" s="18"/>
      <c r="Q15" s="32"/>
      <c r="R15" s="16"/>
      <c r="S15" s="18"/>
      <c r="T15" s="32"/>
      <c r="U15" s="16"/>
      <c r="V15" s="32"/>
      <c r="W15" s="18"/>
      <c r="X15" s="32"/>
      <c r="Y15" s="19"/>
    </row>
    <row r="16" spans="1:25" x14ac:dyDescent="0.25">
      <c r="A16" s="310" t="s">
        <v>21</v>
      </c>
      <c r="B16" s="20">
        <v>45326</v>
      </c>
      <c r="C16" s="14" t="s">
        <v>22</v>
      </c>
      <c r="D16" s="27"/>
      <c r="G16" s="31"/>
      <c r="H16" s="13"/>
      <c r="I16" s="35"/>
      <c r="K16" s="35"/>
      <c r="M16" s="35"/>
      <c r="N16" s="14"/>
      <c r="O16" s="27"/>
      <c r="Q16" s="31"/>
      <c r="R16" s="13"/>
      <c r="T16" s="31"/>
      <c r="U16" s="13">
        <v>50</v>
      </c>
      <c r="V16" s="31"/>
      <c r="X16" s="31"/>
      <c r="Y16" s="15"/>
    </row>
    <row r="17" spans="1:25" x14ac:dyDescent="0.25">
      <c r="A17" s="311"/>
      <c r="B17" s="20">
        <v>45327</v>
      </c>
      <c r="C17" s="14" t="s">
        <v>22</v>
      </c>
      <c r="D17" s="27"/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>
        <f>500+500</f>
        <v>1000</v>
      </c>
      <c r="V17" s="31"/>
      <c r="X17" s="31"/>
      <c r="Y17" s="15"/>
    </row>
    <row r="18" spans="1:25" x14ac:dyDescent="0.25">
      <c r="A18" s="311"/>
      <c r="B18" s="20">
        <v>45328</v>
      </c>
      <c r="C18" s="14" t="s">
        <v>22</v>
      </c>
      <c r="D18" s="27">
        <v>1000</v>
      </c>
      <c r="E18">
        <v>400</v>
      </c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>
        <v>1000</v>
      </c>
      <c r="V18" s="31">
        <f>200</f>
        <v>200</v>
      </c>
      <c r="X18" s="31"/>
      <c r="Y18" s="15"/>
    </row>
    <row r="19" spans="1:25" x14ac:dyDescent="0.25">
      <c r="A19" s="311"/>
      <c r="B19" s="20">
        <v>45329</v>
      </c>
      <c r="C19" s="14" t="s">
        <v>22</v>
      </c>
      <c r="D19" s="27"/>
      <c r="G19" s="31"/>
      <c r="H19" s="13">
        <v>100</v>
      </c>
      <c r="I19" s="35"/>
      <c r="K19" s="35">
        <v>1000</v>
      </c>
      <c r="M19" s="35"/>
      <c r="N19" s="14"/>
      <c r="O19" s="27"/>
      <c r="Q19" s="31"/>
      <c r="R19" s="13"/>
      <c r="T19" s="31"/>
      <c r="U19" s="13"/>
      <c r="V19" s="31">
        <v>1500</v>
      </c>
      <c r="X19" s="31"/>
      <c r="Y19" s="15"/>
    </row>
    <row r="20" spans="1:25" x14ac:dyDescent="0.25">
      <c r="A20" s="311"/>
      <c r="B20" s="20">
        <v>45330</v>
      </c>
      <c r="C20" s="14" t="s">
        <v>22</v>
      </c>
      <c r="D20" s="27"/>
      <c r="E20">
        <v>500</v>
      </c>
      <c r="G20" s="31"/>
      <c r="H20" s="13">
        <v>6</v>
      </c>
      <c r="I20" s="35"/>
      <c r="K20" s="35"/>
      <c r="M20" s="35"/>
      <c r="N20" s="14"/>
      <c r="O20" s="27"/>
      <c r="Q20" s="31"/>
      <c r="R20" s="13"/>
      <c r="T20" s="31"/>
      <c r="U20" s="13">
        <v>1000</v>
      </c>
      <c r="V20" s="31">
        <f>300+25</f>
        <v>325</v>
      </c>
      <c r="X20" s="31"/>
      <c r="Y20" s="15"/>
    </row>
    <row r="21" spans="1:25" x14ac:dyDescent="0.25">
      <c r="A21" s="311"/>
      <c r="B21" s="20">
        <v>45330</v>
      </c>
      <c r="C21" s="14" t="s">
        <v>45</v>
      </c>
      <c r="D21" s="27"/>
      <c r="G21" s="31"/>
      <c r="H21" s="13"/>
      <c r="I21" s="35"/>
      <c r="J21">
        <v>2000</v>
      </c>
      <c r="K21" s="35"/>
      <c r="M21" s="35"/>
      <c r="N21" s="14"/>
      <c r="O21" s="27"/>
      <c r="Q21" s="31"/>
      <c r="R21" s="13"/>
      <c r="T21" s="31"/>
      <c r="U21" s="13">
        <v>1000</v>
      </c>
      <c r="V21" s="31"/>
      <c r="X21" s="31"/>
      <c r="Y21" s="15"/>
    </row>
    <row r="22" spans="1:25" x14ac:dyDescent="0.25">
      <c r="A22" s="311"/>
      <c r="B22" s="20">
        <v>45331</v>
      </c>
      <c r="C22" s="14" t="s">
        <v>22</v>
      </c>
      <c r="D22" s="27"/>
      <c r="G22" s="31"/>
      <c r="H22" s="13">
        <v>200</v>
      </c>
      <c r="I22" s="35"/>
      <c r="K22" s="35"/>
      <c r="M22" s="35"/>
      <c r="N22" s="14"/>
      <c r="O22" s="27"/>
      <c r="Q22" s="31"/>
      <c r="R22" s="13">
        <f>10+400</f>
        <v>410</v>
      </c>
      <c r="T22" s="31"/>
      <c r="U22" s="13"/>
      <c r="V22" s="31">
        <f>152+200</f>
        <v>352</v>
      </c>
      <c r="X22" s="31"/>
      <c r="Y22" s="15"/>
    </row>
    <row r="23" spans="1:25" x14ac:dyDescent="0.25">
      <c r="A23" s="311"/>
      <c r="B23" s="20">
        <v>45331</v>
      </c>
      <c r="C23" s="14" t="s">
        <v>45</v>
      </c>
      <c r="D23" s="27"/>
      <c r="G23" s="31"/>
      <c r="H23" s="13"/>
      <c r="I23" s="35"/>
      <c r="K23" s="35"/>
      <c r="M23" s="35"/>
      <c r="N23" s="14"/>
      <c r="O23" s="27"/>
      <c r="Q23" s="31"/>
      <c r="R23" s="13">
        <v>362</v>
      </c>
      <c r="T23" s="31"/>
      <c r="U23" s="13"/>
      <c r="V23" s="31"/>
      <c r="X23" s="31"/>
      <c r="Y23" s="15"/>
    </row>
    <row r="24" spans="1:25" x14ac:dyDescent="0.25">
      <c r="A24" s="311"/>
      <c r="B24" s="20">
        <v>45332</v>
      </c>
      <c r="C24" s="14" t="s">
        <v>22</v>
      </c>
      <c r="D24" s="27">
        <f>500+1000</f>
        <v>1500</v>
      </c>
      <c r="G24" s="31"/>
      <c r="H24" s="13"/>
      <c r="I24" s="35"/>
      <c r="K24" s="35"/>
      <c r="M24" s="35"/>
      <c r="N24" s="14"/>
      <c r="O24" s="27"/>
      <c r="P24">
        <v>400</v>
      </c>
      <c r="Q24" s="31"/>
      <c r="R24" s="13"/>
      <c r="T24" s="31"/>
      <c r="U24" s="13">
        <v>200</v>
      </c>
      <c r="V24" s="31"/>
      <c r="X24" s="31"/>
      <c r="Y24" s="15"/>
    </row>
    <row r="25" spans="1:25" x14ac:dyDescent="0.25">
      <c r="A25" s="311"/>
      <c r="B25" s="20"/>
      <c r="C25" s="14"/>
      <c r="D25" s="27"/>
      <c r="G25" s="31"/>
      <c r="H25" s="13"/>
      <c r="I25" s="35"/>
      <c r="K25" s="35"/>
      <c r="M25" s="35"/>
      <c r="N25" s="14"/>
      <c r="O25" s="27"/>
      <c r="Q25" s="31"/>
      <c r="R25" s="13"/>
      <c r="T25" s="31"/>
      <c r="U25" s="13"/>
      <c r="V25" s="31"/>
      <c r="X25" s="31"/>
      <c r="Y25" s="15"/>
    </row>
    <row r="26" spans="1:25" ht="15.75" thickBot="1" x14ac:dyDescent="0.3">
      <c r="A26" s="312"/>
      <c r="B26" s="13"/>
      <c r="C26" s="14"/>
      <c r="D26" s="27"/>
      <c r="G26" s="31"/>
      <c r="H26" s="13"/>
      <c r="I26" s="35"/>
      <c r="K26" s="35"/>
      <c r="M26" s="35"/>
      <c r="N26" s="14"/>
      <c r="O26" s="27"/>
      <c r="Q26" s="31"/>
      <c r="R26" s="13"/>
      <c r="T26" s="31"/>
      <c r="U26" s="13"/>
      <c r="V26" s="31"/>
      <c r="X26" s="31"/>
      <c r="Y26" s="15"/>
    </row>
    <row r="27" spans="1:25" ht="21.75" thickBot="1" x14ac:dyDescent="0.3">
      <c r="A27" s="21" t="s">
        <v>23</v>
      </c>
      <c r="B27" s="22"/>
      <c r="C27" s="23"/>
      <c r="D27" s="29">
        <f t="shared" ref="D27:Y27" si="0">SUM(D4:D15)-SUM(D16:D26)</f>
        <v>9491</v>
      </c>
      <c r="E27" s="22">
        <f t="shared" si="0"/>
        <v>1670</v>
      </c>
      <c r="F27" s="24">
        <f t="shared" si="0"/>
        <v>506</v>
      </c>
      <c r="G27" s="33">
        <f t="shared" si="0"/>
        <v>5060</v>
      </c>
      <c r="H27" s="22">
        <f t="shared" si="0"/>
        <v>3796</v>
      </c>
      <c r="I27" s="37">
        <f t="shared" si="0"/>
        <v>103</v>
      </c>
      <c r="J27" s="24">
        <f t="shared" si="0"/>
        <v>285</v>
      </c>
      <c r="K27" s="37">
        <f t="shared" si="0"/>
        <v>4800</v>
      </c>
      <c r="L27" s="24">
        <f t="shared" si="0"/>
        <v>0</v>
      </c>
      <c r="M27" s="37">
        <f t="shared" si="0"/>
        <v>0</v>
      </c>
      <c r="N27" s="23">
        <f t="shared" si="0"/>
        <v>1000</v>
      </c>
      <c r="O27" s="29">
        <f t="shared" si="0"/>
        <v>300</v>
      </c>
      <c r="P27" s="24">
        <f t="shared" si="0"/>
        <v>1566</v>
      </c>
      <c r="Q27" s="33">
        <f t="shared" si="0"/>
        <v>602</v>
      </c>
      <c r="R27" s="22">
        <f t="shared" si="0"/>
        <v>552</v>
      </c>
      <c r="S27" s="22">
        <f t="shared" si="0"/>
        <v>500</v>
      </c>
      <c r="T27" s="33">
        <f t="shared" si="0"/>
        <v>1068</v>
      </c>
      <c r="U27" s="22">
        <f t="shared" si="0"/>
        <v>1692</v>
      </c>
      <c r="V27" s="33">
        <f t="shared" si="0"/>
        <v>5915</v>
      </c>
      <c r="W27" s="22">
        <f t="shared" si="0"/>
        <v>500</v>
      </c>
      <c r="X27" s="33">
        <f t="shared" si="0"/>
        <v>280</v>
      </c>
      <c r="Y27" s="25">
        <f t="shared" si="0"/>
        <v>43</v>
      </c>
    </row>
    <row r="29" spans="1:25" x14ac:dyDescent="0.25">
      <c r="D29">
        <f>D27*0.35</f>
        <v>3321.85</v>
      </c>
      <c r="E29">
        <f>+E27*0.4</f>
        <v>668</v>
      </c>
      <c r="F29">
        <f>+F27*0.38</f>
        <v>192.28</v>
      </c>
      <c r="G29">
        <f>+G27*0.45</f>
        <v>2277</v>
      </c>
      <c r="H29">
        <f>+H27*0.59-146*0.02</f>
        <v>2236.7199999999998</v>
      </c>
      <c r="I29">
        <f>+I27*0.6</f>
        <v>61.8</v>
      </c>
      <c r="J29" s="50">
        <f>+J27*0.87</f>
        <v>247.95</v>
      </c>
      <c r="K29">
        <f>+K27*0.7</f>
        <v>3360</v>
      </c>
      <c r="L29">
        <f>+L27*0.66</f>
        <v>0</v>
      </c>
      <c r="M29">
        <f>+M27*0.7</f>
        <v>0</v>
      </c>
      <c r="N29">
        <f>+N27*0.55</f>
        <v>550</v>
      </c>
      <c r="O29">
        <f>+O27*2.22</f>
        <v>666.00000000000011</v>
      </c>
      <c r="P29">
        <f>+P27*1.8</f>
        <v>2818.8</v>
      </c>
      <c r="Q29">
        <f>+Q27*2.26</f>
        <v>1360.52</v>
      </c>
      <c r="R29">
        <f>+R27*1.95</f>
        <v>1076.3999999999999</v>
      </c>
      <c r="S29">
        <f>+S27*2.47</f>
        <v>1235</v>
      </c>
      <c r="T29">
        <f>+T27*2.36</f>
        <v>2520.48</v>
      </c>
      <c r="U29">
        <f>+U27*0.42</f>
        <v>710.64</v>
      </c>
      <c r="V29">
        <f>+V27*0.32</f>
        <v>1892.8</v>
      </c>
      <c r="W29">
        <f>+W27*2.3</f>
        <v>1150</v>
      </c>
      <c r="X29">
        <f>+X27*0.8</f>
        <v>224</v>
      </c>
      <c r="Y29">
        <f>+Y27*2</f>
        <v>86</v>
      </c>
    </row>
    <row r="31" spans="1:25" ht="21" x14ac:dyDescent="0.25">
      <c r="C31" s="55" t="s">
        <v>49</v>
      </c>
      <c r="D31" s="55">
        <v>8229</v>
      </c>
      <c r="E31" s="55">
        <v>1668</v>
      </c>
      <c r="F31" s="55">
        <v>500</v>
      </c>
      <c r="G31" s="55">
        <v>5060</v>
      </c>
      <c r="H31" s="55">
        <v>3883</v>
      </c>
      <c r="I31" s="55"/>
      <c r="J31" s="55">
        <v>282</v>
      </c>
      <c r="K31" s="55">
        <v>4790</v>
      </c>
      <c r="L31" s="55"/>
      <c r="M31" s="55"/>
      <c r="N31" s="55">
        <v>1010</v>
      </c>
      <c r="O31" s="55">
        <v>300</v>
      </c>
      <c r="P31" s="55">
        <v>1570</v>
      </c>
      <c r="Q31" s="55">
        <v>600</v>
      </c>
      <c r="R31" s="55">
        <v>555</v>
      </c>
      <c r="S31" s="55">
        <v>500</v>
      </c>
      <c r="T31" s="55">
        <v>1068</v>
      </c>
      <c r="U31" s="55">
        <v>2896</v>
      </c>
      <c r="V31" s="55">
        <v>5998</v>
      </c>
      <c r="W31" s="55">
        <v>502</v>
      </c>
      <c r="X31" s="55">
        <v>320</v>
      </c>
      <c r="Y31" s="51">
        <f>SUM(D29:Y29)</f>
        <v>26656.240000000002</v>
      </c>
    </row>
    <row r="33" spans="3:24" x14ac:dyDescent="0.25">
      <c r="C33" s="56" t="s">
        <v>36</v>
      </c>
      <c r="D33" s="56">
        <f>+D31-D27</f>
        <v>-1262</v>
      </c>
      <c r="E33" s="56">
        <f t="shared" ref="E33:W33" si="1">+E31-E27</f>
        <v>-2</v>
      </c>
      <c r="F33" s="56">
        <f t="shared" si="1"/>
        <v>-6</v>
      </c>
      <c r="G33" s="56">
        <f t="shared" si="1"/>
        <v>0</v>
      </c>
      <c r="H33" s="56">
        <f t="shared" si="1"/>
        <v>87</v>
      </c>
      <c r="I33" s="56">
        <f t="shared" si="1"/>
        <v>-103</v>
      </c>
      <c r="J33" s="56">
        <f t="shared" si="1"/>
        <v>-3</v>
      </c>
      <c r="K33" s="56">
        <f t="shared" si="1"/>
        <v>-10</v>
      </c>
      <c r="L33" s="56">
        <f t="shared" si="1"/>
        <v>0</v>
      </c>
      <c r="M33" s="56">
        <f t="shared" si="1"/>
        <v>0</v>
      </c>
      <c r="N33" s="56">
        <f t="shared" si="1"/>
        <v>10</v>
      </c>
      <c r="O33" s="56">
        <f t="shared" si="1"/>
        <v>0</v>
      </c>
      <c r="P33" s="56">
        <f t="shared" si="1"/>
        <v>4</v>
      </c>
      <c r="Q33" s="56">
        <f t="shared" si="1"/>
        <v>-2</v>
      </c>
      <c r="R33" s="56">
        <f t="shared" si="1"/>
        <v>3</v>
      </c>
      <c r="S33" s="56">
        <f t="shared" si="1"/>
        <v>0</v>
      </c>
      <c r="T33" s="56">
        <f t="shared" si="1"/>
        <v>0</v>
      </c>
      <c r="U33" s="56">
        <f t="shared" si="1"/>
        <v>1204</v>
      </c>
      <c r="V33" s="56">
        <f t="shared" si="1"/>
        <v>83</v>
      </c>
      <c r="W33" s="56">
        <f t="shared" si="1"/>
        <v>2</v>
      </c>
      <c r="X33" s="56">
        <f>+X31-X27</f>
        <v>40</v>
      </c>
    </row>
    <row r="35" spans="3:24" x14ac:dyDescent="0.25">
      <c r="C35" s="57" t="s">
        <v>48</v>
      </c>
      <c r="D35" s="57">
        <f>D33*0.35</f>
        <v>-441.7</v>
      </c>
      <c r="E35" s="57">
        <f>E33*0.4</f>
        <v>-0.8</v>
      </c>
      <c r="F35" s="57">
        <f>F33*0.38</f>
        <v>-2.2800000000000002</v>
      </c>
      <c r="G35" s="57">
        <f>G33*0.45</f>
        <v>0</v>
      </c>
      <c r="H35" s="57">
        <f>H33*0.59</f>
        <v>51.33</v>
      </c>
      <c r="I35" s="57">
        <f>I33*0.6</f>
        <v>-61.8</v>
      </c>
      <c r="J35" s="57">
        <f>J33*0.87</f>
        <v>-2.61</v>
      </c>
      <c r="K35" s="57">
        <f>K33*0.7</f>
        <v>-7</v>
      </c>
      <c r="L35" s="57">
        <f t="shared" ref="L35:T35" si="2">L33*0.4</f>
        <v>0</v>
      </c>
      <c r="M35" s="57">
        <f t="shared" si="2"/>
        <v>0</v>
      </c>
      <c r="N35" s="57">
        <f>N33*0.55</f>
        <v>5.5</v>
      </c>
      <c r="O35" s="57">
        <f t="shared" si="2"/>
        <v>0</v>
      </c>
      <c r="P35" s="57">
        <f>P33*1.8</f>
        <v>7.2</v>
      </c>
      <c r="Q35" s="57">
        <f>Q33*2.26</f>
        <v>-4.5199999999999996</v>
      </c>
      <c r="R35" s="57">
        <f>R33*1.95</f>
        <v>5.85</v>
      </c>
      <c r="S35" s="57">
        <f t="shared" si="2"/>
        <v>0</v>
      </c>
      <c r="T35" s="57">
        <f t="shared" si="2"/>
        <v>0</v>
      </c>
      <c r="U35" s="57">
        <f>U33*0.42</f>
        <v>505.68</v>
      </c>
      <c r="V35" s="57">
        <f>V33*0.32</f>
        <v>26.560000000000002</v>
      </c>
      <c r="W35" s="57">
        <f>W33*2.3</f>
        <v>4.5999999999999996</v>
      </c>
      <c r="X35" s="57">
        <f>X33*0.8</f>
        <v>32</v>
      </c>
    </row>
  </sheetData>
  <mergeCells count="7">
    <mergeCell ref="U2:V2"/>
    <mergeCell ref="A4:A15"/>
    <mergeCell ref="A16:A26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6C5D-31C9-4655-B24D-8D90CF582408}">
  <dimension ref="A1:Y34"/>
  <sheetViews>
    <sheetView view="pageBreakPreview" zoomScale="6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2" sqref="R12"/>
    </sheetView>
  </sheetViews>
  <sheetFormatPr baseColWidth="10" defaultRowHeight="15" x14ac:dyDescent="0.25"/>
  <cols>
    <col min="1" max="1" width="8.5703125" customWidth="1"/>
    <col min="2" max="2" width="12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04 a 10'!D27</f>
        <v>9491</v>
      </c>
      <c r="E4" s="42">
        <f>'STOCK 04 a 10'!E27</f>
        <v>1670</v>
      </c>
      <c r="F4" s="42">
        <f>'STOCK 04 a 10'!F27</f>
        <v>506</v>
      </c>
      <c r="G4" s="42">
        <f>'STOCK 04 a 10'!G27</f>
        <v>5060</v>
      </c>
      <c r="H4" s="42">
        <f>'STOCK 04 a 10'!H27</f>
        <v>3796</v>
      </c>
      <c r="I4" s="42">
        <f>'STOCK 04 a 10'!I27</f>
        <v>103</v>
      </c>
      <c r="J4" s="42">
        <f>'STOCK 04 a 10'!J27</f>
        <v>285</v>
      </c>
      <c r="K4" s="42">
        <f>'STOCK 04 a 10'!K27</f>
        <v>4800</v>
      </c>
      <c r="L4" s="42">
        <f>'STOCK 04 a 10'!L27</f>
        <v>0</v>
      </c>
      <c r="M4" s="42">
        <f>'STOCK 04 a 10'!M27</f>
        <v>0</v>
      </c>
      <c r="N4" s="42">
        <f>'STOCK 04 a 10'!N27</f>
        <v>1000</v>
      </c>
      <c r="O4" s="42">
        <f>'STOCK 04 a 10'!O27</f>
        <v>300</v>
      </c>
      <c r="P4" s="42">
        <f>'STOCK 04 a 10'!P27</f>
        <v>1566</v>
      </c>
      <c r="Q4" s="42">
        <f>'STOCK 04 a 10'!Q27</f>
        <v>602</v>
      </c>
      <c r="R4" s="42">
        <f>'STOCK 04 a 10'!R27</f>
        <v>552</v>
      </c>
      <c r="S4" s="42">
        <f>'STOCK 04 a 10'!S27</f>
        <v>500</v>
      </c>
      <c r="T4" s="42">
        <f>'STOCK 04 a 10'!T27</f>
        <v>1068</v>
      </c>
      <c r="U4" s="42">
        <f>'STOCK 04 a 10'!U27</f>
        <v>1692</v>
      </c>
      <c r="V4" s="42">
        <f>'STOCK 04 a 10'!V27</f>
        <v>5915</v>
      </c>
      <c r="W4" s="42">
        <f>'STOCK 04 a 10'!W27</f>
        <v>500</v>
      </c>
      <c r="X4" s="42">
        <f>'STOCK 04 a 10'!X27</f>
        <v>280</v>
      </c>
      <c r="Y4" s="42">
        <f>'STOCK 04 a 10'!Y27</f>
        <v>43</v>
      </c>
    </row>
    <row r="5" spans="1:25" x14ac:dyDescent="0.25">
      <c r="A5" s="311"/>
      <c r="B5" s="20">
        <v>45334</v>
      </c>
      <c r="C5" s="14" t="s">
        <v>46</v>
      </c>
      <c r="D5" s="27"/>
      <c r="G5" s="31"/>
      <c r="H5" s="13"/>
      <c r="I5" s="35"/>
      <c r="J5">
        <v>1500</v>
      </c>
      <c r="K5" s="35"/>
      <c r="M5" s="35"/>
      <c r="N5" s="14"/>
      <c r="O5" s="27"/>
      <c r="Q5" s="31"/>
      <c r="R5" s="13"/>
      <c r="T5" s="31"/>
      <c r="U5" s="13"/>
      <c r="V5" s="31"/>
      <c r="X5" s="31"/>
      <c r="Y5" s="15"/>
    </row>
    <row r="6" spans="1:25" x14ac:dyDescent="0.25">
      <c r="A6" s="311"/>
      <c r="B6" s="20">
        <v>45335</v>
      </c>
      <c r="C6" s="14" t="s">
        <v>24</v>
      </c>
      <c r="D6" s="27">
        <v>4000</v>
      </c>
      <c r="G6" s="31"/>
      <c r="H6" s="13"/>
      <c r="I6" s="35"/>
      <c r="K6" s="35"/>
      <c r="M6" s="35"/>
      <c r="N6" s="14"/>
      <c r="O6" s="27"/>
      <c r="Q6" s="31"/>
      <c r="R6" s="13"/>
      <c r="T6" s="31"/>
      <c r="U6" s="13"/>
      <c r="V6" s="31"/>
      <c r="X6" s="31"/>
      <c r="Y6" s="15"/>
    </row>
    <row r="7" spans="1:25" x14ac:dyDescent="0.25">
      <c r="A7" s="311"/>
      <c r="B7" s="20">
        <v>45336</v>
      </c>
      <c r="C7" s="14" t="s">
        <v>27</v>
      </c>
      <c r="D7" s="27"/>
      <c r="G7" s="31"/>
      <c r="H7" s="13"/>
      <c r="I7" s="35"/>
      <c r="K7" s="35"/>
      <c r="M7" s="35"/>
      <c r="N7" s="14"/>
      <c r="O7" s="27"/>
      <c r="Q7" s="31"/>
      <c r="R7" s="13">
        <v>1000</v>
      </c>
      <c r="T7" s="31"/>
      <c r="U7" s="13"/>
      <c r="V7" s="31"/>
      <c r="X7" s="31"/>
      <c r="Y7" s="15"/>
    </row>
    <row r="8" spans="1:25" x14ac:dyDescent="0.25">
      <c r="A8" s="311"/>
      <c r="B8" s="20">
        <v>45337</v>
      </c>
      <c r="C8" s="14" t="s">
        <v>27</v>
      </c>
      <c r="D8" s="27">
        <v>4500</v>
      </c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X8" s="31"/>
      <c r="Y8" s="15"/>
    </row>
    <row r="9" spans="1:25" x14ac:dyDescent="0.25">
      <c r="A9" s="311"/>
      <c r="B9" s="20">
        <v>45338</v>
      </c>
      <c r="C9" s="14" t="s">
        <v>27</v>
      </c>
      <c r="D9" s="27">
        <v>4500</v>
      </c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X9" s="31"/>
      <c r="Y9" s="15"/>
    </row>
    <row r="10" spans="1:25" x14ac:dyDescent="0.25">
      <c r="A10" s="311"/>
      <c r="B10" s="20">
        <v>45338</v>
      </c>
      <c r="C10" s="14" t="s">
        <v>24</v>
      </c>
      <c r="D10" s="27"/>
      <c r="G10" s="31"/>
      <c r="H10" s="13"/>
      <c r="I10" s="35"/>
      <c r="K10" s="35"/>
      <c r="M10" s="35"/>
      <c r="N10" s="14"/>
      <c r="O10" s="27"/>
      <c r="Q10" s="31"/>
      <c r="R10" s="13"/>
      <c r="T10" s="31"/>
      <c r="U10" s="13">
        <v>2000</v>
      </c>
      <c r="V10" s="31"/>
      <c r="X10" s="31"/>
      <c r="Y10" s="15"/>
    </row>
    <row r="11" spans="1:25" ht="15.75" thickBot="1" x14ac:dyDescent="0.3">
      <c r="A11" s="312"/>
      <c r="B11" s="16"/>
      <c r="C11" s="17"/>
      <c r="D11" s="28"/>
      <c r="E11" s="18"/>
      <c r="F11" s="18"/>
      <c r="G11" s="32"/>
      <c r="H11" s="16"/>
      <c r="I11" s="36"/>
      <c r="J11" s="18"/>
      <c r="K11" s="36"/>
      <c r="L11" s="18"/>
      <c r="M11" s="36"/>
      <c r="N11" s="17"/>
      <c r="O11" s="28"/>
      <c r="P11" s="18"/>
      <c r="Q11" s="32"/>
      <c r="R11" s="16"/>
      <c r="S11" s="18"/>
      <c r="T11" s="32"/>
      <c r="U11" s="16"/>
      <c r="V11" s="32"/>
      <c r="W11" s="18"/>
      <c r="X11" s="32"/>
      <c r="Y11" s="19"/>
    </row>
    <row r="12" spans="1:25" x14ac:dyDescent="0.25">
      <c r="A12" s="310" t="s">
        <v>21</v>
      </c>
      <c r="B12" s="20">
        <v>45334</v>
      </c>
      <c r="C12" s="14" t="s">
        <v>22</v>
      </c>
      <c r="D12" s="27"/>
      <c r="G12" s="31"/>
      <c r="H12" s="13"/>
      <c r="I12" s="35"/>
      <c r="K12" s="35"/>
      <c r="M12" s="35"/>
      <c r="N12" s="14"/>
      <c r="O12" s="27"/>
      <c r="Q12" s="31">
        <v>530</v>
      </c>
      <c r="R12" s="13">
        <v>200</v>
      </c>
      <c r="T12" s="31"/>
      <c r="U12" s="13">
        <f>300+500</f>
        <v>800</v>
      </c>
      <c r="V12" s="31"/>
      <c r="X12" s="31"/>
      <c r="Y12" s="15"/>
    </row>
    <row r="13" spans="1:25" x14ac:dyDescent="0.25">
      <c r="A13" s="311"/>
      <c r="B13" s="20">
        <v>45329</v>
      </c>
      <c r="C13" s="14" t="s">
        <v>45</v>
      </c>
      <c r="D13" s="27">
        <v>3000</v>
      </c>
      <c r="G13" s="31"/>
      <c r="H13" s="13"/>
      <c r="I13" s="35"/>
      <c r="K13" s="35"/>
      <c r="M13" s="35"/>
      <c r="N13" s="14"/>
      <c r="O13" s="27"/>
      <c r="Q13" s="31"/>
      <c r="R13" s="13"/>
      <c r="T13" s="31"/>
      <c r="U13" s="13"/>
      <c r="V13" s="31"/>
      <c r="X13" s="31"/>
      <c r="Y13" s="15"/>
    </row>
    <row r="14" spans="1:25" x14ac:dyDescent="0.25">
      <c r="A14" s="311"/>
      <c r="B14" s="20">
        <v>45334</v>
      </c>
      <c r="C14" s="14" t="s">
        <v>45</v>
      </c>
      <c r="D14" s="27"/>
      <c r="G14" s="31"/>
      <c r="H14" s="13"/>
      <c r="I14" s="35"/>
      <c r="K14" s="35"/>
      <c r="M14" s="35"/>
      <c r="N14" s="14"/>
      <c r="O14" s="27">
        <v>180</v>
      </c>
      <c r="Q14" s="31"/>
      <c r="R14" s="13"/>
      <c r="T14" s="31"/>
      <c r="U14" s="13"/>
      <c r="V14" s="31"/>
      <c r="X14" s="31"/>
      <c r="Y14" s="15"/>
    </row>
    <row r="15" spans="1:25" x14ac:dyDescent="0.25">
      <c r="A15" s="311"/>
      <c r="B15" s="20">
        <v>45335</v>
      </c>
      <c r="C15" s="14" t="s">
        <v>45</v>
      </c>
      <c r="D15" s="27"/>
      <c r="G15" s="31"/>
      <c r="H15" s="13"/>
      <c r="I15" s="35"/>
      <c r="K15" s="35">
        <v>1000</v>
      </c>
      <c r="M15" s="35"/>
      <c r="N15" s="14"/>
      <c r="O15" s="27"/>
      <c r="Q15" s="31"/>
      <c r="R15" s="13"/>
      <c r="T15" s="31"/>
      <c r="U15" s="13"/>
      <c r="V15" s="31"/>
      <c r="X15" s="31"/>
      <c r="Y15" s="15"/>
    </row>
    <row r="16" spans="1:25" x14ac:dyDescent="0.25">
      <c r="A16" s="311"/>
      <c r="B16" s="20">
        <v>45335</v>
      </c>
      <c r="C16" s="14" t="s">
        <v>22</v>
      </c>
      <c r="D16" s="27"/>
      <c r="G16" s="31"/>
      <c r="H16" s="13">
        <v>500</v>
      </c>
      <c r="I16" s="35"/>
      <c r="K16" s="35"/>
      <c r="M16" s="35"/>
      <c r="N16" s="14"/>
      <c r="O16" s="27"/>
      <c r="Q16" s="31"/>
      <c r="R16" s="13"/>
      <c r="T16" s="31"/>
      <c r="U16" s="13">
        <v>1000</v>
      </c>
      <c r="V16" s="31"/>
      <c r="X16" s="31"/>
      <c r="Y16" s="15"/>
    </row>
    <row r="17" spans="1:25" x14ac:dyDescent="0.25">
      <c r="A17" s="311"/>
      <c r="B17" s="20">
        <v>45336</v>
      </c>
      <c r="C17" s="14" t="s">
        <v>45</v>
      </c>
      <c r="D17" s="27">
        <v>1000</v>
      </c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X17" s="31"/>
      <c r="Y17" s="15"/>
    </row>
    <row r="18" spans="1:25" x14ac:dyDescent="0.25">
      <c r="A18" s="311"/>
      <c r="B18" s="20">
        <v>45336</v>
      </c>
      <c r="C18" s="14" t="s">
        <v>22</v>
      </c>
      <c r="D18" s="27"/>
      <c r="G18" s="31"/>
      <c r="H18" s="13"/>
      <c r="I18" s="35"/>
      <c r="K18" s="35">
        <f>100+200</f>
        <v>300</v>
      </c>
      <c r="M18" s="35"/>
      <c r="N18" s="14"/>
      <c r="O18" s="27"/>
      <c r="Q18" s="31"/>
      <c r="R18" s="13"/>
      <c r="T18" s="31"/>
      <c r="U18" s="13">
        <v>30</v>
      </c>
      <c r="V18" s="31"/>
      <c r="X18" s="31"/>
      <c r="Y18" s="15"/>
    </row>
    <row r="19" spans="1:25" x14ac:dyDescent="0.25">
      <c r="A19" s="311"/>
      <c r="B19" s="20">
        <v>45337</v>
      </c>
      <c r="C19" s="14" t="s">
        <v>22</v>
      </c>
      <c r="D19" s="27">
        <v>500</v>
      </c>
      <c r="G19" s="31"/>
      <c r="H19" s="13"/>
      <c r="I19" s="35"/>
      <c r="K19" s="35">
        <v>2500</v>
      </c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>
        <v>45338</v>
      </c>
      <c r="C20" s="14" t="s">
        <v>22</v>
      </c>
      <c r="D20" s="27"/>
      <c r="G20" s="31"/>
      <c r="H20" s="13"/>
      <c r="I20" s="35"/>
      <c r="K20" s="35">
        <f>70+8</f>
        <v>78</v>
      </c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>
        <v>45339</v>
      </c>
      <c r="C21" s="14" t="s">
        <v>22</v>
      </c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>
        <v>500</v>
      </c>
      <c r="V21" s="31">
        <f>150+150</f>
        <v>300</v>
      </c>
      <c r="X21" s="31"/>
      <c r="Y21" s="15"/>
    </row>
    <row r="22" spans="1:25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x14ac:dyDescent="0.25">
      <c r="A23" s="311"/>
      <c r="B23" s="20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T23" s="31"/>
      <c r="U23" s="13"/>
      <c r="V23" s="31"/>
      <c r="X23" s="31"/>
      <c r="Y23" s="15"/>
    </row>
    <row r="24" spans="1:25" x14ac:dyDescent="0.25">
      <c r="A24" s="311"/>
      <c r="B24" s="20"/>
      <c r="C24" s="14"/>
      <c r="D24" s="27"/>
      <c r="G24" s="31"/>
      <c r="H24" s="13"/>
      <c r="I24" s="35"/>
      <c r="K24" s="35"/>
      <c r="M24" s="35"/>
      <c r="N24" s="14"/>
      <c r="O24" s="27"/>
      <c r="Q24" s="31"/>
      <c r="R24" s="13"/>
      <c r="T24" s="31"/>
      <c r="U24" s="13"/>
      <c r="V24" s="31"/>
      <c r="X24" s="31"/>
      <c r="Y24" s="15"/>
    </row>
    <row r="25" spans="1:25" x14ac:dyDescent="0.25">
      <c r="A25" s="311"/>
      <c r="B25" s="20"/>
      <c r="C25" s="14"/>
      <c r="D25" s="27"/>
      <c r="G25" s="31"/>
      <c r="H25" s="13"/>
      <c r="I25" s="35"/>
      <c r="K25" s="35"/>
      <c r="M25" s="35"/>
      <c r="N25" s="14"/>
      <c r="O25" s="27"/>
      <c r="Q25" s="31"/>
      <c r="R25" s="13"/>
      <c r="T25" s="31"/>
      <c r="U25" s="13"/>
      <c r="V25" s="31"/>
      <c r="X25" s="31"/>
      <c r="Y25" s="15"/>
    </row>
    <row r="26" spans="1:25" ht="15.75" thickBot="1" x14ac:dyDescent="0.3">
      <c r="A26" s="312"/>
      <c r="B26" s="13"/>
      <c r="C26" s="14"/>
      <c r="D26" s="27"/>
      <c r="G26" s="31"/>
      <c r="H26" s="13"/>
      <c r="I26" s="35"/>
      <c r="K26" s="35"/>
      <c r="M26" s="35"/>
      <c r="N26" s="14"/>
      <c r="O26" s="27"/>
      <c r="Q26" s="31"/>
      <c r="R26" s="13"/>
      <c r="T26" s="31"/>
      <c r="U26" s="13"/>
      <c r="V26" s="31"/>
      <c r="X26" s="31"/>
      <c r="Y26" s="15"/>
    </row>
    <row r="27" spans="1:25" ht="21.75" thickBot="1" x14ac:dyDescent="0.3">
      <c r="A27" s="21" t="s">
        <v>23</v>
      </c>
      <c r="B27" s="22"/>
      <c r="C27" s="23"/>
      <c r="D27" s="29">
        <f t="shared" ref="D27:Y27" si="0">SUM(D4:D11)-SUM(D12:D26)</f>
        <v>17991</v>
      </c>
      <c r="E27" s="22">
        <f t="shared" si="0"/>
        <v>1670</v>
      </c>
      <c r="F27" s="24">
        <f t="shared" si="0"/>
        <v>506</v>
      </c>
      <c r="G27" s="33">
        <f t="shared" si="0"/>
        <v>5060</v>
      </c>
      <c r="H27" s="22">
        <f t="shared" si="0"/>
        <v>3296</v>
      </c>
      <c r="I27" s="37">
        <f t="shared" si="0"/>
        <v>103</v>
      </c>
      <c r="J27" s="24">
        <f t="shared" si="0"/>
        <v>1785</v>
      </c>
      <c r="K27" s="37">
        <f t="shared" si="0"/>
        <v>922</v>
      </c>
      <c r="L27" s="24">
        <f t="shared" si="0"/>
        <v>0</v>
      </c>
      <c r="M27" s="37">
        <f t="shared" si="0"/>
        <v>0</v>
      </c>
      <c r="N27" s="23">
        <f t="shared" si="0"/>
        <v>1000</v>
      </c>
      <c r="O27" s="29">
        <f t="shared" si="0"/>
        <v>120</v>
      </c>
      <c r="P27" s="24">
        <f t="shared" si="0"/>
        <v>1566</v>
      </c>
      <c r="Q27" s="33">
        <f t="shared" si="0"/>
        <v>72</v>
      </c>
      <c r="R27" s="22">
        <f t="shared" si="0"/>
        <v>1352</v>
      </c>
      <c r="S27" s="22">
        <f t="shared" si="0"/>
        <v>500</v>
      </c>
      <c r="T27" s="33">
        <f t="shared" si="0"/>
        <v>1068</v>
      </c>
      <c r="U27" s="22">
        <f t="shared" si="0"/>
        <v>1362</v>
      </c>
      <c r="V27" s="33">
        <f t="shared" si="0"/>
        <v>5615</v>
      </c>
      <c r="W27" s="22">
        <f t="shared" si="0"/>
        <v>500</v>
      </c>
      <c r="X27" s="33">
        <f t="shared" si="0"/>
        <v>280</v>
      </c>
      <c r="Y27" s="25">
        <f t="shared" si="0"/>
        <v>43</v>
      </c>
    </row>
    <row r="29" spans="1:25" x14ac:dyDescent="0.25">
      <c r="D29">
        <f>D27*0.35</f>
        <v>6296.8499999999995</v>
      </c>
      <c r="E29">
        <f>+E27*0.4</f>
        <v>668</v>
      </c>
      <c r="F29">
        <f>+F27*0.38</f>
        <v>192.28</v>
      </c>
      <c r="G29">
        <f>+G27*0.45</f>
        <v>2277</v>
      </c>
      <c r="H29">
        <f>+H27*0.59</f>
        <v>1944.6399999999999</v>
      </c>
      <c r="I29">
        <f>+I27*0.6</f>
        <v>61.8</v>
      </c>
      <c r="J29" s="50">
        <f>+J27*0.87</f>
        <v>1552.95</v>
      </c>
      <c r="K29">
        <f>+K27*0.7</f>
        <v>645.4</v>
      </c>
      <c r="L29">
        <f>+L27*0.66</f>
        <v>0</v>
      </c>
      <c r="M29">
        <f>+M27*0.7</f>
        <v>0</v>
      </c>
      <c r="N29">
        <f>+N27*0.55</f>
        <v>550</v>
      </c>
      <c r="O29">
        <f>+O27*2.22</f>
        <v>266.40000000000003</v>
      </c>
      <c r="P29">
        <f>+P27*1.8</f>
        <v>2818.8</v>
      </c>
      <c r="Q29">
        <f>+Q27*2.26</f>
        <v>162.71999999999997</v>
      </c>
      <c r="R29">
        <f>+R27*1.85+(352*0.1)</f>
        <v>2536.4</v>
      </c>
      <c r="S29">
        <f>+S27*2.47</f>
        <v>1235</v>
      </c>
      <c r="T29">
        <f>+T27*2.36</f>
        <v>2520.48</v>
      </c>
      <c r="U29">
        <f>+U27*0.42</f>
        <v>572.04</v>
      </c>
      <c r="V29">
        <f>+V27*0.32</f>
        <v>1796.8</v>
      </c>
      <c r="W29">
        <f>+W27*2.3</f>
        <v>1150</v>
      </c>
      <c r="X29">
        <f>+X27*0.8</f>
        <v>224</v>
      </c>
      <c r="Y29">
        <f>+Y27*2</f>
        <v>86</v>
      </c>
    </row>
    <row r="31" spans="1:25" x14ac:dyDescent="0.25">
      <c r="Y31">
        <f>SUM(D29:Y29)</f>
        <v>27557.56</v>
      </c>
    </row>
    <row r="34" spans="4:4" x14ac:dyDescent="0.25">
      <c r="D34">
        <v>231</v>
      </c>
    </row>
  </sheetData>
  <mergeCells count="7">
    <mergeCell ref="U2:V2"/>
    <mergeCell ref="A4:A11"/>
    <mergeCell ref="A12:A26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C005-BAA8-4ACF-BE5B-0A7E07C3314D}">
  <dimension ref="A1:Y31"/>
  <sheetViews>
    <sheetView view="pageBreakPreview" zoomScale="6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8" sqref="R1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11 a 17'!D27</f>
        <v>17991</v>
      </c>
      <c r="E4" s="42">
        <f>'STOCK 11 a 17'!E27</f>
        <v>1670</v>
      </c>
      <c r="F4" s="42">
        <f>'STOCK 11 a 17'!F27</f>
        <v>506</v>
      </c>
      <c r="G4" s="42">
        <f>'STOCK 11 a 17'!G27</f>
        <v>5060</v>
      </c>
      <c r="H4" s="42">
        <f>'STOCK 11 a 17'!H27</f>
        <v>3296</v>
      </c>
      <c r="I4" s="42">
        <f>'STOCK 11 a 17'!I27</f>
        <v>103</v>
      </c>
      <c r="J4" s="42">
        <f>'STOCK 11 a 17'!J27</f>
        <v>1785</v>
      </c>
      <c r="K4" s="42">
        <f>'STOCK 11 a 17'!K27</f>
        <v>922</v>
      </c>
      <c r="L4" s="42">
        <f>'STOCK 11 a 17'!L27</f>
        <v>0</v>
      </c>
      <c r="M4" s="42">
        <f>'STOCK 11 a 17'!M27</f>
        <v>0</v>
      </c>
      <c r="N4" s="42">
        <f>'STOCK 11 a 17'!N27</f>
        <v>1000</v>
      </c>
      <c r="O4" s="42">
        <f>'STOCK 11 a 17'!O27</f>
        <v>120</v>
      </c>
      <c r="P4" s="42">
        <f>'STOCK 11 a 17'!P27</f>
        <v>1566</v>
      </c>
      <c r="Q4" s="42">
        <f>'STOCK 11 a 17'!Q27</f>
        <v>72</v>
      </c>
      <c r="R4" s="42">
        <f>'STOCK 11 a 17'!R27</f>
        <v>1352</v>
      </c>
      <c r="S4" s="42">
        <f>'STOCK 11 a 17'!S27</f>
        <v>500</v>
      </c>
      <c r="T4" s="42">
        <f>'STOCK 11 a 17'!T27</f>
        <v>1068</v>
      </c>
      <c r="U4" s="42">
        <f>'STOCK 11 a 17'!U27</f>
        <v>1362</v>
      </c>
      <c r="V4" s="42">
        <f>'STOCK 11 a 17'!V27</f>
        <v>5615</v>
      </c>
      <c r="W4" s="42">
        <f>'STOCK 11 a 17'!W27</f>
        <v>500</v>
      </c>
      <c r="X4" s="42">
        <f>'STOCK 11 a 17'!X27</f>
        <v>280</v>
      </c>
      <c r="Y4" s="42">
        <f>'STOCK 11 a 17'!Y27</f>
        <v>43</v>
      </c>
    </row>
    <row r="5" spans="1:25" x14ac:dyDescent="0.25">
      <c r="A5" s="311"/>
      <c r="B5" s="20">
        <v>45341</v>
      </c>
      <c r="C5" s="14" t="s">
        <v>55</v>
      </c>
      <c r="D5" s="27"/>
      <c r="G5" s="31"/>
      <c r="H5" s="13"/>
      <c r="I5" s="35"/>
      <c r="K5" s="35"/>
      <c r="M5" s="35"/>
      <c r="N5" s="14"/>
      <c r="O5" s="27"/>
      <c r="Q5" s="31"/>
      <c r="R5" s="13">
        <v>727</v>
      </c>
      <c r="T5" s="31"/>
      <c r="U5" s="13"/>
      <c r="V5" s="31"/>
      <c r="X5" s="31"/>
      <c r="Y5" s="15"/>
    </row>
    <row r="6" spans="1:25" x14ac:dyDescent="0.25">
      <c r="A6" s="311"/>
      <c r="B6" s="20">
        <v>45343</v>
      </c>
      <c r="C6" s="14" t="s">
        <v>27</v>
      </c>
      <c r="D6" s="27"/>
      <c r="G6" s="31"/>
      <c r="H6" s="13"/>
      <c r="I6" s="35"/>
      <c r="K6" s="35">
        <v>3500</v>
      </c>
      <c r="M6" s="35"/>
      <c r="N6" s="14"/>
      <c r="O6" s="27"/>
      <c r="Q6" s="31"/>
      <c r="R6" s="13"/>
      <c r="T6" s="31"/>
      <c r="U6" s="13"/>
      <c r="V6" s="31"/>
      <c r="X6" s="31"/>
      <c r="Y6" s="15"/>
    </row>
    <row r="7" spans="1:25" x14ac:dyDescent="0.25">
      <c r="A7" s="311"/>
      <c r="B7" s="20">
        <v>45344</v>
      </c>
      <c r="C7" s="14" t="s">
        <v>55</v>
      </c>
      <c r="D7" s="27"/>
      <c r="G7" s="31"/>
      <c r="H7" s="13"/>
      <c r="I7" s="35"/>
      <c r="K7" s="35">
        <v>2000</v>
      </c>
      <c r="M7" s="35"/>
      <c r="N7" s="14"/>
      <c r="O7" s="27"/>
      <c r="Q7" s="31"/>
      <c r="R7" s="13"/>
      <c r="T7" s="31"/>
      <c r="U7" s="13"/>
      <c r="V7" s="31"/>
      <c r="X7" s="31"/>
      <c r="Y7" s="15"/>
    </row>
    <row r="8" spans="1:25" x14ac:dyDescent="0.25">
      <c r="A8" s="311"/>
      <c r="B8" s="20">
        <v>45346</v>
      </c>
      <c r="C8" s="14" t="s">
        <v>55</v>
      </c>
      <c r="D8" s="27"/>
      <c r="G8" s="31"/>
      <c r="H8" s="13"/>
      <c r="I8" s="35"/>
      <c r="K8" s="35"/>
      <c r="M8" s="35"/>
      <c r="N8" s="14"/>
      <c r="O8" s="27"/>
      <c r="P8">
        <v>500</v>
      </c>
      <c r="Q8" s="31"/>
      <c r="R8" s="13"/>
      <c r="T8" s="31"/>
      <c r="U8" s="13"/>
      <c r="V8" s="31"/>
      <c r="X8" s="31"/>
      <c r="Y8" s="15"/>
    </row>
    <row r="9" spans="1:25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X9" s="31"/>
      <c r="Y9" s="15"/>
    </row>
    <row r="10" spans="1:25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18"/>
      <c r="X10" s="32"/>
      <c r="Y10" s="19"/>
    </row>
    <row r="11" spans="1:25" x14ac:dyDescent="0.25">
      <c r="A11" s="310" t="s">
        <v>21</v>
      </c>
      <c r="B11" s="20">
        <v>45340</v>
      </c>
      <c r="C11" s="14" t="s">
        <v>22</v>
      </c>
      <c r="D11" s="27"/>
      <c r="G11" s="31"/>
      <c r="H11" s="13"/>
      <c r="I11" s="35"/>
      <c r="K11" s="35"/>
      <c r="M11" s="35"/>
      <c r="N11" s="14"/>
      <c r="O11" s="27"/>
      <c r="Q11" s="31"/>
      <c r="R11" s="13"/>
      <c r="T11" s="31"/>
      <c r="U11" s="13"/>
      <c r="V11" s="31">
        <v>150</v>
      </c>
      <c r="X11" s="31"/>
      <c r="Y11" s="15"/>
    </row>
    <row r="12" spans="1:25" x14ac:dyDescent="0.25">
      <c r="A12" s="311"/>
      <c r="B12" s="20">
        <v>45341</v>
      </c>
      <c r="C12" s="14" t="s">
        <v>22</v>
      </c>
      <c r="D12" s="27">
        <v>500</v>
      </c>
      <c r="G12" s="31"/>
      <c r="H12" s="13"/>
      <c r="I12" s="35"/>
      <c r="K12" s="35"/>
      <c r="M12" s="35"/>
      <c r="N12" s="14"/>
      <c r="O12" s="27"/>
      <c r="Q12" s="31"/>
      <c r="R12" s="13"/>
      <c r="T12" s="31"/>
      <c r="U12" s="13"/>
      <c r="V12" s="31"/>
      <c r="X12" s="31"/>
      <c r="Y12" s="15"/>
    </row>
    <row r="13" spans="1:25" x14ac:dyDescent="0.25">
      <c r="A13" s="311"/>
      <c r="B13" s="20">
        <v>45342</v>
      </c>
      <c r="C13" s="14" t="s">
        <v>22</v>
      </c>
      <c r="D13" s="27"/>
      <c r="G13" s="31"/>
      <c r="H13" s="13"/>
      <c r="I13" s="35"/>
      <c r="K13" s="35"/>
      <c r="M13" s="35"/>
      <c r="N13" s="14"/>
      <c r="O13" s="27"/>
      <c r="Q13" s="31"/>
      <c r="R13" s="13">
        <v>150</v>
      </c>
      <c r="T13" s="31"/>
      <c r="U13" s="13">
        <f>250+100</f>
        <v>350</v>
      </c>
      <c r="V13" s="31"/>
      <c r="W13">
        <v>100</v>
      </c>
      <c r="X13" s="31"/>
      <c r="Y13" s="15"/>
    </row>
    <row r="14" spans="1:25" x14ac:dyDescent="0.25">
      <c r="A14" s="311"/>
      <c r="B14" s="20">
        <v>45343</v>
      </c>
      <c r="C14" s="14" t="s">
        <v>22</v>
      </c>
      <c r="D14" s="27"/>
      <c r="G14" s="31"/>
      <c r="H14" s="13"/>
      <c r="I14" s="35"/>
      <c r="K14" s="35"/>
      <c r="M14" s="35"/>
      <c r="N14" s="14">
        <v>100</v>
      </c>
      <c r="O14" s="27"/>
      <c r="Q14" s="31"/>
      <c r="R14" s="13"/>
      <c r="T14" s="31"/>
      <c r="U14" s="13"/>
      <c r="V14" s="31"/>
      <c r="X14" s="31"/>
      <c r="Y14" s="15"/>
    </row>
    <row r="15" spans="1:25" x14ac:dyDescent="0.25">
      <c r="A15" s="311"/>
      <c r="B15" s="20">
        <v>45344</v>
      </c>
      <c r="C15" s="14" t="s">
        <v>22</v>
      </c>
      <c r="D15" s="27">
        <v>500</v>
      </c>
      <c r="G15" s="31">
        <v>1000</v>
      </c>
      <c r="H15" s="13"/>
      <c r="I15" s="35"/>
      <c r="K15" s="35"/>
      <c r="M15" s="35"/>
      <c r="N15" s="14"/>
      <c r="O15" s="27"/>
      <c r="Q15" s="31"/>
      <c r="R15" s="13"/>
      <c r="T15" s="31"/>
      <c r="U15" s="13"/>
      <c r="V15" s="31">
        <v>300</v>
      </c>
      <c r="X15" s="31"/>
      <c r="Y15" s="15"/>
    </row>
    <row r="16" spans="1:25" x14ac:dyDescent="0.25">
      <c r="A16" s="311"/>
      <c r="B16" s="20">
        <v>45345</v>
      </c>
      <c r="C16" s="14" t="s">
        <v>22</v>
      </c>
      <c r="D16" s="27"/>
      <c r="G16" s="31"/>
      <c r="H16" s="13">
        <v>200</v>
      </c>
      <c r="I16" s="35"/>
      <c r="K16" s="35"/>
      <c r="M16" s="35"/>
      <c r="N16" s="14"/>
      <c r="O16" s="27"/>
      <c r="Q16" s="31"/>
      <c r="R16" s="13"/>
      <c r="T16" s="31"/>
      <c r="U16" s="13">
        <v>1012</v>
      </c>
      <c r="V16" s="31"/>
      <c r="X16" s="31"/>
      <c r="Y16" s="15"/>
    </row>
    <row r="17" spans="1:25" x14ac:dyDescent="0.25">
      <c r="A17" s="311"/>
      <c r="B17" s="20">
        <v>45345</v>
      </c>
      <c r="C17" s="14" t="s">
        <v>54</v>
      </c>
      <c r="D17" s="27"/>
      <c r="G17" s="31"/>
      <c r="H17" s="13"/>
      <c r="I17" s="35"/>
      <c r="J17">
        <v>1700</v>
      </c>
      <c r="K17" s="35"/>
      <c r="M17" s="35"/>
      <c r="N17" s="14"/>
      <c r="O17" s="27"/>
      <c r="Q17" s="31"/>
      <c r="R17" s="13"/>
      <c r="T17" s="31"/>
      <c r="U17" s="13"/>
      <c r="V17" s="31"/>
      <c r="X17" s="31"/>
      <c r="Y17" s="15"/>
    </row>
    <row r="18" spans="1:25" x14ac:dyDescent="0.25">
      <c r="A18" s="311"/>
      <c r="B18" s="20">
        <v>45346</v>
      </c>
      <c r="C18" s="14" t="s">
        <v>22</v>
      </c>
      <c r="D18" s="27"/>
      <c r="G18" s="31"/>
      <c r="H18" s="13"/>
      <c r="I18" s="35"/>
      <c r="K18" s="35"/>
      <c r="M18" s="35"/>
      <c r="N18" s="14"/>
      <c r="O18" s="27"/>
      <c r="Q18" s="31"/>
      <c r="R18" s="13">
        <v>200</v>
      </c>
      <c r="T18" s="31"/>
      <c r="U18" s="13"/>
      <c r="V18" s="31"/>
      <c r="X18" s="31"/>
      <c r="Y18" s="15"/>
    </row>
    <row r="19" spans="1:25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ht="15.75" thickBot="1" x14ac:dyDescent="0.3">
      <c r="A23" s="312"/>
      <c r="B23" s="13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T23" s="31"/>
      <c r="U23" s="13"/>
      <c r="V23" s="31"/>
      <c r="X23" s="31"/>
      <c r="Y23" s="15"/>
    </row>
    <row r="24" spans="1:25" ht="21.75" thickBot="1" x14ac:dyDescent="0.3">
      <c r="A24" s="21" t="s">
        <v>23</v>
      </c>
      <c r="B24" s="22"/>
      <c r="C24" s="23"/>
      <c r="D24" s="29">
        <f t="shared" ref="D24:Y24" si="0">SUM(D4:D10)-SUM(D11:D23)</f>
        <v>16991</v>
      </c>
      <c r="E24" s="22">
        <f t="shared" si="0"/>
        <v>1670</v>
      </c>
      <c r="F24" s="24">
        <f t="shared" si="0"/>
        <v>506</v>
      </c>
      <c r="G24" s="33">
        <f t="shared" si="0"/>
        <v>4060</v>
      </c>
      <c r="H24" s="22">
        <f t="shared" si="0"/>
        <v>3096</v>
      </c>
      <c r="I24" s="37">
        <f t="shared" si="0"/>
        <v>103</v>
      </c>
      <c r="J24" s="24">
        <f t="shared" si="0"/>
        <v>85</v>
      </c>
      <c r="K24" s="37">
        <f t="shared" si="0"/>
        <v>6422</v>
      </c>
      <c r="L24" s="24">
        <f t="shared" si="0"/>
        <v>0</v>
      </c>
      <c r="M24" s="37">
        <f t="shared" si="0"/>
        <v>0</v>
      </c>
      <c r="N24" s="23">
        <f t="shared" si="0"/>
        <v>900</v>
      </c>
      <c r="O24" s="29">
        <f t="shared" si="0"/>
        <v>120</v>
      </c>
      <c r="P24" s="24">
        <f t="shared" si="0"/>
        <v>2066</v>
      </c>
      <c r="Q24" s="33">
        <f t="shared" si="0"/>
        <v>72</v>
      </c>
      <c r="R24" s="22">
        <f t="shared" si="0"/>
        <v>1729</v>
      </c>
      <c r="S24" s="22">
        <f t="shared" si="0"/>
        <v>500</v>
      </c>
      <c r="T24" s="33">
        <f t="shared" si="0"/>
        <v>1068</v>
      </c>
      <c r="U24" s="22">
        <f t="shared" si="0"/>
        <v>0</v>
      </c>
      <c r="V24" s="33">
        <f t="shared" si="0"/>
        <v>5165</v>
      </c>
      <c r="W24" s="22">
        <f t="shared" si="0"/>
        <v>400</v>
      </c>
      <c r="X24" s="33">
        <f t="shared" si="0"/>
        <v>280</v>
      </c>
      <c r="Y24" s="25">
        <f t="shared" si="0"/>
        <v>43</v>
      </c>
    </row>
    <row r="26" spans="1:25" x14ac:dyDescent="0.25">
      <c r="D26">
        <f>D24*0.35</f>
        <v>5946.8499999999995</v>
      </c>
      <c r="E26">
        <f>+E24*0.4</f>
        <v>668</v>
      </c>
      <c r="F26">
        <f>+F24*0.38</f>
        <v>192.28</v>
      </c>
      <c r="G26">
        <f>+G24*0.45</f>
        <v>1827</v>
      </c>
      <c r="H26">
        <f>+H24*0.59</f>
        <v>1826.6399999999999</v>
      </c>
      <c r="I26">
        <f>+I24*0.6</f>
        <v>61.8</v>
      </c>
      <c r="J26" s="50">
        <f>+J24*0.87</f>
        <v>73.95</v>
      </c>
      <c r="K26">
        <f>+K24*0.7</f>
        <v>4495.3999999999996</v>
      </c>
      <c r="L26">
        <f>+L24*0.66</f>
        <v>0</v>
      </c>
      <c r="M26">
        <f>+M24*0.7</f>
        <v>0</v>
      </c>
      <c r="N26">
        <f>+N24*0.55</f>
        <v>495.00000000000006</v>
      </c>
      <c r="O26">
        <f>+O24*2.22</f>
        <v>266.40000000000003</v>
      </c>
      <c r="P26">
        <f>+P24*1.75+(1566*0.05)</f>
        <v>3693.8</v>
      </c>
      <c r="Q26">
        <f>+Q24*2.26</f>
        <v>162.71999999999997</v>
      </c>
      <c r="R26">
        <f>+R24*1.85+(2*0.1)</f>
        <v>3198.85</v>
      </c>
      <c r="S26">
        <f>+S24*2.47</f>
        <v>1235</v>
      </c>
      <c r="T26">
        <f>+T24*2.36</f>
        <v>2520.48</v>
      </c>
      <c r="U26">
        <f>+U24*0.42</f>
        <v>0</v>
      </c>
      <c r="V26">
        <f>+V24*0.32</f>
        <v>1652.8</v>
      </c>
      <c r="W26">
        <f>+W24*2.3</f>
        <v>919.99999999999989</v>
      </c>
      <c r="X26">
        <f>+X24*0.8</f>
        <v>224</v>
      </c>
      <c r="Y26">
        <f>+Y24*2</f>
        <v>86</v>
      </c>
    </row>
    <row r="28" spans="1:25" x14ac:dyDescent="0.25">
      <c r="Y28">
        <f>SUM(D26:Y26)</f>
        <v>29546.969999999998</v>
      </c>
    </row>
    <row r="31" spans="1:25" x14ac:dyDescent="0.25">
      <c r="D31">
        <v>231</v>
      </c>
    </row>
  </sheetData>
  <mergeCells count="7">
    <mergeCell ref="U2:V2"/>
    <mergeCell ref="A4:A10"/>
    <mergeCell ref="A11:A23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948E-9142-4433-96AB-E0708FC3C731}">
  <dimension ref="A1:Y31"/>
  <sheetViews>
    <sheetView view="pageBreakPreview" zoomScale="6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2" sqref="R12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18 a 24'!D24</f>
        <v>16991</v>
      </c>
      <c r="E4" s="42">
        <f>'STOCK 18 a 24'!E24</f>
        <v>1670</v>
      </c>
      <c r="F4" s="42">
        <f>'STOCK 18 a 24'!F24</f>
        <v>506</v>
      </c>
      <c r="G4" s="42">
        <f>'STOCK 18 a 24'!G24</f>
        <v>4060</v>
      </c>
      <c r="H4" s="42">
        <f>'STOCK 18 a 24'!H24</f>
        <v>3096</v>
      </c>
      <c r="I4" s="42">
        <f>'STOCK 18 a 24'!I24</f>
        <v>103</v>
      </c>
      <c r="J4" s="42">
        <f>'STOCK 18 a 24'!J24</f>
        <v>85</v>
      </c>
      <c r="K4" s="42">
        <f>'STOCK 18 a 24'!K24</f>
        <v>6422</v>
      </c>
      <c r="L4" s="42">
        <f>'STOCK 18 a 24'!L24</f>
        <v>0</v>
      </c>
      <c r="M4" s="42">
        <f>'STOCK 18 a 24'!M24</f>
        <v>0</v>
      </c>
      <c r="N4" s="42">
        <f>'STOCK 18 a 24'!N24</f>
        <v>900</v>
      </c>
      <c r="O4" s="42">
        <f>'STOCK 18 a 24'!O24</f>
        <v>120</v>
      </c>
      <c r="P4" s="42">
        <f>'STOCK 18 a 24'!P24</f>
        <v>2066</v>
      </c>
      <c r="Q4" s="42">
        <f>'STOCK 18 a 24'!Q24</f>
        <v>72</v>
      </c>
      <c r="R4" s="42">
        <f>'STOCK 18 a 24'!R24</f>
        <v>1729</v>
      </c>
      <c r="S4" s="42">
        <f>'STOCK 18 a 24'!S24</f>
        <v>500</v>
      </c>
      <c r="T4" s="42">
        <f>'STOCK 18 a 24'!T24</f>
        <v>1068</v>
      </c>
      <c r="U4" s="42">
        <f>'STOCK 18 a 24'!U24</f>
        <v>0</v>
      </c>
      <c r="V4" s="42">
        <f>'STOCK 18 a 24'!V24</f>
        <v>5165</v>
      </c>
      <c r="W4" s="42">
        <f>'STOCK 18 a 24'!W24</f>
        <v>400</v>
      </c>
      <c r="X4" s="42">
        <f>'STOCK 18 a 24'!X24</f>
        <v>280</v>
      </c>
      <c r="Y4" s="42">
        <f>'STOCK 18 a 24'!Y24</f>
        <v>43</v>
      </c>
    </row>
    <row r="5" spans="1:25" x14ac:dyDescent="0.25">
      <c r="A5" s="311"/>
      <c r="B5" s="20">
        <v>45349</v>
      </c>
      <c r="C5" s="14" t="s">
        <v>46</v>
      </c>
      <c r="D5" s="27"/>
      <c r="G5" s="31"/>
      <c r="H5" s="13"/>
      <c r="I5" s="35"/>
      <c r="J5">
        <v>1000</v>
      </c>
      <c r="K5" s="35"/>
      <c r="M5" s="35"/>
      <c r="N5" s="14"/>
      <c r="O5" s="27"/>
      <c r="Q5" s="31"/>
      <c r="R5" s="13"/>
      <c r="T5" s="31"/>
      <c r="U5" s="13"/>
      <c r="V5" s="31"/>
      <c r="X5" s="31"/>
      <c r="Y5" s="15"/>
    </row>
    <row r="6" spans="1:25" x14ac:dyDescent="0.25">
      <c r="A6" s="311"/>
      <c r="B6" s="20">
        <v>45349</v>
      </c>
      <c r="C6" s="14" t="s">
        <v>27</v>
      </c>
      <c r="D6" s="27"/>
      <c r="G6" s="31"/>
      <c r="H6" s="13"/>
      <c r="I6" s="35"/>
      <c r="K6" s="35"/>
      <c r="M6" s="35"/>
      <c r="N6" s="14"/>
      <c r="O6" s="27"/>
      <c r="Q6" s="31"/>
      <c r="R6" s="13"/>
      <c r="T6" s="31"/>
      <c r="U6" s="13">
        <v>3000</v>
      </c>
      <c r="V6" s="31"/>
      <c r="X6" s="31"/>
      <c r="Y6" s="15"/>
    </row>
    <row r="7" spans="1:25" x14ac:dyDescent="0.25">
      <c r="A7" s="311"/>
      <c r="B7" s="20">
        <v>45350</v>
      </c>
      <c r="C7" s="14" t="s">
        <v>27</v>
      </c>
      <c r="D7" s="27"/>
      <c r="G7" s="31"/>
      <c r="H7" s="13"/>
      <c r="I7" s="35"/>
      <c r="K7" s="35"/>
      <c r="M7" s="35"/>
      <c r="N7" s="14"/>
      <c r="O7" s="27"/>
      <c r="P7">
        <v>700</v>
      </c>
      <c r="Q7" s="31"/>
      <c r="R7" s="13"/>
      <c r="T7" s="31"/>
      <c r="U7" s="13"/>
      <c r="V7" s="31"/>
      <c r="X7" s="31"/>
      <c r="Y7" s="15"/>
    </row>
    <row r="8" spans="1:25" x14ac:dyDescent="0.25">
      <c r="A8" s="311"/>
      <c r="B8" s="20">
        <v>45351</v>
      </c>
      <c r="C8" s="14" t="s">
        <v>46</v>
      </c>
      <c r="D8" s="27"/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W8">
        <v>1000</v>
      </c>
      <c r="X8" s="31"/>
      <c r="Y8" s="15"/>
    </row>
    <row r="9" spans="1:25" x14ac:dyDescent="0.25">
      <c r="A9" s="311"/>
      <c r="B9" s="20">
        <v>45351</v>
      </c>
      <c r="C9" s="14" t="s">
        <v>27</v>
      </c>
      <c r="D9" s="27"/>
      <c r="G9" s="31"/>
      <c r="H9" s="13"/>
      <c r="I9" s="35"/>
      <c r="K9" s="35"/>
      <c r="M9" s="35">
        <v>1000</v>
      </c>
      <c r="N9" s="14"/>
      <c r="O9" s="27"/>
      <c r="Q9" s="31"/>
      <c r="R9" s="13"/>
      <c r="T9" s="31"/>
      <c r="U9" s="13"/>
      <c r="V9" s="31"/>
      <c r="X9" s="31"/>
      <c r="Y9" s="15"/>
    </row>
    <row r="10" spans="1:25" ht="15.75" thickBot="1" x14ac:dyDescent="0.3">
      <c r="A10" s="312"/>
      <c r="B10" s="16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18"/>
      <c r="X10" s="32"/>
      <c r="Y10" s="19"/>
    </row>
    <row r="11" spans="1:25" x14ac:dyDescent="0.25">
      <c r="A11" s="310" t="s">
        <v>21</v>
      </c>
      <c r="B11" s="20">
        <v>45347</v>
      </c>
      <c r="C11" s="14" t="s">
        <v>22</v>
      </c>
      <c r="D11" s="27"/>
      <c r="G11" s="31"/>
      <c r="H11" s="13"/>
      <c r="I11" s="35"/>
      <c r="K11" s="35"/>
      <c r="M11" s="35"/>
      <c r="N11" s="14"/>
      <c r="O11" s="27"/>
      <c r="Q11" s="31"/>
      <c r="R11" s="13"/>
      <c r="T11" s="31"/>
      <c r="U11" s="13"/>
      <c r="V11" s="31">
        <v>100</v>
      </c>
      <c r="X11" s="31"/>
      <c r="Y11" s="15"/>
    </row>
    <row r="12" spans="1:25" x14ac:dyDescent="0.25">
      <c r="A12" s="311"/>
      <c r="B12" s="20">
        <v>45348</v>
      </c>
      <c r="C12" s="14" t="s">
        <v>22</v>
      </c>
      <c r="D12" s="27"/>
      <c r="G12" s="31"/>
      <c r="H12" s="13"/>
      <c r="I12" s="35"/>
      <c r="K12" s="35"/>
      <c r="M12" s="35"/>
      <c r="N12" s="14"/>
      <c r="O12" s="27"/>
      <c r="P12">
        <v>500</v>
      </c>
      <c r="Q12" s="31"/>
      <c r="R12" s="13">
        <v>500</v>
      </c>
      <c r="T12" s="31">
        <v>197</v>
      </c>
      <c r="U12" s="13"/>
      <c r="V12" s="31"/>
      <c r="X12" s="31"/>
      <c r="Y12" s="15"/>
    </row>
    <row r="13" spans="1:25" x14ac:dyDescent="0.25">
      <c r="A13" s="311"/>
      <c r="B13" s="20">
        <v>45349</v>
      </c>
      <c r="C13" s="14" t="s">
        <v>22</v>
      </c>
      <c r="D13" s="27">
        <v>1000</v>
      </c>
      <c r="G13" s="31"/>
      <c r="H13" s="13">
        <v>2000</v>
      </c>
      <c r="I13" s="35"/>
      <c r="J13">
        <v>60</v>
      </c>
      <c r="K13" s="35"/>
      <c r="M13" s="35"/>
      <c r="N13" s="14"/>
      <c r="O13" s="27"/>
      <c r="Q13" s="31"/>
      <c r="R13" s="13"/>
      <c r="T13" s="31"/>
      <c r="U13" s="13"/>
      <c r="V13" s="31">
        <v>200</v>
      </c>
      <c r="X13" s="31"/>
      <c r="Y13" s="15"/>
    </row>
    <row r="14" spans="1:25" x14ac:dyDescent="0.25">
      <c r="A14" s="311"/>
      <c r="B14" s="20">
        <v>45350</v>
      </c>
      <c r="C14" s="14" t="s">
        <v>22</v>
      </c>
      <c r="D14" s="27"/>
      <c r="G14" s="31"/>
      <c r="H14" s="13">
        <v>250</v>
      </c>
      <c r="I14" s="35"/>
      <c r="J14">
        <v>300</v>
      </c>
      <c r="K14" s="35"/>
      <c r="M14" s="35"/>
      <c r="N14" s="14"/>
      <c r="O14" s="27"/>
      <c r="Q14" s="31"/>
      <c r="R14" s="13"/>
      <c r="T14" s="31"/>
      <c r="U14" s="13">
        <v>1000</v>
      </c>
      <c r="V14" s="31"/>
      <c r="X14" s="31"/>
      <c r="Y14" s="15"/>
    </row>
    <row r="15" spans="1:25" x14ac:dyDescent="0.25">
      <c r="A15" s="311"/>
      <c r="B15" s="20">
        <v>45351</v>
      </c>
      <c r="C15" s="14" t="s">
        <v>22</v>
      </c>
      <c r="D15" s="27">
        <v>200</v>
      </c>
      <c r="G15" s="31"/>
      <c r="H15" s="13"/>
      <c r="I15" s="35"/>
      <c r="K15" s="35"/>
      <c r="M15" s="35"/>
      <c r="N15" s="14"/>
      <c r="O15" s="27"/>
      <c r="P15">
        <v>130</v>
      </c>
      <c r="Q15" s="31"/>
      <c r="R15" s="13"/>
      <c r="T15" s="31"/>
      <c r="U15" s="13">
        <v>40</v>
      </c>
      <c r="V15" s="31"/>
      <c r="X15" s="31"/>
      <c r="Y15" s="15"/>
    </row>
    <row r="16" spans="1:25" x14ac:dyDescent="0.25">
      <c r="A16" s="311"/>
      <c r="B16" s="20">
        <v>45352</v>
      </c>
      <c r="C16" s="14" t="s">
        <v>22</v>
      </c>
      <c r="D16" s="27">
        <f>80+100+200</f>
        <v>380</v>
      </c>
      <c r="G16" s="31"/>
      <c r="H16" s="13">
        <v>80</v>
      </c>
      <c r="I16" s="35"/>
      <c r="K16" s="35">
        <v>1000</v>
      </c>
      <c r="M16" s="35"/>
      <c r="N16" s="14"/>
      <c r="O16" s="27"/>
      <c r="Q16" s="31"/>
      <c r="R16" s="13"/>
      <c r="T16" s="31"/>
      <c r="U16" s="13"/>
      <c r="V16" s="31">
        <v>1300</v>
      </c>
      <c r="X16" s="31"/>
      <c r="Y16" s="15"/>
    </row>
    <row r="17" spans="1:25" x14ac:dyDescent="0.25">
      <c r="A17" s="311"/>
      <c r="B17" s="20">
        <v>45353</v>
      </c>
      <c r="C17" s="14" t="s">
        <v>45</v>
      </c>
      <c r="D17" s="27"/>
      <c r="G17" s="31"/>
      <c r="H17" s="13"/>
      <c r="I17" s="35"/>
      <c r="K17" s="35">
        <v>500</v>
      </c>
      <c r="M17" s="35"/>
      <c r="N17" s="14"/>
      <c r="O17" s="27"/>
      <c r="Q17" s="31"/>
      <c r="R17" s="13"/>
      <c r="T17" s="31"/>
      <c r="U17" s="13">
        <v>1000</v>
      </c>
      <c r="V17" s="31"/>
      <c r="X17" s="31"/>
      <c r="Y17" s="15"/>
    </row>
    <row r="18" spans="1:25" x14ac:dyDescent="0.25">
      <c r="A18" s="311"/>
      <c r="B18" s="20">
        <v>45353</v>
      </c>
      <c r="C18" s="14" t="s">
        <v>22</v>
      </c>
      <c r="D18" s="27">
        <v>200</v>
      </c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>
        <f>100+150+100+500</f>
        <v>850</v>
      </c>
      <c r="V18" s="31"/>
      <c r="X18" s="31"/>
      <c r="Y18" s="15"/>
    </row>
    <row r="19" spans="1:25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ht="15.75" thickBot="1" x14ac:dyDescent="0.3">
      <c r="A23" s="312"/>
      <c r="B23" s="13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T23" s="31"/>
      <c r="U23" s="13"/>
      <c r="V23" s="31"/>
      <c r="X23" s="31"/>
      <c r="Y23" s="15"/>
    </row>
    <row r="24" spans="1:25" ht="21.75" thickBot="1" x14ac:dyDescent="0.3">
      <c r="A24" s="21" t="s">
        <v>23</v>
      </c>
      <c r="B24" s="22"/>
      <c r="C24" s="23"/>
      <c r="D24" s="29">
        <f t="shared" ref="D24:Y24" si="0">SUM(D4:D10)-SUM(D11:D23)</f>
        <v>15211</v>
      </c>
      <c r="E24" s="22">
        <f t="shared" si="0"/>
        <v>1670</v>
      </c>
      <c r="F24" s="24">
        <f t="shared" si="0"/>
        <v>506</v>
      </c>
      <c r="G24" s="33">
        <f t="shared" si="0"/>
        <v>4060</v>
      </c>
      <c r="H24" s="22">
        <f t="shared" si="0"/>
        <v>766</v>
      </c>
      <c r="I24" s="37">
        <f t="shared" si="0"/>
        <v>103</v>
      </c>
      <c r="J24" s="24">
        <f t="shared" si="0"/>
        <v>725</v>
      </c>
      <c r="K24" s="37">
        <f t="shared" si="0"/>
        <v>4922</v>
      </c>
      <c r="L24" s="24">
        <f t="shared" si="0"/>
        <v>0</v>
      </c>
      <c r="M24" s="37">
        <f t="shared" si="0"/>
        <v>1000</v>
      </c>
      <c r="N24" s="23">
        <f t="shared" si="0"/>
        <v>900</v>
      </c>
      <c r="O24" s="29">
        <f t="shared" si="0"/>
        <v>120</v>
      </c>
      <c r="P24" s="24">
        <f>SUM(P4:P10)-SUM(P11:P23)</f>
        <v>2136</v>
      </c>
      <c r="Q24" s="33">
        <f t="shared" si="0"/>
        <v>72</v>
      </c>
      <c r="R24" s="22">
        <f t="shared" si="0"/>
        <v>1229</v>
      </c>
      <c r="S24" s="22">
        <f t="shared" si="0"/>
        <v>500</v>
      </c>
      <c r="T24" s="33">
        <f t="shared" si="0"/>
        <v>871</v>
      </c>
      <c r="U24" s="22">
        <f t="shared" si="0"/>
        <v>110</v>
      </c>
      <c r="V24" s="33">
        <f t="shared" si="0"/>
        <v>3565</v>
      </c>
      <c r="W24" s="22">
        <f t="shared" si="0"/>
        <v>1400</v>
      </c>
      <c r="X24" s="33">
        <f t="shared" si="0"/>
        <v>280</v>
      </c>
      <c r="Y24" s="25">
        <f t="shared" si="0"/>
        <v>43</v>
      </c>
    </row>
    <row r="26" spans="1:25" x14ac:dyDescent="0.25">
      <c r="D26">
        <f>D24*0.35</f>
        <v>5323.8499999999995</v>
      </c>
      <c r="E26">
        <f>+E24*0.4</f>
        <v>668</v>
      </c>
      <c r="F26">
        <f>+F24*0.38</f>
        <v>192.28</v>
      </c>
      <c r="G26">
        <f>+G24*0.45</f>
        <v>1827</v>
      </c>
      <c r="H26">
        <f>+H24*0.59</f>
        <v>451.94</v>
      </c>
      <c r="I26">
        <f>+I24*0.6</f>
        <v>61.8</v>
      </c>
      <c r="J26" s="50">
        <f>+J24*0.87</f>
        <v>630.75</v>
      </c>
      <c r="K26">
        <f>+K24*0.7</f>
        <v>3445.3999999999996</v>
      </c>
      <c r="L26">
        <f>+L24*0.66</f>
        <v>0</v>
      </c>
      <c r="M26">
        <f>+M24*0.64</f>
        <v>640</v>
      </c>
      <c r="N26">
        <f>+N24*0.55</f>
        <v>495.00000000000006</v>
      </c>
      <c r="O26">
        <f>+O24*2.22</f>
        <v>266.40000000000003</v>
      </c>
      <c r="P26">
        <f>+P24*1.75+(936*0.05)</f>
        <v>3784.8</v>
      </c>
      <c r="Q26">
        <f>+Q24*2.26</f>
        <v>162.71999999999997</v>
      </c>
      <c r="R26">
        <f>+R24*1.85</f>
        <v>2273.65</v>
      </c>
      <c r="S26">
        <f>+S24*2.47</f>
        <v>1235</v>
      </c>
      <c r="T26">
        <f>+T24*2.36</f>
        <v>2055.56</v>
      </c>
      <c r="U26">
        <f>+U24*0.42</f>
        <v>46.199999999999996</v>
      </c>
      <c r="V26">
        <f>+V24*0.32</f>
        <v>1140.8</v>
      </c>
      <c r="W26">
        <f>+W24*2+(400*0.3)</f>
        <v>2920</v>
      </c>
      <c r="X26">
        <f>+X24*0.8</f>
        <v>224</v>
      </c>
      <c r="Y26">
        <f>+Y24*2</f>
        <v>86</v>
      </c>
    </row>
    <row r="28" spans="1:25" x14ac:dyDescent="0.25">
      <c r="Y28">
        <f>SUM(D26:Y26)</f>
        <v>27931.15</v>
      </c>
    </row>
    <row r="31" spans="1:25" x14ac:dyDescent="0.25">
      <c r="D31">
        <v>231</v>
      </c>
    </row>
  </sheetData>
  <mergeCells count="7">
    <mergeCell ref="U2:V2"/>
    <mergeCell ref="A4:A10"/>
    <mergeCell ref="A11:A23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A8EA-A58F-4337-B629-2D3D3DFB7101}">
  <dimension ref="A1:Y30"/>
  <sheetViews>
    <sheetView view="pageBreakPreview" zoomScale="6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5" sqref="D2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25 a 02'!D24</f>
        <v>15211</v>
      </c>
      <c r="E4" s="42">
        <f>'STOCK 25 a 02'!E24</f>
        <v>1670</v>
      </c>
      <c r="F4" s="42">
        <f>'STOCK 25 a 02'!F24</f>
        <v>506</v>
      </c>
      <c r="G4" s="42">
        <f>'STOCK 25 a 02'!G24</f>
        <v>4060</v>
      </c>
      <c r="H4" s="42">
        <f>'STOCK 25 a 02'!H24</f>
        <v>766</v>
      </c>
      <c r="I4" s="42">
        <f>'STOCK 25 a 02'!I24</f>
        <v>103</v>
      </c>
      <c r="J4" s="42">
        <f>'STOCK 25 a 02'!J24</f>
        <v>725</v>
      </c>
      <c r="K4" s="42">
        <f>'STOCK 25 a 02'!K24</f>
        <v>4922</v>
      </c>
      <c r="L4" s="42">
        <f>'STOCK 25 a 02'!L24</f>
        <v>0</v>
      </c>
      <c r="M4" s="42">
        <f>'STOCK 25 a 02'!M24</f>
        <v>1000</v>
      </c>
      <c r="N4" s="42">
        <f>'STOCK 25 a 02'!N24</f>
        <v>900</v>
      </c>
      <c r="O4" s="42">
        <f>'STOCK 25 a 02'!O24</f>
        <v>120</v>
      </c>
      <c r="P4" s="42">
        <f>'STOCK 25 a 02'!P24</f>
        <v>2136</v>
      </c>
      <c r="Q4" s="42">
        <f>'STOCK 25 a 02'!Q24</f>
        <v>72</v>
      </c>
      <c r="R4" s="42">
        <f>'STOCK 25 a 02'!R24</f>
        <v>1229</v>
      </c>
      <c r="S4" s="42">
        <f>'STOCK 25 a 02'!S24</f>
        <v>500</v>
      </c>
      <c r="T4" s="42">
        <f>'STOCK 25 a 02'!T24</f>
        <v>871</v>
      </c>
      <c r="U4" s="42">
        <f>'STOCK 25 a 02'!U24</f>
        <v>110</v>
      </c>
      <c r="V4" s="42">
        <f>'STOCK 25 a 02'!V24</f>
        <v>3565</v>
      </c>
      <c r="W4" s="42">
        <f>'STOCK 25 a 02'!W24</f>
        <v>1400</v>
      </c>
      <c r="X4" s="42">
        <f>'STOCK 25 a 02'!X24</f>
        <v>280</v>
      </c>
      <c r="Y4" s="42">
        <f>'STOCK 25 a 02'!Y24</f>
        <v>43</v>
      </c>
    </row>
    <row r="5" spans="1:25" x14ac:dyDescent="0.25">
      <c r="A5" s="311"/>
      <c r="B5" s="20">
        <v>45355</v>
      </c>
      <c r="C5" s="14" t="s">
        <v>46</v>
      </c>
      <c r="D5" s="27"/>
      <c r="G5" s="31"/>
      <c r="H5" s="13"/>
      <c r="I5" s="35"/>
      <c r="K5" s="35"/>
      <c r="M5" s="35"/>
      <c r="N5" s="14"/>
      <c r="O5" s="27"/>
      <c r="Q5" s="31"/>
      <c r="R5" s="13"/>
      <c r="T5" s="31"/>
      <c r="U5" s="13">
        <v>2200</v>
      </c>
      <c r="V5" s="31">
        <v>1000</v>
      </c>
      <c r="X5" s="31"/>
      <c r="Y5" s="15"/>
    </row>
    <row r="6" spans="1:25" x14ac:dyDescent="0.25">
      <c r="A6" s="311"/>
      <c r="B6" s="20">
        <v>45356</v>
      </c>
      <c r="C6" s="14" t="s">
        <v>46</v>
      </c>
      <c r="D6" s="27"/>
      <c r="G6" s="31"/>
      <c r="H6" s="13"/>
      <c r="I6" s="35"/>
      <c r="K6" s="35"/>
      <c r="M6" s="35"/>
      <c r="N6" s="14"/>
      <c r="O6" s="27"/>
      <c r="Q6" s="31"/>
      <c r="R6" s="13">
        <v>200</v>
      </c>
      <c r="T6" s="31"/>
      <c r="U6" s="13"/>
      <c r="V6" s="31"/>
      <c r="X6" s="31"/>
      <c r="Y6" s="15"/>
    </row>
    <row r="7" spans="1:25" x14ac:dyDescent="0.25">
      <c r="A7" s="311"/>
      <c r="B7" s="20">
        <v>45357</v>
      </c>
      <c r="C7" s="14" t="s">
        <v>46</v>
      </c>
      <c r="D7" s="27"/>
      <c r="G7" s="31">
        <v>2000</v>
      </c>
      <c r="H7" s="13"/>
      <c r="I7" s="35"/>
      <c r="K7" s="35">
        <v>2000</v>
      </c>
      <c r="M7" s="35"/>
      <c r="N7" s="14"/>
      <c r="O7" s="27"/>
      <c r="Q7" s="31"/>
      <c r="R7" s="13"/>
      <c r="T7" s="31"/>
      <c r="U7" s="13"/>
      <c r="V7" s="31"/>
      <c r="X7" s="31"/>
      <c r="Y7" s="15"/>
    </row>
    <row r="8" spans="1:25" x14ac:dyDescent="0.25">
      <c r="A8" s="311"/>
      <c r="B8" s="20">
        <v>45357</v>
      </c>
      <c r="C8" s="14" t="s">
        <v>27</v>
      </c>
      <c r="D8" s="27"/>
      <c r="G8" s="31"/>
      <c r="H8" s="13">
        <v>2000</v>
      </c>
      <c r="I8" s="35"/>
      <c r="K8" s="35"/>
      <c r="M8" s="35"/>
      <c r="N8" s="14"/>
      <c r="O8" s="27"/>
      <c r="Q8" s="31"/>
      <c r="R8" s="13"/>
      <c r="T8" s="31"/>
      <c r="U8" s="13"/>
      <c r="V8" s="31"/>
      <c r="X8" s="31"/>
      <c r="Y8" s="15"/>
    </row>
    <row r="9" spans="1:25" x14ac:dyDescent="0.25">
      <c r="A9" s="311"/>
      <c r="B9" s="20">
        <v>45358</v>
      </c>
      <c r="C9" s="14" t="s">
        <v>46</v>
      </c>
      <c r="D9" s="27">
        <v>3000</v>
      </c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X9" s="31"/>
      <c r="Y9" s="15"/>
    </row>
    <row r="10" spans="1:25" x14ac:dyDescent="0.25">
      <c r="A10" s="311"/>
      <c r="B10" s="20">
        <v>45358</v>
      </c>
      <c r="C10" s="14" t="s">
        <v>27</v>
      </c>
      <c r="D10" s="27"/>
      <c r="G10" s="31"/>
      <c r="H10" s="13"/>
      <c r="I10" s="35"/>
      <c r="K10" s="35"/>
      <c r="M10" s="35"/>
      <c r="N10" s="14"/>
      <c r="O10" s="27"/>
      <c r="Q10" s="31"/>
      <c r="R10" s="13"/>
      <c r="T10" s="31"/>
      <c r="U10" s="13">
        <v>500</v>
      </c>
      <c r="V10" s="31"/>
      <c r="X10" s="31"/>
      <c r="Y10" s="15"/>
    </row>
    <row r="11" spans="1:25" x14ac:dyDescent="0.25">
      <c r="A11" s="311"/>
      <c r="B11" s="20"/>
      <c r="C11" s="14"/>
      <c r="D11" s="27"/>
      <c r="G11" s="31"/>
      <c r="H11" s="13"/>
      <c r="I11" s="35"/>
      <c r="K11" s="35"/>
      <c r="M11" s="35"/>
      <c r="N11" s="14"/>
      <c r="O11" s="27"/>
      <c r="Q11" s="31"/>
      <c r="R11" s="13"/>
      <c r="T11" s="31"/>
      <c r="U11" s="13"/>
      <c r="V11" s="31"/>
      <c r="X11" s="31"/>
      <c r="Y11" s="15"/>
    </row>
    <row r="12" spans="1:25" ht="15.75" thickBot="1" x14ac:dyDescent="0.3">
      <c r="A12" s="312"/>
      <c r="B12" s="16"/>
      <c r="C12" s="17"/>
      <c r="D12" s="28"/>
      <c r="E12" s="18"/>
      <c r="F12" s="18"/>
      <c r="G12" s="32"/>
      <c r="H12" s="16"/>
      <c r="I12" s="36"/>
      <c r="J12" s="18"/>
      <c r="K12" s="36"/>
      <c r="L12" s="18"/>
      <c r="M12" s="36"/>
      <c r="N12" s="17"/>
      <c r="O12" s="28"/>
      <c r="P12" s="18"/>
      <c r="Q12" s="32"/>
      <c r="R12" s="16"/>
      <c r="S12" s="18"/>
      <c r="T12" s="32"/>
      <c r="U12" s="16"/>
      <c r="V12" s="32"/>
      <c r="W12" s="18"/>
      <c r="X12" s="32"/>
      <c r="Y12" s="19"/>
    </row>
    <row r="13" spans="1:25" x14ac:dyDescent="0.25">
      <c r="A13" s="310" t="s">
        <v>21</v>
      </c>
      <c r="B13" s="20">
        <v>45355</v>
      </c>
      <c r="C13" s="14" t="s">
        <v>22</v>
      </c>
      <c r="D13" s="27"/>
      <c r="G13" s="31">
        <v>1000</v>
      </c>
      <c r="H13" s="13"/>
      <c r="I13" s="35"/>
      <c r="K13" s="35"/>
      <c r="M13" s="35"/>
      <c r="N13" s="14"/>
      <c r="O13" s="27"/>
      <c r="P13">
        <v>150</v>
      </c>
      <c r="Q13" s="31"/>
      <c r="R13" s="13"/>
      <c r="T13" s="31"/>
      <c r="U13" s="13">
        <v>110</v>
      </c>
      <c r="V13" s="31">
        <v>250</v>
      </c>
      <c r="W13">
        <v>800</v>
      </c>
      <c r="X13" s="31"/>
      <c r="Y13" s="15"/>
    </row>
    <row r="14" spans="1:25" x14ac:dyDescent="0.25">
      <c r="A14" s="311"/>
      <c r="B14" s="20">
        <v>403</v>
      </c>
      <c r="C14" s="14" t="s">
        <v>45</v>
      </c>
      <c r="D14" s="27"/>
      <c r="G14" s="31">
        <v>2000</v>
      </c>
      <c r="H14" s="13"/>
      <c r="I14" s="35"/>
      <c r="K14" s="35"/>
      <c r="M14" s="35"/>
      <c r="N14" s="14"/>
      <c r="O14" s="27"/>
      <c r="Q14" s="31"/>
      <c r="R14" s="13"/>
      <c r="T14" s="31"/>
      <c r="U14" s="13"/>
      <c r="V14" s="31"/>
      <c r="X14" s="31"/>
      <c r="Y14" s="15"/>
    </row>
    <row r="15" spans="1:25" x14ac:dyDescent="0.25">
      <c r="A15" s="311"/>
      <c r="B15" s="20">
        <v>45356</v>
      </c>
      <c r="C15" s="14" t="s">
        <v>22</v>
      </c>
      <c r="D15" s="27">
        <v>470</v>
      </c>
      <c r="G15" s="31"/>
      <c r="H15" s="13">
        <v>200</v>
      </c>
      <c r="I15" s="35"/>
      <c r="K15" s="35"/>
      <c r="M15" s="35"/>
      <c r="N15" s="14"/>
      <c r="O15" s="27"/>
      <c r="Q15" s="31"/>
      <c r="R15" s="13"/>
      <c r="T15" s="31"/>
      <c r="U15" s="13"/>
      <c r="V15" s="31"/>
      <c r="X15" s="31"/>
      <c r="Y15" s="15"/>
    </row>
    <row r="16" spans="1:25" x14ac:dyDescent="0.25">
      <c r="A16" s="311"/>
      <c r="B16" s="20">
        <v>45356</v>
      </c>
      <c r="C16" s="14" t="s">
        <v>45</v>
      </c>
      <c r="D16" s="27"/>
      <c r="G16" s="31"/>
      <c r="H16" s="13"/>
      <c r="I16" s="35"/>
      <c r="K16" s="35">
        <v>2000</v>
      </c>
      <c r="M16" s="35"/>
      <c r="N16" s="14"/>
      <c r="O16" s="27"/>
      <c r="P16">
        <v>500</v>
      </c>
      <c r="Q16" s="31"/>
      <c r="R16" s="13"/>
      <c r="T16" s="31"/>
      <c r="U16" s="13"/>
      <c r="V16" s="31"/>
      <c r="X16" s="31"/>
      <c r="Y16" s="15"/>
    </row>
    <row r="17" spans="1:25" x14ac:dyDescent="0.25">
      <c r="A17" s="311"/>
      <c r="B17" s="20">
        <v>45357</v>
      </c>
      <c r="C17" s="14" t="s">
        <v>22</v>
      </c>
      <c r="D17" s="27"/>
      <c r="G17" s="31"/>
      <c r="H17" s="13"/>
      <c r="I17" s="35"/>
      <c r="K17" s="35"/>
      <c r="M17" s="35"/>
      <c r="N17" s="14"/>
      <c r="O17" s="27"/>
      <c r="Q17" s="31"/>
      <c r="R17" s="13">
        <v>200</v>
      </c>
      <c r="T17" s="31"/>
      <c r="U17" s="13"/>
      <c r="V17" s="31"/>
      <c r="X17" s="31"/>
      <c r="Y17" s="15"/>
    </row>
    <row r="18" spans="1:25" x14ac:dyDescent="0.25">
      <c r="A18" s="311"/>
      <c r="B18" s="20">
        <v>45359</v>
      </c>
      <c r="C18" s="14" t="s">
        <v>22</v>
      </c>
      <c r="D18" s="27"/>
      <c r="G18" s="31"/>
      <c r="H18" s="13">
        <v>600</v>
      </c>
      <c r="I18" s="35"/>
      <c r="K18" s="35"/>
      <c r="M18" s="35"/>
      <c r="N18" s="14"/>
      <c r="O18" s="27"/>
      <c r="Q18" s="31"/>
      <c r="R18" s="13"/>
      <c r="T18" s="31"/>
      <c r="U18" s="13"/>
      <c r="V18" s="31"/>
      <c r="X18" s="31"/>
      <c r="Y18" s="15"/>
    </row>
    <row r="19" spans="1:25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ht="15.75" thickBot="1" x14ac:dyDescent="0.3">
      <c r="A22" s="312"/>
      <c r="B22" s="13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ht="21.75" thickBot="1" x14ac:dyDescent="0.3">
      <c r="A23" s="21" t="s">
        <v>23</v>
      </c>
      <c r="B23" s="22"/>
      <c r="C23" s="23"/>
      <c r="D23" s="29">
        <f t="shared" ref="D23:Y23" si="0">SUM(D4:D12)-SUM(D13:D22)</f>
        <v>17741</v>
      </c>
      <c r="E23" s="22">
        <f t="shared" si="0"/>
        <v>1670</v>
      </c>
      <c r="F23" s="24">
        <f t="shared" si="0"/>
        <v>506</v>
      </c>
      <c r="G23" s="33">
        <f t="shared" si="0"/>
        <v>3060</v>
      </c>
      <c r="H23" s="22">
        <f t="shared" si="0"/>
        <v>1966</v>
      </c>
      <c r="I23" s="37">
        <f t="shared" si="0"/>
        <v>103</v>
      </c>
      <c r="J23" s="24">
        <f t="shared" si="0"/>
        <v>725</v>
      </c>
      <c r="K23" s="37">
        <f t="shared" si="0"/>
        <v>4922</v>
      </c>
      <c r="L23" s="24">
        <f t="shared" si="0"/>
        <v>0</v>
      </c>
      <c r="M23" s="37">
        <f t="shared" si="0"/>
        <v>1000</v>
      </c>
      <c r="N23" s="23">
        <f t="shared" si="0"/>
        <v>900</v>
      </c>
      <c r="O23" s="29">
        <f t="shared" si="0"/>
        <v>120</v>
      </c>
      <c r="P23" s="24">
        <f t="shared" si="0"/>
        <v>1486</v>
      </c>
      <c r="Q23" s="33">
        <f t="shared" si="0"/>
        <v>72</v>
      </c>
      <c r="R23" s="22">
        <f t="shared" si="0"/>
        <v>1229</v>
      </c>
      <c r="S23" s="22">
        <f t="shared" si="0"/>
        <v>500</v>
      </c>
      <c r="T23" s="33">
        <f t="shared" si="0"/>
        <v>871</v>
      </c>
      <c r="U23" s="22">
        <f t="shared" si="0"/>
        <v>2700</v>
      </c>
      <c r="V23" s="33">
        <f t="shared" si="0"/>
        <v>4315</v>
      </c>
      <c r="W23" s="22">
        <f t="shared" si="0"/>
        <v>600</v>
      </c>
      <c r="X23" s="33">
        <f t="shared" si="0"/>
        <v>280</v>
      </c>
      <c r="Y23" s="25">
        <f t="shared" si="0"/>
        <v>43</v>
      </c>
    </row>
    <row r="25" spans="1:25" x14ac:dyDescent="0.25">
      <c r="D25">
        <f>D23*0.34+(14741*0.01)</f>
        <v>6179.35</v>
      </c>
      <c r="E25">
        <f>+E23*0.4</f>
        <v>668</v>
      </c>
      <c r="F25">
        <f>+F23*0.38</f>
        <v>192.28</v>
      </c>
      <c r="G25">
        <f>+G23*0.45</f>
        <v>1377</v>
      </c>
      <c r="H25">
        <f>+H23*0.59</f>
        <v>1159.9399999999998</v>
      </c>
      <c r="I25">
        <f>+I23*0.6</f>
        <v>61.8</v>
      </c>
      <c r="J25" s="50">
        <f>+J23*0.87</f>
        <v>630.75</v>
      </c>
      <c r="K25">
        <f>+K23*0.7</f>
        <v>3445.3999999999996</v>
      </c>
      <c r="L25">
        <f>+L23*0.66</f>
        <v>0</v>
      </c>
      <c r="M25">
        <f>+M23*0.64</f>
        <v>640</v>
      </c>
      <c r="N25">
        <f>+N23*0.55</f>
        <v>495.00000000000006</v>
      </c>
      <c r="O25">
        <f>+O23*2.22</f>
        <v>266.40000000000003</v>
      </c>
      <c r="P25">
        <f>+P23*1.75+(286*0.05)</f>
        <v>2614.8000000000002</v>
      </c>
      <c r="Q25">
        <f>+Q23*2.26</f>
        <v>162.71999999999997</v>
      </c>
      <c r="R25">
        <f>+R23*1.85</f>
        <v>2273.65</v>
      </c>
      <c r="S25">
        <f>+S23*2.47</f>
        <v>1235</v>
      </c>
      <c r="T25">
        <f>+T23*2.36</f>
        <v>2055.56</v>
      </c>
      <c r="U25">
        <f>+U23*0.42</f>
        <v>1134</v>
      </c>
      <c r="V25">
        <f>+V23*0.32</f>
        <v>1380.8</v>
      </c>
      <c r="W25">
        <f>+W23*2+(400*0.3)</f>
        <v>1320</v>
      </c>
      <c r="X25">
        <f>+X23*0.8</f>
        <v>224</v>
      </c>
      <c r="Y25">
        <f>+Y23*2</f>
        <v>86</v>
      </c>
    </row>
    <row r="27" spans="1:25" x14ac:dyDescent="0.25">
      <c r="Y27">
        <f>SUM(D25:Y25)</f>
        <v>27602.450000000004</v>
      </c>
    </row>
    <row r="28" spans="1:25" x14ac:dyDescent="0.25">
      <c r="V28">
        <v>24832.45</v>
      </c>
    </row>
    <row r="29" spans="1:25" x14ac:dyDescent="0.25">
      <c r="V29">
        <v>6324</v>
      </c>
    </row>
    <row r="30" spans="1:25" x14ac:dyDescent="0.25">
      <c r="D30">
        <v>231</v>
      </c>
    </row>
  </sheetData>
  <mergeCells count="7">
    <mergeCell ref="U2:V2"/>
    <mergeCell ref="A4:A12"/>
    <mergeCell ref="A13:A22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9FBD-339E-4DA7-827E-E8D91EF9CA8E}">
  <dimension ref="A1:Y37"/>
  <sheetViews>
    <sheetView zoomScale="70" zoomScaleNormal="7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J30" sqref="J3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5.85546875" bestFit="1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03 a 009'!D23</f>
        <v>17741</v>
      </c>
      <c r="E4" s="42">
        <f>'STOCK 03 a 009'!E23</f>
        <v>1670</v>
      </c>
      <c r="F4" s="42">
        <f>'STOCK 03 a 009'!F23</f>
        <v>506</v>
      </c>
      <c r="G4" s="42">
        <f>'STOCK 03 a 009'!G23</f>
        <v>3060</v>
      </c>
      <c r="H4" s="42">
        <f>'STOCK 03 a 009'!H23</f>
        <v>1966</v>
      </c>
      <c r="I4" s="42">
        <f>'STOCK 03 a 009'!I23</f>
        <v>103</v>
      </c>
      <c r="J4" s="42">
        <f>'STOCK 03 a 009'!J23</f>
        <v>725</v>
      </c>
      <c r="K4" s="42">
        <f>'STOCK 03 a 009'!K23</f>
        <v>4922</v>
      </c>
      <c r="L4" s="42">
        <f>'STOCK 03 a 009'!L23</f>
        <v>0</v>
      </c>
      <c r="M4" s="42">
        <f>'STOCK 03 a 009'!M23</f>
        <v>1000</v>
      </c>
      <c r="N4" s="42">
        <f>'STOCK 03 a 009'!N23</f>
        <v>900</v>
      </c>
      <c r="O4" s="42">
        <f>'STOCK 03 a 009'!O23</f>
        <v>120</v>
      </c>
      <c r="P4" s="42">
        <f>'STOCK 03 a 009'!P23</f>
        <v>1486</v>
      </c>
      <c r="Q4" s="42">
        <f>'STOCK 03 a 009'!Q23</f>
        <v>72</v>
      </c>
      <c r="R4" s="42">
        <f>'STOCK 03 a 009'!R23</f>
        <v>1229</v>
      </c>
      <c r="S4" s="42">
        <f>'STOCK 03 a 009'!S23</f>
        <v>500</v>
      </c>
      <c r="T4" s="42">
        <f>'STOCK 03 a 009'!T23</f>
        <v>871</v>
      </c>
      <c r="U4" s="42">
        <f>'STOCK 03 a 009'!U23</f>
        <v>2700</v>
      </c>
      <c r="V4" s="42">
        <f>'STOCK 03 a 009'!V23</f>
        <v>4315</v>
      </c>
      <c r="W4" s="42">
        <f>'STOCK 03 a 009'!W23</f>
        <v>600</v>
      </c>
      <c r="X4" s="42">
        <f>'STOCK 03 a 009'!X23</f>
        <v>280</v>
      </c>
      <c r="Y4" s="42">
        <f>'STOCK 03 a 009'!Y23</f>
        <v>43</v>
      </c>
    </row>
    <row r="5" spans="1:25" x14ac:dyDescent="0.25">
      <c r="A5" s="311"/>
      <c r="B5" s="20">
        <v>45364</v>
      </c>
      <c r="C5" s="14" t="s">
        <v>56</v>
      </c>
      <c r="D5" s="27"/>
      <c r="G5" s="31"/>
      <c r="H5" s="13">
        <v>2500</v>
      </c>
      <c r="I5" s="35"/>
      <c r="K5" s="35"/>
      <c r="M5" s="35"/>
      <c r="N5" s="14"/>
      <c r="O5" s="27"/>
      <c r="Q5" s="31"/>
      <c r="R5" s="13"/>
      <c r="T5" s="31"/>
      <c r="U5" s="13"/>
      <c r="V5" s="31"/>
      <c r="X5" s="31"/>
      <c r="Y5" s="15"/>
    </row>
    <row r="6" spans="1:25" x14ac:dyDescent="0.25">
      <c r="A6" s="311"/>
      <c r="B6" s="20">
        <v>45364</v>
      </c>
      <c r="C6" s="14" t="s">
        <v>46</v>
      </c>
      <c r="D6" s="27">
        <v>2500</v>
      </c>
      <c r="G6" s="31"/>
      <c r="H6" s="13"/>
      <c r="I6" s="35"/>
      <c r="K6" s="35"/>
      <c r="M6" s="35"/>
      <c r="N6" s="14"/>
      <c r="O6" s="27"/>
      <c r="Q6" s="31"/>
      <c r="R6" s="13"/>
      <c r="T6" s="31"/>
      <c r="U6" s="13"/>
      <c r="V6" s="31"/>
      <c r="X6" s="31"/>
      <c r="Y6" s="15"/>
    </row>
    <row r="7" spans="1:25" x14ac:dyDescent="0.25">
      <c r="A7" s="311"/>
      <c r="B7" s="20">
        <v>45365</v>
      </c>
      <c r="C7" s="14" t="s">
        <v>46</v>
      </c>
      <c r="D7" s="27"/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/>
      <c r="W7">
        <v>1200</v>
      </c>
      <c r="X7" s="31"/>
      <c r="Y7" s="15"/>
    </row>
    <row r="8" spans="1:25" x14ac:dyDescent="0.25">
      <c r="A8" s="311"/>
      <c r="B8" s="20">
        <v>45365</v>
      </c>
      <c r="C8" s="14" t="s">
        <v>27</v>
      </c>
      <c r="D8" s="27"/>
      <c r="G8" s="31"/>
      <c r="H8" s="13"/>
      <c r="I8" s="35"/>
      <c r="K8" s="35"/>
      <c r="M8" s="35"/>
      <c r="N8" s="14"/>
      <c r="O8" s="27"/>
      <c r="Q8" s="31"/>
      <c r="R8" s="13"/>
      <c r="T8" s="31"/>
      <c r="U8" s="13">
        <v>2500</v>
      </c>
      <c r="V8" s="31"/>
      <c r="X8" s="31"/>
      <c r="Y8" s="15"/>
    </row>
    <row r="9" spans="1:25" x14ac:dyDescent="0.25">
      <c r="A9" s="311"/>
      <c r="B9" s="20">
        <v>45366</v>
      </c>
      <c r="C9" s="14" t="s">
        <v>27</v>
      </c>
      <c r="D9" s="27"/>
      <c r="G9" s="31"/>
      <c r="H9" s="13"/>
      <c r="I9" s="35"/>
      <c r="K9" s="35"/>
      <c r="M9" s="35"/>
      <c r="N9" s="14"/>
      <c r="O9" s="27"/>
      <c r="P9">
        <v>1200</v>
      </c>
      <c r="Q9" s="31"/>
      <c r="R9" s="13"/>
      <c r="T9" s="31"/>
      <c r="U9" s="13"/>
      <c r="V9" s="31"/>
      <c r="X9" s="31"/>
      <c r="Y9" s="15"/>
    </row>
    <row r="10" spans="1:25" x14ac:dyDescent="0.25">
      <c r="A10" s="311"/>
      <c r="B10" s="20">
        <v>45366</v>
      </c>
      <c r="C10" s="14" t="s">
        <v>46</v>
      </c>
      <c r="D10" s="27"/>
      <c r="E10">
        <v>1000</v>
      </c>
      <c r="G10" s="31"/>
      <c r="H10" s="13"/>
      <c r="I10" s="35"/>
      <c r="K10" s="35"/>
      <c r="M10" s="35"/>
      <c r="N10" s="14"/>
      <c r="O10" s="27"/>
      <c r="Q10" s="31"/>
      <c r="R10" s="13"/>
      <c r="T10" s="31"/>
      <c r="U10" s="13"/>
      <c r="V10" s="31"/>
      <c r="X10" s="31"/>
      <c r="Y10" s="15"/>
    </row>
    <row r="11" spans="1:25" x14ac:dyDescent="0.25">
      <c r="A11" s="311"/>
      <c r="B11" s="20"/>
      <c r="C11" s="14"/>
      <c r="D11" s="27"/>
      <c r="G11" s="31"/>
      <c r="H11" s="13"/>
      <c r="I11" s="35"/>
      <c r="K11" s="35"/>
      <c r="M11" s="35"/>
      <c r="N11" s="14"/>
      <c r="O11" s="27"/>
      <c r="Q11" s="31"/>
      <c r="R11" s="13"/>
      <c r="T11" s="31"/>
      <c r="U11" s="13"/>
      <c r="V11" s="31"/>
      <c r="X11" s="31"/>
      <c r="Y11" s="15"/>
    </row>
    <row r="12" spans="1:25" x14ac:dyDescent="0.25">
      <c r="A12" s="311"/>
      <c r="B12" s="20"/>
      <c r="C12" s="14"/>
      <c r="D12" s="27"/>
      <c r="G12" s="31"/>
      <c r="H12" s="13"/>
      <c r="I12" s="35"/>
      <c r="K12" s="35"/>
      <c r="M12" s="35"/>
      <c r="N12" s="14"/>
      <c r="O12" s="27"/>
      <c r="Q12" s="31"/>
      <c r="R12" s="13"/>
      <c r="T12" s="31"/>
      <c r="U12" s="13"/>
      <c r="V12" s="31"/>
      <c r="X12" s="31"/>
      <c r="Y12" s="15"/>
    </row>
    <row r="13" spans="1:25" ht="15.75" thickBot="1" x14ac:dyDescent="0.3">
      <c r="A13" s="312"/>
      <c r="B13" s="16"/>
      <c r="C13" s="17"/>
      <c r="D13" s="28"/>
      <c r="E13" s="18"/>
      <c r="F13" s="18"/>
      <c r="G13" s="32"/>
      <c r="H13" s="16"/>
      <c r="I13" s="36"/>
      <c r="J13" s="18"/>
      <c r="K13" s="36"/>
      <c r="L13" s="18"/>
      <c r="M13" s="36"/>
      <c r="N13" s="17"/>
      <c r="O13" s="28"/>
      <c r="P13" s="18"/>
      <c r="Q13" s="32"/>
      <c r="R13" s="16"/>
      <c r="S13" s="18"/>
      <c r="T13" s="32"/>
      <c r="U13" s="16"/>
      <c r="V13" s="32"/>
      <c r="W13" s="18"/>
      <c r="X13" s="32"/>
      <c r="Y13" s="19"/>
    </row>
    <row r="14" spans="1:25" x14ac:dyDescent="0.25">
      <c r="A14" s="310" t="s">
        <v>21</v>
      </c>
      <c r="B14" s="20">
        <v>44996</v>
      </c>
      <c r="C14" s="14" t="s">
        <v>22</v>
      </c>
      <c r="D14" s="27">
        <v>200</v>
      </c>
      <c r="G14" s="31">
        <v>1000</v>
      </c>
      <c r="H14" s="13"/>
      <c r="I14" s="35"/>
      <c r="K14" s="35"/>
      <c r="M14" s="35"/>
      <c r="N14" s="14"/>
      <c r="O14" s="27"/>
      <c r="Q14" s="31"/>
      <c r="R14" s="13"/>
      <c r="T14" s="31"/>
      <c r="U14" s="13">
        <f>2000</f>
        <v>2000</v>
      </c>
      <c r="V14" s="31"/>
      <c r="X14" s="31"/>
      <c r="Y14" s="15"/>
    </row>
    <row r="15" spans="1:25" x14ac:dyDescent="0.25">
      <c r="A15" s="311"/>
      <c r="B15" s="20">
        <v>44997</v>
      </c>
      <c r="C15" s="14" t="s">
        <v>22</v>
      </c>
      <c r="D15" s="27"/>
      <c r="G15" s="31"/>
      <c r="H15" s="13"/>
      <c r="I15" s="35"/>
      <c r="K15" s="35"/>
      <c r="M15" s="35"/>
      <c r="N15" s="14"/>
      <c r="O15" s="27"/>
      <c r="Q15" s="31"/>
      <c r="R15" s="13"/>
      <c r="T15" s="31"/>
      <c r="U15" s="13">
        <f>490+110</f>
        <v>600</v>
      </c>
      <c r="V15" s="31">
        <v>10</v>
      </c>
      <c r="X15" s="31"/>
      <c r="Y15" s="15"/>
    </row>
    <row r="16" spans="1:25" x14ac:dyDescent="0.25">
      <c r="A16" s="311"/>
      <c r="B16" s="20">
        <v>44998</v>
      </c>
      <c r="C16" s="14" t="s">
        <v>22</v>
      </c>
      <c r="D16" s="27">
        <v>200</v>
      </c>
      <c r="G16" s="31">
        <v>1000</v>
      </c>
      <c r="H16" s="13"/>
      <c r="I16" s="35"/>
      <c r="K16" s="35"/>
      <c r="M16" s="35">
        <f>100+250</f>
        <v>350</v>
      </c>
      <c r="N16" s="14">
        <v>900</v>
      </c>
      <c r="O16" s="27"/>
      <c r="Q16" s="31"/>
      <c r="R16" s="13">
        <f>130+160</f>
        <v>290</v>
      </c>
      <c r="T16" s="31"/>
      <c r="U16" s="13"/>
      <c r="V16" s="31"/>
      <c r="X16" s="31"/>
      <c r="Y16" s="15"/>
    </row>
    <row r="17" spans="1:25" x14ac:dyDescent="0.25">
      <c r="A17" s="311"/>
      <c r="B17" s="20">
        <v>44999</v>
      </c>
      <c r="C17" s="14" t="s">
        <v>45</v>
      </c>
      <c r="D17" s="27"/>
      <c r="G17" s="31"/>
      <c r="H17" s="13"/>
      <c r="I17" s="35"/>
      <c r="K17" s="35"/>
      <c r="M17" s="35"/>
      <c r="N17" s="14"/>
      <c r="O17" s="27"/>
      <c r="P17">
        <v>1000</v>
      </c>
      <c r="Q17" s="31"/>
      <c r="R17" s="13"/>
      <c r="T17" s="31"/>
      <c r="U17" s="13"/>
      <c r="V17" s="31"/>
      <c r="X17" s="31"/>
      <c r="Y17" s="15"/>
    </row>
    <row r="18" spans="1:25" x14ac:dyDescent="0.25">
      <c r="A18" s="311"/>
      <c r="B18" s="20">
        <v>45000</v>
      </c>
      <c r="C18" s="14" t="s">
        <v>22</v>
      </c>
      <c r="D18" s="27">
        <v>2000</v>
      </c>
      <c r="G18" s="31"/>
      <c r="H18" s="13"/>
      <c r="I18" s="35"/>
      <c r="J18">
        <v>500</v>
      </c>
      <c r="K18" s="35"/>
      <c r="M18" s="35"/>
      <c r="N18" s="14"/>
      <c r="O18" s="27"/>
      <c r="Q18" s="31"/>
      <c r="R18" s="13"/>
      <c r="T18" s="31"/>
      <c r="U18" s="13"/>
      <c r="V18" s="31"/>
      <c r="X18" s="31"/>
      <c r="Y18" s="15"/>
    </row>
    <row r="19" spans="1:25" x14ac:dyDescent="0.25">
      <c r="A19" s="311"/>
      <c r="B19" s="20">
        <v>45001</v>
      </c>
      <c r="C19" s="14" t="s">
        <v>22</v>
      </c>
      <c r="D19" s="27"/>
      <c r="G19" s="31"/>
      <c r="H19" s="13">
        <v>14</v>
      </c>
      <c r="I19" s="35"/>
      <c r="K19" s="35"/>
      <c r="M19" s="35"/>
      <c r="N19" s="14"/>
      <c r="O19" s="27"/>
      <c r="Q19" s="31"/>
      <c r="R19" s="13"/>
      <c r="T19" s="31"/>
      <c r="U19" s="13">
        <f>500+350</f>
        <v>850</v>
      </c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ht="15.75" thickBot="1" x14ac:dyDescent="0.3">
      <c r="A23" s="312"/>
      <c r="B23" s="13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T23" s="31"/>
      <c r="U23" s="13"/>
      <c r="V23" s="31"/>
      <c r="X23" s="31"/>
      <c r="Y23" s="15"/>
    </row>
    <row r="24" spans="1:25" ht="21.75" thickBot="1" x14ac:dyDescent="0.3">
      <c r="A24" s="21" t="s">
        <v>23</v>
      </c>
      <c r="B24" s="22"/>
      <c r="C24" s="23"/>
      <c r="D24" s="29">
        <f t="shared" ref="D24:Y24" si="0">SUM(D4:D13)-SUM(D14:D23)</f>
        <v>17841</v>
      </c>
      <c r="E24" s="22">
        <f t="shared" si="0"/>
        <v>2670</v>
      </c>
      <c r="F24" s="24">
        <f t="shared" si="0"/>
        <v>506</v>
      </c>
      <c r="G24" s="33">
        <f t="shared" si="0"/>
        <v>1060</v>
      </c>
      <c r="H24" s="22">
        <f t="shared" si="0"/>
        <v>4452</v>
      </c>
      <c r="I24" s="37">
        <f t="shared" si="0"/>
        <v>103</v>
      </c>
      <c r="J24" s="24">
        <f t="shared" si="0"/>
        <v>225</v>
      </c>
      <c r="K24" s="37">
        <f t="shared" si="0"/>
        <v>4922</v>
      </c>
      <c r="L24" s="24">
        <f t="shared" si="0"/>
        <v>0</v>
      </c>
      <c r="M24" s="37">
        <f t="shared" si="0"/>
        <v>650</v>
      </c>
      <c r="N24" s="23">
        <f t="shared" si="0"/>
        <v>0</v>
      </c>
      <c r="O24" s="29">
        <f t="shared" si="0"/>
        <v>120</v>
      </c>
      <c r="P24" s="24">
        <f t="shared" si="0"/>
        <v>1686</v>
      </c>
      <c r="Q24" s="33">
        <f t="shared" si="0"/>
        <v>72</v>
      </c>
      <c r="R24" s="22">
        <f t="shared" si="0"/>
        <v>939</v>
      </c>
      <c r="S24" s="22">
        <f t="shared" si="0"/>
        <v>500</v>
      </c>
      <c r="T24" s="33">
        <f t="shared" si="0"/>
        <v>871</v>
      </c>
      <c r="U24" s="22">
        <f t="shared" si="0"/>
        <v>1750</v>
      </c>
      <c r="V24" s="33">
        <f t="shared" si="0"/>
        <v>4305</v>
      </c>
      <c r="W24" s="22">
        <f t="shared" si="0"/>
        <v>1800</v>
      </c>
      <c r="X24" s="33">
        <f t="shared" si="0"/>
        <v>280</v>
      </c>
      <c r="Y24" s="25">
        <f t="shared" si="0"/>
        <v>43</v>
      </c>
    </row>
    <row r="26" spans="1:25" x14ac:dyDescent="0.25">
      <c r="D26">
        <f>D24*0.34+(12341*0.01)</f>
        <v>6189.35</v>
      </c>
      <c r="E26">
        <f>+E24*0.4</f>
        <v>1068</v>
      </c>
      <c r="F26">
        <f>+F24*0.38</f>
        <v>192.28</v>
      </c>
      <c r="G26">
        <f>+G24*0.45</f>
        <v>477</v>
      </c>
      <c r="H26">
        <f>+H24*0.54+(1952*0.05)</f>
        <v>2501.6800000000003</v>
      </c>
      <c r="I26">
        <f>+I24*0.6</f>
        <v>61.8</v>
      </c>
      <c r="J26" s="50">
        <f>+J24*0.87</f>
        <v>195.75</v>
      </c>
      <c r="K26">
        <f>+K24*0.7</f>
        <v>3445.3999999999996</v>
      </c>
      <c r="L26">
        <f>+L24*0.66</f>
        <v>0</v>
      </c>
      <c r="M26">
        <f>+M24*0.64</f>
        <v>416</v>
      </c>
      <c r="N26">
        <f>+N24*0.55</f>
        <v>0</v>
      </c>
      <c r="O26">
        <f>+O24*2.22</f>
        <v>266.40000000000003</v>
      </c>
      <c r="P26">
        <f>+P24*1.7+(486*0.05)</f>
        <v>2890.5</v>
      </c>
      <c r="Q26">
        <f>+Q24*2.26</f>
        <v>162.71999999999997</v>
      </c>
      <c r="R26">
        <f>+R24*1.85</f>
        <v>1737.15</v>
      </c>
      <c r="S26">
        <f>+S24*2.47</f>
        <v>1235</v>
      </c>
      <c r="T26">
        <f>+T24*2.36</f>
        <v>2055.56</v>
      </c>
      <c r="U26">
        <f>+U24*0.42</f>
        <v>735</v>
      </c>
      <c r="V26">
        <f>+V24*0.32</f>
        <v>1377.6000000000001</v>
      </c>
      <c r="W26">
        <f>+W24*2+(400*0.3)</f>
        <v>3720</v>
      </c>
      <c r="X26">
        <f>+X24*0.8</f>
        <v>224</v>
      </c>
      <c r="Y26">
        <f>+Y24*2</f>
        <v>86</v>
      </c>
    </row>
    <row r="28" spans="1:25" x14ac:dyDescent="0.25">
      <c r="Y28">
        <f>SUM(D26:Y26)</f>
        <v>29037.190000000002</v>
      </c>
    </row>
    <row r="30" spans="1:25" x14ac:dyDescent="0.25">
      <c r="D30" s="58">
        <v>16908</v>
      </c>
      <c r="E30" s="58">
        <v>2667</v>
      </c>
      <c r="F30" s="58">
        <v>497</v>
      </c>
      <c r="G30" s="58">
        <v>1046</v>
      </c>
      <c r="H30" s="58">
        <v>4520</v>
      </c>
      <c r="I30" s="58"/>
      <c r="J30" s="58">
        <v>265</v>
      </c>
      <c r="K30" s="58">
        <v>4906</v>
      </c>
      <c r="L30" s="58"/>
      <c r="M30" s="58">
        <v>636</v>
      </c>
      <c r="N30" s="58"/>
      <c r="O30" s="58">
        <v>120</v>
      </c>
      <c r="P30" s="58">
        <v>1675</v>
      </c>
      <c r="Q30" s="58">
        <v>71</v>
      </c>
      <c r="R30" s="58">
        <v>800</v>
      </c>
      <c r="S30" s="58">
        <v>500</v>
      </c>
      <c r="T30" s="58">
        <v>870</v>
      </c>
      <c r="U30" s="58">
        <f>1580+155</f>
        <v>1735</v>
      </c>
      <c r="V30" s="58">
        <v>4290</v>
      </c>
      <c r="W30" s="58">
        <v>1800</v>
      </c>
      <c r="X30" s="58">
        <v>280</v>
      </c>
      <c r="Y30" s="58">
        <v>43</v>
      </c>
    </row>
    <row r="32" spans="1:25" x14ac:dyDescent="0.25">
      <c r="C32" t="s">
        <v>49</v>
      </c>
      <c r="D32">
        <f>D30-D24</f>
        <v>-933</v>
      </c>
      <c r="E32">
        <f t="shared" ref="E32:Y32" si="1">E30-E24</f>
        <v>-3</v>
      </c>
      <c r="F32">
        <f t="shared" si="1"/>
        <v>-9</v>
      </c>
      <c r="G32">
        <f t="shared" si="1"/>
        <v>-14</v>
      </c>
      <c r="H32">
        <f>H30-H24</f>
        <v>68</v>
      </c>
      <c r="I32">
        <f t="shared" si="1"/>
        <v>-103</v>
      </c>
      <c r="J32">
        <f t="shared" si="1"/>
        <v>40</v>
      </c>
      <c r="K32">
        <f t="shared" si="1"/>
        <v>-16</v>
      </c>
      <c r="L32">
        <f t="shared" si="1"/>
        <v>0</v>
      </c>
      <c r="M32">
        <f t="shared" si="1"/>
        <v>-14</v>
      </c>
      <c r="N32">
        <f t="shared" si="1"/>
        <v>0</v>
      </c>
      <c r="O32">
        <f t="shared" si="1"/>
        <v>0</v>
      </c>
      <c r="P32">
        <f>P30-P24</f>
        <v>-11</v>
      </c>
      <c r="Q32">
        <f t="shared" si="1"/>
        <v>-1</v>
      </c>
      <c r="R32">
        <f t="shared" si="1"/>
        <v>-139</v>
      </c>
      <c r="S32">
        <f t="shared" si="1"/>
        <v>0</v>
      </c>
      <c r="T32">
        <f t="shared" si="1"/>
        <v>-1</v>
      </c>
      <c r="U32">
        <f>U30-U24</f>
        <v>-15</v>
      </c>
      <c r="V32">
        <f t="shared" si="1"/>
        <v>-15</v>
      </c>
      <c r="W32">
        <f t="shared" si="1"/>
        <v>0</v>
      </c>
      <c r="X32">
        <f t="shared" si="1"/>
        <v>0</v>
      </c>
      <c r="Y32">
        <f t="shared" si="1"/>
        <v>0</v>
      </c>
    </row>
    <row r="33" spans="3:25" x14ac:dyDescent="0.25">
      <c r="C33" t="s">
        <v>57</v>
      </c>
      <c r="D33">
        <v>0.35</v>
      </c>
      <c r="E33">
        <v>0.4</v>
      </c>
      <c r="F33">
        <v>0.38</v>
      </c>
      <c r="G33">
        <v>0.45</v>
      </c>
      <c r="H33">
        <v>0.54</v>
      </c>
      <c r="I33">
        <v>0.6</v>
      </c>
      <c r="J33">
        <v>0.87</v>
      </c>
      <c r="K33">
        <v>0.7</v>
      </c>
      <c r="M33">
        <v>0.64</v>
      </c>
      <c r="P33">
        <v>1.75</v>
      </c>
      <c r="Q33">
        <v>2.2599999999999998</v>
      </c>
      <c r="R33">
        <v>1.85</v>
      </c>
      <c r="T33">
        <v>2.36</v>
      </c>
      <c r="U33">
        <v>0.42</v>
      </c>
      <c r="V33">
        <v>0.32</v>
      </c>
    </row>
    <row r="35" spans="3:25" x14ac:dyDescent="0.25">
      <c r="D35" s="59">
        <f>D32*D33</f>
        <v>-326.54999999999995</v>
      </c>
      <c r="E35" s="59">
        <f t="shared" ref="E35:Y35" si="2">E32*E33</f>
        <v>-1.2000000000000002</v>
      </c>
      <c r="F35" s="59">
        <f t="shared" si="2"/>
        <v>-3.42</v>
      </c>
      <c r="G35" s="59">
        <f t="shared" si="2"/>
        <v>-6.3</v>
      </c>
      <c r="H35" s="59">
        <f t="shared" si="2"/>
        <v>36.72</v>
      </c>
      <c r="I35" s="59">
        <f t="shared" si="2"/>
        <v>-61.8</v>
      </c>
      <c r="J35" s="59">
        <f t="shared" si="2"/>
        <v>34.799999999999997</v>
      </c>
      <c r="K35" s="59">
        <f t="shared" si="2"/>
        <v>-11.2</v>
      </c>
      <c r="L35" s="59">
        <f t="shared" si="2"/>
        <v>0</v>
      </c>
      <c r="M35" s="59">
        <f t="shared" si="2"/>
        <v>-8.9600000000000009</v>
      </c>
      <c r="N35" s="59">
        <f t="shared" si="2"/>
        <v>0</v>
      </c>
      <c r="O35" s="59">
        <f t="shared" si="2"/>
        <v>0</v>
      </c>
      <c r="P35" s="59">
        <f t="shared" si="2"/>
        <v>-19.25</v>
      </c>
      <c r="Q35" s="59">
        <f t="shared" si="2"/>
        <v>-2.2599999999999998</v>
      </c>
      <c r="R35" s="59">
        <f t="shared" si="2"/>
        <v>-257.15000000000003</v>
      </c>
      <c r="S35" s="59">
        <f t="shared" si="2"/>
        <v>0</v>
      </c>
      <c r="T35" s="59">
        <f t="shared" si="2"/>
        <v>-2.36</v>
      </c>
      <c r="U35" s="59">
        <f t="shared" si="2"/>
        <v>-6.3</v>
      </c>
      <c r="V35" s="59">
        <f t="shared" si="2"/>
        <v>-4.8</v>
      </c>
      <c r="W35" s="59">
        <f t="shared" si="2"/>
        <v>0</v>
      </c>
      <c r="X35" s="59">
        <f t="shared" si="2"/>
        <v>0</v>
      </c>
      <c r="Y35" s="59">
        <f t="shared" si="2"/>
        <v>0</v>
      </c>
    </row>
    <row r="36" spans="3:25" x14ac:dyDescent="0.25">
      <c r="Y36">
        <f>SUM(D35:Y35)</f>
        <v>-640.02999999999986</v>
      </c>
    </row>
    <row r="37" spans="3:25" x14ac:dyDescent="0.25">
      <c r="Y37">
        <f>Y28+Y36</f>
        <v>28397.160000000003</v>
      </c>
    </row>
  </sheetData>
  <mergeCells count="7">
    <mergeCell ref="U2:V2"/>
    <mergeCell ref="A4:A13"/>
    <mergeCell ref="A14:A23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BA6A-6AB1-4ACC-927C-193CB60116A8}">
  <dimension ref="A1:Y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5" sqref="J5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v>16908</v>
      </c>
      <c r="E4" s="42">
        <v>2667</v>
      </c>
      <c r="F4" s="42">
        <v>497</v>
      </c>
      <c r="G4" s="42">
        <v>1046</v>
      </c>
      <c r="H4" s="42">
        <v>4520</v>
      </c>
      <c r="I4" s="42">
        <v>0</v>
      </c>
      <c r="J4" s="42">
        <v>265</v>
      </c>
      <c r="K4" s="42">
        <v>4906</v>
      </c>
      <c r="L4" s="42">
        <v>0</v>
      </c>
      <c r="M4" s="42">
        <v>636</v>
      </c>
      <c r="N4" s="42">
        <v>0</v>
      </c>
      <c r="O4" s="42">
        <v>120</v>
      </c>
      <c r="P4" s="42">
        <v>1675</v>
      </c>
      <c r="Q4" s="42">
        <v>71</v>
      </c>
      <c r="R4" s="42">
        <v>800</v>
      </c>
      <c r="S4" s="42">
        <v>500</v>
      </c>
      <c r="T4" s="42">
        <v>870</v>
      </c>
      <c r="U4" s="42">
        <v>1735</v>
      </c>
      <c r="V4" s="42">
        <v>4290</v>
      </c>
      <c r="W4" s="42">
        <v>1800</v>
      </c>
      <c r="X4" s="42">
        <v>280</v>
      </c>
      <c r="Y4" s="42">
        <v>43</v>
      </c>
    </row>
    <row r="5" spans="1:25" x14ac:dyDescent="0.25">
      <c r="A5" s="311"/>
      <c r="B5" s="20">
        <v>45369</v>
      </c>
      <c r="C5" s="14" t="s">
        <v>46</v>
      </c>
      <c r="D5" s="27"/>
      <c r="G5" s="31"/>
      <c r="H5" s="13"/>
      <c r="I5" s="35"/>
      <c r="J5">
        <v>3000</v>
      </c>
      <c r="K5" s="35"/>
      <c r="M5" s="35"/>
      <c r="N5" s="14"/>
      <c r="O5" s="27"/>
      <c r="Q5" s="31"/>
      <c r="R5" s="13"/>
      <c r="T5" s="31"/>
      <c r="U5" s="13"/>
      <c r="V5" s="31"/>
      <c r="X5" s="31"/>
      <c r="Y5" s="15"/>
    </row>
    <row r="6" spans="1:25" x14ac:dyDescent="0.25">
      <c r="A6" s="311"/>
      <c r="B6" s="20">
        <v>45369</v>
      </c>
      <c r="C6" s="14" t="s">
        <v>27</v>
      </c>
      <c r="D6" s="27"/>
      <c r="G6" s="31"/>
      <c r="H6" s="13"/>
      <c r="I6" s="35"/>
      <c r="K6" s="35"/>
      <c r="M6" s="35"/>
      <c r="N6" s="14"/>
      <c r="O6" s="27"/>
      <c r="Q6" s="31"/>
      <c r="R6" s="13">
        <v>500</v>
      </c>
      <c r="T6" s="31"/>
      <c r="U6" s="13"/>
      <c r="V6" s="31"/>
      <c r="X6" s="31"/>
      <c r="Y6" s="15"/>
    </row>
    <row r="7" spans="1:25" x14ac:dyDescent="0.25">
      <c r="A7" s="311"/>
      <c r="B7" s="20">
        <v>45370</v>
      </c>
      <c r="C7" s="14" t="s">
        <v>46</v>
      </c>
      <c r="D7" s="27"/>
      <c r="G7" s="31"/>
      <c r="H7" s="13"/>
      <c r="I7" s="35"/>
      <c r="K7" s="35"/>
      <c r="M7" s="35"/>
      <c r="N7" s="14"/>
      <c r="O7" s="27"/>
      <c r="Q7" s="31"/>
      <c r="R7" s="13"/>
      <c r="T7" s="31"/>
      <c r="U7" s="13">
        <v>3000</v>
      </c>
      <c r="V7" s="31"/>
      <c r="X7" s="31"/>
      <c r="Y7" s="15"/>
    </row>
    <row r="8" spans="1:25" x14ac:dyDescent="0.25">
      <c r="A8" s="311"/>
      <c r="B8" s="20">
        <v>45372</v>
      </c>
      <c r="C8" s="14" t="s">
        <v>46</v>
      </c>
      <c r="D8" s="27"/>
      <c r="G8" s="31">
        <v>2000</v>
      </c>
      <c r="H8" s="13"/>
      <c r="I8" s="35"/>
      <c r="K8" s="35"/>
      <c r="M8" s="35"/>
      <c r="N8" s="14"/>
      <c r="O8" s="27"/>
      <c r="Q8" s="31"/>
      <c r="R8" s="13"/>
      <c r="T8" s="31"/>
      <c r="U8" s="13">
        <v>300</v>
      </c>
      <c r="V8" s="31"/>
      <c r="X8" s="31"/>
      <c r="Y8" s="15"/>
    </row>
    <row r="9" spans="1:25" x14ac:dyDescent="0.25">
      <c r="A9" s="311"/>
      <c r="B9" s="20">
        <v>45373</v>
      </c>
      <c r="C9" s="14" t="s">
        <v>46</v>
      </c>
      <c r="D9" s="27"/>
      <c r="G9" s="31"/>
      <c r="H9" s="13"/>
      <c r="I9" s="35"/>
      <c r="K9" s="35"/>
      <c r="M9" s="35"/>
      <c r="N9" s="14">
        <v>2000</v>
      </c>
      <c r="O9" s="27"/>
      <c r="Q9" s="31"/>
      <c r="R9" s="13"/>
      <c r="T9" s="31"/>
      <c r="U9" s="13"/>
      <c r="V9" s="31"/>
      <c r="X9" s="31"/>
      <c r="Y9" s="15"/>
    </row>
    <row r="10" spans="1:25" x14ac:dyDescent="0.25">
      <c r="A10" s="311"/>
      <c r="B10" s="20"/>
      <c r="C10" s="14"/>
      <c r="D10" s="27"/>
      <c r="G10" s="31"/>
      <c r="H10" s="13"/>
      <c r="I10" s="35"/>
      <c r="K10" s="35"/>
      <c r="M10" s="35"/>
      <c r="N10" s="14"/>
      <c r="O10" s="27"/>
      <c r="Q10" s="31"/>
      <c r="R10" s="13"/>
      <c r="T10" s="31"/>
      <c r="U10" s="13"/>
      <c r="V10" s="31"/>
      <c r="X10" s="31"/>
      <c r="Y10" s="15"/>
    </row>
    <row r="11" spans="1:25" ht="15.75" thickBot="1" x14ac:dyDescent="0.3">
      <c r="A11" s="312"/>
      <c r="B11" s="16"/>
      <c r="C11" s="17"/>
      <c r="D11" s="28"/>
      <c r="E11" s="18"/>
      <c r="F11" s="18"/>
      <c r="G11" s="32"/>
      <c r="H11" s="16"/>
      <c r="I11" s="36"/>
      <c r="J11" s="18"/>
      <c r="K11" s="36"/>
      <c r="L11" s="18"/>
      <c r="M11" s="36"/>
      <c r="N11" s="17"/>
      <c r="O11" s="28"/>
      <c r="P11" s="18"/>
      <c r="Q11" s="32"/>
      <c r="R11" s="16"/>
      <c r="S11" s="18"/>
      <c r="T11" s="32"/>
      <c r="U11" s="16"/>
      <c r="V11" s="32"/>
      <c r="W11" s="18"/>
      <c r="X11" s="32"/>
      <c r="Y11" s="19"/>
    </row>
    <row r="12" spans="1:25" x14ac:dyDescent="0.25">
      <c r="A12" s="310" t="s">
        <v>21</v>
      </c>
      <c r="B12" s="20">
        <v>45368</v>
      </c>
      <c r="C12" s="14" t="s">
        <v>22</v>
      </c>
      <c r="D12" s="27"/>
      <c r="G12" s="31"/>
      <c r="H12" s="13"/>
      <c r="I12" s="35"/>
      <c r="K12" s="35"/>
      <c r="M12" s="35"/>
      <c r="N12" s="14"/>
      <c r="O12" s="27"/>
      <c r="P12">
        <f>6+115</f>
        <v>121</v>
      </c>
      <c r="Q12" s="31"/>
      <c r="R12" s="13"/>
      <c r="T12" s="31"/>
      <c r="U12" s="13"/>
      <c r="V12" s="31">
        <v>25</v>
      </c>
      <c r="X12" s="31"/>
      <c r="Y12" s="15"/>
    </row>
    <row r="13" spans="1:25" x14ac:dyDescent="0.25">
      <c r="A13" s="311"/>
      <c r="B13" s="20">
        <v>45369</v>
      </c>
      <c r="C13" s="14" t="s">
        <v>22</v>
      </c>
      <c r="D13" s="27"/>
      <c r="G13" s="31">
        <v>1000</v>
      </c>
      <c r="H13" s="13"/>
      <c r="I13" s="35"/>
      <c r="K13" s="35"/>
      <c r="M13" s="35"/>
      <c r="N13" s="14"/>
      <c r="O13" s="27"/>
      <c r="P13">
        <v>130</v>
      </c>
      <c r="Q13" s="31"/>
      <c r="R13" s="13"/>
      <c r="T13" s="31"/>
      <c r="U13" s="13"/>
      <c r="V13" s="31">
        <v>240</v>
      </c>
      <c r="X13" s="31"/>
      <c r="Y13" s="15"/>
    </row>
    <row r="14" spans="1:25" x14ac:dyDescent="0.25">
      <c r="A14" s="311"/>
      <c r="B14" s="20">
        <v>45369</v>
      </c>
      <c r="C14" s="14" t="s">
        <v>45</v>
      </c>
      <c r="D14" s="27"/>
      <c r="G14" s="31"/>
      <c r="H14" s="13"/>
      <c r="I14" s="35"/>
      <c r="K14" s="35"/>
      <c r="M14" s="35"/>
      <c r="N14" s="14"/>
      <c r="O14" s="27"/>
      <c r="Q14" s="31"/>
      <c r="R14" s="13"/>
      <c r="T14" s="31"/>
      <c r="U14" s="13"/>
      <c r="V14" s="31">
        <v>1000</v>
      </c>
      <c r="X14" s="31"/>
      <c r="Y14" s="15"/>
    </row>
    <row r="15" spans="1:25" x14ac:dyDescent="0.25">
      <c r="A15" s="311"/>
      <c r="B15" s="20">
        <v>45370</v>
      </c>
      <c r="C15" s="14" t="s">
        <v>22</v>
      </c>
      <c r="D15" s="27">
        <v>1000</v>
      </c>
      <c r="G15" s="31"/>
      <c r="H15" s="13"/>
      <c r="I15" s="35"/>
      <c r="K15" s="35"/>
      <c r="M15" s="35"/>
      <c r="N15" s="14"/>
      <c r="O15" s="27"/>
      <c r="Q15" s="31"/>
      <c r="R15" s="13"/>
      <c r="T15" s="31"/>
      <c r="U15" s="13">
        <v>1000</v>
      </c>
      <c r="V15" s="31"/>
      <c r="X15" s="31"/>
      <c r="Y15" s="15"/>
    </row>
    <row r="16" spans="1:25" x14ac:dyDescent="0.25">
      <c r="A16" s="311"/>
      <c r="B16" s="20">
        <v>45371</v>
      </c>
      <c r="C16" s="14" t="s">
        <v>45</v>
      </c>
      <c r="D16" s="27"/>
      <c r="G16" s="31"/>
      <c r="H16" s="13"/>
      <c r="I16" s="35"/>
      <c r="K16" s="35"/>
      <c r="M16" s="35"/>
      <c r="N16" s="14"/>
      <c r="O16" s="27"/>
      <c r="Q16" s="31"/>
      <c r="R16" s="13"/>
      <c r="T16" s="31"/>
      <c r="U16" s="13"/>
      <c r="V16" s="31"/>
      <c r="W16">
        <v>500</v>
      </c>
      <c r="X16" s="31"/>
      <c r="Y16" s="15"/>
    </row>
    <row r="17" spans="1:25" x14ac:dyDescent="0.25">
      <c r="A17" s="311"/>
      <c r="B17" s="20">
        <v>45371</v>
      </c>
      <c r="C17" s="14" t="s">
        <v>22</v>
      </c>
      <c r="D17" s="27">
        <v>500</v>
      </c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X17" s="31"/>
      <c r="Y17" s="15"/>
    </row>
    <row r="18" spans="1:25" x14ac:dyDescent="0.25">
      <c r="A18" s="311"/>
      <c r="B18" s="20">
        <v>45372</v>
      </c>
      <c r="C18" s="14" t="s">
        <v>22</v>
      </c>
      <c r="D18" s="27">
        <v>760</v>
      </c>
      <c r="G18" s="31"/>
      <c r="H18" s="13"/>
      <c r="I18" s="35"/>
      <c r="K18" s="35"/>
      <c r="M18" s="35"/>
      <c r="N18" s="14"/>
      <c r="O18" s="27"/>
      <c r="P18">
        <v>96</v>
      </c>
      <c r="Q18" s="31"/>
      <c r="R18" s="13"/>
      <c r="T18" s="31"/>
      <c r="U18" s="13"/>
      <c r="V18" s="31"/>
      <c r="X18" s="31"/>
      <c r="Y18" s="15"/>
    </row>
    <row r="19" spans="1:25" x14ac:dyDescent="0.25">
      <c r="A19" s="311"/>
      <c r="B19" s="20">
        <v>45373</v>
      </c>
      <c r="C19" s="14" t="s">
        <v>22</v>
      </c>
      <c r="D19" s="27"/>
      <c r="G19" s="31">
        <v>500</v>
      </c>
      <c r="H19" s="13"/>
      <c r="I19" s="35"/>
      <c r="K19" s="35"/>
      <c r="M19" s="35"/>
      <c r="N19" s="14"/>
      <c r="O19" s="27"/>
      <c r="Q19" s="31"/>
      <c r="R19" s="13">
        <v>750</v>
      </c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ht="15.75" thickBot="1" x14ac:dyDescent="0.3">
      <c r="A21" s="312"/>
      <c r="B21" s="13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ht="21.75" thickBot="1" x14ac:dyDescent="0.3">
      <c r="A22" s="21" t="s">
        <v>23</v>
      </c>
      <c r="B22" s="22"/>
      <c r="C22" s="23"/>
      <c r="D22" s="29">
        <f t="shared" ref="D22:Y22" si="0">SUM(D4:D11)-SUM(D12:D21)</f>
        <v>14648</v>
      </c>
      <c r="E22" s="22">
        <f t="shared" si="0"/>
        <v>2667</v>
      </c>
      <c r="F22" s="24">
        <f t="shared" si="0"/>
        <v>497</v>
      </c>
      <c r="G22" s="33">
        <f t="shared" si="0"/>
        <v>1546</v>
      </c>
      <c r="H22" s="22">
        <f t="shared" si="0"/>
        <v>4520</v>
      </c>
      <c r="I22" s="37">
        <f t="shared" si="0"/>
        <v>0</v>
      </c>
      <c r="J22" s="24">
        <f t="shared" si="0"/>
        <v>3265</v>
      </c>
      <c r="K22" s="37">
        <f t="shared" si="0"/>
        <v>4906</v>
      </c>
      <c r="L22" s="24">
        <f t="shared" si="0"/>
        <v>0</v>
      </c>
      <c r="M22" s="37">
        <f t="shared" si="0"/>
        <v>636</v>
      </c>
      <c r="N22" s="23">
        <f t="shared" si="0"/>
        <v>2000</v>
      </c>
      <c r="O22" s="29">
        <f t="shared" si="0"/>
        <v>120</v>
      </c>
      <c r="P22" s="24">
        <f t="shared" si="0"/>
        <v>1328</v>
      </c>
      <c r="Q22" s="33">
        <f t="shared" si="0"/>
        <v>71</v>
      </c>
      <c r="R22" s="22">
        <f t="shared" si="0"/>
        <v>550</v>
      </c>
      <c r="S22" s="22">
        <f t="shared" si="0"/>
        <v>500</v>
      </c>
      <c r="T22" s="33">
        <f t="shared" si="0"/>
        <v>870</v>
      </c>
      <c r="U22" s="22">
        <f t="shared" si="0"/>
        <v>4035</v>
      </c>
      <c r="V22" s="33">
        <f t="shared" si="0"/>
        <v>3025</v>
      </c>
      <c r="W22" s="22">
        <f t="shared" si="0"/>
        <v>1300</v>
      </c>
      <c r="X22" s="33">
        <f t="shared" si="0"/>
        <v>280</v>
      </c>
      <c r="Y22" s="25">
        <f t="shared" si="0"/>
        <v>43</v>
      </c>
    </row>
    <row r="24" spans="1:25" x14ac:dyDescent="0.25">
      <c r="D24">
        <f>D22*0.34+(9148*0.01)</f>
        <v>5071.8</v>
      </c>
      <c r="E24">
        <f>+E22*0.4</f>
        <v>1066.8</v>
      </c>
      <c r="F24">
        <f>+F22*0.38</f>
        <v>188.86</v>
      </c>
      <c r="G24">
        <f>+G22*0.43</f>
        <v>664.78</v>
      </c>
      <c r="H24">
        <f>+H22*0.54+(1952*0.05)</f>
        <v>2538.4</v>
      </c>
      <c r="I24">
        <f>+I22*0.6</f>
        <v>0</v>
      </c>
      <c r="J24" s="50">
        <f>+J22*0.85+(265*0.02)</f>
        <v>2780.55</v>
      </c>
      <c r="K24">
        <f>+K22*0.7</f>
        <v>3434.2</v>
      </c>
      <c r="L24">
        <f>+L22*0.66</f>
        <v>0</v>
      </c>
      <c r="M24">
        <f>+M22*0.64</f>
        <v>407.04</v>
      </c>
      <c r="N24">
        <f>+N22*0.53</f>
        <v>1060</v>
      </c>
      <c r="O24">
        <f>+O22*2.22</f>
        <v>266.40000000000003</v>
      </c>
      <c r="P24">
        <f>+P22*1.7+(128*0.05)</f>
        <v>2264</v>
      </c>
      <c r="Q24">
        <f>+Q22*2.26</f>
        <v>160.45999999999998</v>
      </c>
      <c r="R24">
        <f>+R22*1.8+(50*0.05)</f>
        <v>992.5</v>
      </c>
      <c r="S24">
        <f>+S22*2.47</f>
        <v>1235</v>
      </c>
      <c r="T24">
        <f>+T22*2.36</f>
        <v>2053.1999999999998</v>
      </c>
      <c r="U24">
        <f>+U22*0.42</f>
        <v>1694.7</v>
      </c>
      <c r="V24">
        <f>+V22*0.32</f>
        <v>968</v>
      </c>
      <c r="W24">
        <f>+W22*2</f>
        <v>2600</v>
      </c>
      <c r="X24">
        <f>+X22*0.8</f>
        <v>224</v>
      </c>
      <c r="Y24">
        <f>+Y22*2</f>
        <v>86</v>
      </c>
    </row>
    <row r="26" spans="1:25" x14ac:dyDescent="0.25">
      <c r="Y26">
        <f>SUM(D24:Y24)</f>
        <v>29756.690000000002</v>
      </c>
    </row>
    <row r="31" spans="1:25" x14ac:dyDescent="0.25">
      <c r="T31">
        <v>4</v>
      </c>
      <c r="W31">
        <f>75*3</f>
        <v>225</v>
      </c>
    </row>
    <row r="32" spans="1:25" x14ac:dyDescent="0.25">
      <c r="C32" s="60">
        <f>20.5/1.18</f>
        <v>17.372881355932204</v>
      </c>
      <c r="T32">
        <v>3</v>
      </c>
    </row>
    <row r="33" spans="17:20" x14ac:dyDescent="0.25">
      <c r="T33">
        <v>31</v>
      </c>
    </row>
    <row r="34" spans="17:20" x14ac:dyDescent="0.25">
      <c r="Q34">
        <f>170+116+3000</f>
        <v>3286</v>
      </c>
      <c r="T34">
        <v>10</v>
      </c>
    </row>
  </sheetData>
  <mergeCells count="7">
    <mergeCell ref="U2:V2"/>
    <mergeCell ref="A4:A11"/>
    <mergeCell ref="A12:A21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7FFB-3090-4A4E-A438-AEA193E5A34A}">
  <dimension ref="A1:Y33"/>
  <sheetViews>
    <sheetView view="pageBreakPreview"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27" sqref="Q27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17 a 023'!D22</f>
        <v>14648</v>
      </c>
      <c r="E4" s="42">
        <f>'STOCK 17 a 023'!E22</f>
        <v>2667</v>
      </c>
      <c r="F4" s="42">
        <f>'STOCK 17 a 023'!F22</f>
        <v>497</v>
      </c>
      <c r="G4" s="42">
        <f>'STOCK 17 a 023'!G22</f>
        <v>1546</v>
      </c>
      <c r="H4" s="42">
        <f>'STOCK 17 a 023'!H22</f>
        <v>4520</v>
      </c>
      <c r="I4" s="42">
        <f>'STOCK 17 a 023'!I22</f>
        <v>0</v>
      </c>
      <c r="J4" s="42">
        <f>'STOCK 17 a 023'!J22</f>
        <v>3265</v>
      </c>
      <c r="K4" s="42">
        <f>'STOCK 17 a 023'!K22</f>
        <v>4906</v>
      </c>
      <c r="L4" s="42">
        <f>'STOCK 17 a 023'!L22</f>
        <v>0</v>
      </c>
      <c r="M4" s="42">
        <f>'STOCK 17 a 023'!M22</f>
        <v>636</v>
      </c>
      <c r="N4" s="42">
        <f>'STOCK 17 a 023'!N22</f>
        <v>2000</v>
      </c>
      <c r="O4" s="42">
        <f>'STOCK 17 a 023'!O22</f>
        <v>120</v>
      </c>
      <c r="P4" s="42">
        <f>'STOCK 17 a 023'!P22</f>
        <v>1328</v>
      </c>
      <c r="Q4" s="42">
        <f>'STOCK 17 a 023'!Q22</f>
        <v>71</v>
      </c>
      <c r="R4" s="42">
        <f>'STOCK 17 a 023'!R22</f>
        <v>550</v>
      </c>
      <c r="S4" s="42">
        <f>'STOCK 17 a 023'!S22</f>
        <v>500</v>
      </c>
      <c r="T4" s="42">
        <f>'STOCK 17 a 023'!T22</f>
        <v>870</v>
      </c>
      <c r="U4" s="42">
        <f>'STOCK 17 a 023'!U22</f>
        <v>4035</v>
      </c>
      <c r="V4" s="42">
        <f>'STOCK 17 a 023'!V22</f>
        <v>3025</v>
      </c>
      <c r="W4" s="42">
        <f>'STOCK 17 a 023'!W22</f>
        <v>1300</v>
      </c>
      <c r="X4" s="42">
        <f>'STOCK 17 a 023'!X22</f>
        <v>280</v>
      </c>
      <c r="Y4" s="42">
        <f>'STOCK 17 a 023'!Y22</f>
        <v>43</v>
      </c>
    </row>
    <row r="5" spans="1:25" x14ac:dyDescent="0.25">
      <c r="A5" s="311"/>
      <c r="B5" s="20">
        <v>45377</v>
      </c>
      <c r="C5" s="14" t="s">
        <v>27</v>
      </c>
      <c r="D5" s="27"/>
      <c r="G5" s="31"/>
      <c r="H5" s="13"/>
      <c r="I5" s="35"/>
      <c r="K5" s="35"/>
      <c r="M5" s="35"/>
      <c r="N5" s="14"/>
      <c r="O5" s="27"/>
      <c r="Q5" s="31"/>
      <c r="R5" s="13">
        <v>1000</v>
      </c>
      <c r="T5" s="31"/>
      <c r="U5" s="13"/>
      <c r="V5" s="31"/>
      <c r="X5" s="31"/>
      <c r="Y5" s="15"/>
    </row>
    <row r="6" spans="1:25" x14ac:dyDescent="0.25">
      <c r="A6" s="311"/>
      <c r="B6" s="20"/>
      <c r="C6" s="14"/>
      <c r="D6" s="27"/>
      <c r="G6" s="31"/>
      <c r="H6" s="13"/>
      <c r="I6" s="35"/>
      <c r="K6" s="35"/>
      <c r="M6" s="35"/>
      <c r="N6" s="14"/>
      <c r="O6" s="27"/>
      <c r="Q6" s="31"/>
      <c r="R6" s="13"/>
      <c r="T6" s="31"/>
      <c r="U6" s="13"/>
      <c r="V6" s="31"/>
      <c r="X6" s="31"/>
      <c r="Y6" s="15"/>
    </row>
    <row r="7" spans="1:25" x14ac:dyDescent="0.25">
      <c r="A7" s="311"/>
      <c r="B7" s="20"/>
      <c r="C7" s="14"/>
      <c r="D7" s="27"/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/>
      <c r="X7" s="31"/>
      <c r="Y7" s="15"/>
    </row>
    <row r="8" spans="1:25" ht="15.75" thickBot="1" x14ac:dyDescent="0.3">
      <c r="A8" s="312"/>
      <c r="B8" s="16"/>
      <c r="C8" s="17"/>
      <c r="D8" s="28"/>
      <c r="E8" s="18"/>
      <c r="F8" s="18"/>
      <c r="G8" s="32"/>
      <c r="H8" s="16"/>
      <c r="I8" s="36"/>
      <c r="J8" s="18"/>
      <c r="K8" s="36"/>
      <c r="L8" s="18"/>
      <c r="M8" s="36"/>
      <c r="N8" s="17"/>
      <c r="O8" s="28"/>
      <c r="P8" s="18"/>
      <c r="Q8" s="32"/>
      <c r="R8" s="16"/>
      <c r="S8" s="18"/>
      <c r="T8" s="32"/>
      <c r="U8" s="16"/>
      <c r="V8" s="32"/>
      <c r="W8" s="18"/>
      <c r="X8" s="32"/>
      <c r="Y8" s="19"/>
    </row>
    <row r="9" spans="1:25" x14ac:dyDescent="0.25">
      <c r="A9" s="310" t="s">
        <v>21</v>
      </c>
      <c r="B9" s="20">
        <v>45375</v>
      </c>
      <c r="C9" s="14" t="s">
        <v>22</v>
      </c>
      <c r="D9" s="27"/>
      <c r="G9" s="31"/>
      <c r="H9" s="13"/>
      <c r="I9" s="35"/>
      <c r="K9" s="35"/>
      <c r="M9" s="35"/>
      <c r="N9" s="14">
        <v>600</v>
      </c>
      <c r="O9" s="27"/>
      <c r="Q9" s="31"/>
      <c r="R9" s="13"/>
      <c r="T9" s="31"/>
      <c r="U9" s="13"/>
      <c r="V9" s="31">
        <v>20</v>
      </c>
      <c r="X9" s="31"/>
      <c r="Y9" s="15"/>
    </row>
    <row r="10" spans="1:25" x14ac:dyDescent="0.25">
      <c r="A10" s="311"/>
      <c r="B10" s="20">
        <v>45376</v>
      </c>
      <c r="C10" s="14" t="s">
        <v>22</v>
      </c>
      <c r="D10" s="27"/>
      <c r="G10" s="31"/>
      <c r="H10" s="13"/>
      <c r="I10" s="35"/>
      <c r="K10" s="35"/>
      <c r="M10" s="35"/>
      <c r="N10" s="14"/>
      <c r="O10" s="27"/>
      <c r="P10">
        <v>50</v>
      </c>
      <c r="Q10" s="31"/>
      <c r="R10" s="13">
        <v>300</v>
      </c>
      <c r="T10" s="31"/>
      <c r="U10" s="13"/>
      <c r="V10" s="31"/>
      <c r="X10" s="31"/>
      <c r="Y10" s="15"/>
    </row>
    <row r="11" spans="1:25" x14ac:dyDescent="0.25">
      <c r="A11" s="311"/>
      <c r="B11" s="20">
        <v>45376</v>
      </c>
      <c r="C11" s="14" t="s">
        <v>45</v>
      </c>
      <c r="D11" s="27"/>
      <c r="G11" s="31"/>
      <c r="H11" s="13"/>
      <c r="I11" s="35"/>
      <c r="J11">
        <v>1600</v>
      </c>
      <c r="K11" s="35"/>
      <c r="M11" s="35"/>
      <c r="N11" s="14"/>
      <c r="O11" s="27"/>
      <c r="Q11" s="31"/>
      <c r="R11" s="13"/>
      <c r="T11" s="31"/>
      <c r="U11" s="13"/>
      <c r="V11" s="31"/>
      <c r="X11" s="31"/>
      <c r="Y11" s="15"/>
    </row>
    <row r="12" spans="1:25" x14ac:dyDescent="0.25">
      <c r="A12" s="311"/>
      <c r="B12" s="20">
        <v>45377</v>
      </c>
      <c r="C12" s="14" t="s">
        <v>22</v>
      </c>
      <c r="D12" s="27"/>
      <c r="G12" s="31"/>
      <c r="H12" s="13"/>
      <c r="I12" s="35"/>
      <c r="K12" s="35"/>
      <c r="M12" s="35"/>
      <c r="N12" s="14"/>
      <c r="O12" s="27"/>
      <c r="P12">
        <v>100</v>
      </c>
      <c r="Q12" s="31"/>
      <c r="R12" s="13">
        <v>90</v>
      </c>
      <c r="T12" s="31"/>
      <c r="U12" s="13">
        <v>100</v>
      </c>
      <c r="V12" s="31">
        <v>70</v>
      </c>
      <c r="X12" s="31"/>
      <c r="Y12" s="15"/>
    </row>
    <row r="13" spans="1:25" x14ac:dyDescent="0.25">
      <c r="A13" s="311"/>
      <c r="B13" s="20">
        <v>45378</v>
      </c>
      <c r="C13" s="14" t="s">
        <v>22</v>
      </c>
      <c r="D13" s="27">
        <v>1500</v>
      </c>
      <c r="G13" s="31"/>
      <c r="H13" s="13"/>
      <c r="I13" s="35"/>
      <c r="K13" s="35">
        <v>1000</v>
      </c>
      <c r="M13" s="35"/>
      <c r="N13" s="14">
        <v>1000</v>
      </c>
      <c r="O13" s="27"/>
      <c r="Q13" s="31"/>
      <c r="R13" s="13"/>
      <c r="T13" s="31"/>
      <c r="U13" s="13">
        <v>600</v>
      </c>
      <c r="V13" s="31">
        <v>30</v>
      </c>
      <c r="X13" s="31"/>
      <c r="Y13" s="15"/>
    </row>
    <row r="14" spans="1:25" x14ac:dyDescent="0.25">
      <c r="A14" s="311"/>
      <c r="B14" s="20">
        <v>45379</v>
      </c>
      <c r="C14" s="14" t="s">
        <v>22</v>
      </c>
      <c r="D14" s="27">
        <f>5000+500</f>
        <v>5500</v>
      </c>
      <c r="G14" s="31"/>
      <c r="H14" s="13">
        <v>500</v>
      </c>
      <c r="I14" s="35"/>
      <c r="K14" s="35"/>
      <c r="M14" s="35"/>
      <c r="N14" s="14"/>
      <c r="O14" s="27"/>
      <c r="Q14" s="31"/>
      <c r="R14" s="13"/>
      <c r="T14" s="31"/>
      <c r="U14" s="13"/>
      <c r="V14" s="31"/>
      <c r="X14" s="31"/>
      <c r="Y14" s="15"/>
    </row>
    <row r="15" spans="1:25" x14ac:dyDescent="0.25">
      <c r="A15" s="311"/>
      <c r="B15" s="20">
        <v>45381</v>
      </c>
      <c r="C15" s="14" t="s">
        <v>22</v>
      </c>
      <c r="D15" s="27"/>
      <c r="F15">
        <f>50+24</f>
        <v>74</v>
      </c>
      <c r="G15" s="31"/>
      <c r="H15" s="13"/>
      <c r="I15" s="35"/>
      <c r="K15" s="35"/>
      <c r="M15" s="35"/>
      <c r="N15" s="14"/>
      <c r="O15" s="27"/>
      <c r="Q15" s="31"/>
      <c r="R15" s="13">
        <v>40</v>
      </c>
      <c r="T15" s="31"/>
      <c r="U15" s="13"/>
      <c r="V15" s="31">
        <f>1000+600+10+40</f>
        <v>1650</v>
      </c>
      <c r="X15" s="31"/>
      <c r="Y15" s="15"/>
    </row>
    <row r="16" spans="1:25" x14ac:dyDescent="0.25">
      <c r="A16" s="311"/>
      <c r="B16" s="20"/>
      <c r="C16" s="14"/>
      <c r="D16" s="27"/>
      <c r="G16" s="31"/>
      <c r="H16" s="13"/>
      <c r="I16" s="35"/>
      <c r="K16" s="35"/>
      <c r="M16" s="35"/>
      <c r="N16" s="14"/>
      <c r="O16" s="27"/>
      <c r="Q16" s="31"/>
      <c r="R16" s="13"/>
      <c r="T16" s="31"/>
      <c r="U16" s="13"/>
      <c r="V16" s="31"/>
      <c r="X16" s="31"/>
      <c r="Y16" s="15"/>
    </row>
    <row r="17" spans="1:25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X17" s="31"/>
      <c r="Y17" s="15"/>
    </row>
    <row r="18" spans="1:25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/>
      <c r="V18" s="31"/>
      <c r="X18" s="31"/>
      <c r="Y18" s="15"/>
    </row>
    <row r="19" spans="1:25" ht="15.75" thickBot="1" x14ac:dyDescent="0.3">
      <c r="A19" s="312"/>
      <c r="B19" s="13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ht="21.75" thickBot="1" x14ac:dyDescent="0.3">
      <c r="A20" s="21" t="s">
        <v>23</v>
      </c>
      <c r="B20" s="22"/>
      <c r="C20" s="23"/>
      <c r="D20" s="29">
        <f t="shared" ref="D20:Y20" si="0">SUM(D4:D8)-SUM(D9:D19)</f>
        <v>7648</v>
      </c>
      <c r="E20" s="22">
        <f t="shared" si="0"/>
        <v>2667</v>
      </c>
      <c r="F20" s="24">
        <f t="shared" si="0"/>
        <v>423</v>
      </c>
      <c r="G20" s="33">
        <f t="shared" si="0"/>
        <v>1546</v>
      </c>
      <c r="H20" s="22">
        <f t="shared" si="0"/>
        <v>4020</v>
      </c>
      <c r="I20" s="37">
        <f t="shared" si="0"/>
        <v>0</v>
      </c>
      <c r="J20" s="24">
        <f t="shared" si="0"/>
        <v>1665</v>
      </c>
      <c r="K20" s="37">
        <f t="shared" si="0"/>
        <v>3906</v>
      </c>
      <c r="L20" s="24">
        <f t="shared" si="0"/>
        <v>0</v>
      </c>
      <c r="M20" s="37">
        <f t="shared" si="0"/>
        <v>636</v>
      </c>
      <c r="N20" s="23">
        <f t="shared" si="0"/>
        <v>400</v>
      </c>
      <c r="O20" s="29">
        <f t="shared" si="0"/>
        <v>120</v>
      </c>
      <c r="P20" s="24">
        <f t="shared" si="0"/>
        <v>1178</v>
      </c>
      <c r="Q20" s="33">
        <f t="shared" si="0"/>
        <v>71</v>
      </c>
      <c r="R20" s="22">
        <f t="shared" si="0"/>
        <v>1120</v>
      </c>
      <c r="S20" s="22">
        <f t="shared" si="0"/>
        <v>500</v>
      </c>
      <c r="T20" s="33">
        <f t="shared" si="0"/>
        <v>870</v>
      </c>
      <c r="U20" s="22">
        <f t="shared" si="0"/>
        <v>3335</v>
      </c>
      <c r="V20" s="33">
        <f t="shared" si="0"/>
        <v>1255</v>
      </c>
      <c r="W20" s="22">
        <f t="shared" si="0"/>
        <v>1300</v>
      </c>
      <c r="X20" s="33">
        <f t="shared" si="0"/>
        <v>280</v>
      </c>
      <c r="Y20" s="25">
        <f t="shared" si="0"/>
        <v>43</v>
      </c>
    </row>
    <row r="22" spans="1:25" x14ac:dyDescent="0.25">
      <c r="D22">
        <f>D20*0.33</f>
        <v>2523.84</v>
      </c>
      <c r="E22">
        <f>+E20*0.4</f>
        <v>1066.8</v>
      </c>
      <c r="F22">
        <f>+F20*0.38</f>
        <v>160.74</v>
      </c>
      <c r="G22">
        <f>+G20*0.43</f>
        <v>664.78</v>
      </c>
      <c r="H22">
        <f>+H20*0.54</f>
        <v>2170.8000000000002</v>
      </c>
      <c r="I22">
        <f>+I20*0.6</f>
        <v>0</v>
      </c>
      <c r="J22" s="50">
        <f>+J20*0.85</f>
        <v>1415.25</v>
      </c>
      <c r="K22">
        <f>+K20*0.7</f>
        <v>2734.2</v>
      </c>
      <c r="L22">
        <f>+L20*0.66</f>
        <v>0</v>
      </c>
      <c r="M22">
        <f>+M20*0.64</f>
        <v>407.04</v>
      </c>
      <c r="N22">
        <f>+N20*0.53</f>
        <v>212</v>
      </c>
      <c r="O22">
        <f>+O20*2.22</f>
        <v>266.40000000000003</v>
      </c>
      <c r="P22">
        <f>+P20*1.7</f>
        <v>2002.6</v>
      </c>
      <c r="Q22">
        <f>+Q20*2.26</f>
        <v>160.45999999999998</v>
      </c>
      <c r="R22">
        <f>+R20*1.8</f>
        <v>2016</v>
      </c>
      <c r="S22">
        <f>+S20*2.47</f>
        <v>1235</v>
      </c>
      <c r="T22">
        <f>+T20*2.36</f>
        <v>2053.1999999999998</v>
      </c>
      <c r="U22">
        <f>+U20*0.42</f>
        <v>1400.7</v>
      </c>
      <c r="V22">
        <f>+V20*0.32</f>
        <v>401.6</v>
      </c>
      <c r="W22">
        <f>+W20*2</f>
        <v>2600</v>
      </c>
      <c r="X22">
        <f>+X20*0.8</f>
        <v>224</v>
      </c>
      <c r="Y22">
        <f>+Y20*2</f>
        <v>86</v>
      </c>
    </row>
    <row r="24" spans="1:25" x14ac:dyDescent="0.25">
      <c r="D24">
        <v>4833.84</v>
      </c>
      <c r="H24">
        <v>2440.8000000000002</v>
      </c>
      <c r="J24">
        <v>2775.25</v>
      </c>
      <c r="P24">
        <v>2002.6</v>
      </c>
      <c r="R24">
        <v>288</v>
      </c>
      <c r="Y24">
        <f>SUM(D22:Y22)</f>
        <v>23801.41</v>
      </c>
    </row>
    <row r="25" spans="1:25" x14ac:dyDescent="0.25">
      <c r="D25" s="61">
        <f>9148*0.02+5500*0.01</f>
        <v>237.96</v>
      </c>
      <c r="E25" s="61"/>
      <c r="F25" s="61"/>
      <c r="G25" s="61"/>
      <c r="H25" s="61">
        <f>1952*0.05</f>
        <v>97.600000000000009</v>
      </c>
      <c r="I25" s="61"/>
      <c r="J25" s="61">
        <f>265*0.02</f>
        <v>5.3</v>
      </c>
      <c r="K25" s="61"/>
      <c r="L25" s="61"/>
      <c r="M25" s="61"/>
      <c r="N25" s="61"/>
      <c r="O25" s="61"/>
      <c r="P25" s="61">
        <f>128*0.05</f>
        <v>6.4</v>
      </c>
      <c r="Q25" s="61"/>
      <c r="R25" s="61">
        <f>50*0.05</f>
        <v>2.5</v>
      </c>
    </row>
    <row r="26" spans="1:25" x14ac:dyDescent="0.25">
      <c r="D26">
        <v>5071.8</v>
      </c>
      <c r="H26">
        <v>2538.4</v>
      </c>
      <c r="J26">
        <v>2780.55</v>
      </c>
      <c r="P26">
        <v>2009</v>
      </c>
      <c r="R26">
        <v>290.5</v>
      </c>
    </row>
    <row r="27" spans="1:25" ht="15.75" thickBot="1" x14ac:dyDescent="0.3"/>
    <row r="28" spans="1:25" x14ac:dyDescent="0.25">
      <c r="C28" s="63" t="s">
        <v>49</v>
      </c>
      <c r="D28" s="64">
        <v>8110</v>
      </c>
      <c r="E28" s="64">
        <v>2267</v>
      </c>
      <c r="F28" s="64">
        <v>418</v>
      </c>
      <c r="G28" s="64">
        <v>1510</v>
      </c>
      <c r="H28" s="64">
        <v>4017</v>
      </c>
      <c r="I28" s="64"/>
      <c r="J28" s="64">
        <v>1610</v>
      </c>
      <c r="K28" s="64">
        <v>3906</v>
      </c>
      <c r="L28" s="64"/>
      <c r="M28" s="64">
        <v>638</v>
      </c>
      <c r="N28" s="64">
        <v>455</v>
      </c>
      <c r="O28" s="64">
        <v>120</v>
      </c>
      <c r="P28" s="64">
        <v>1180</v>
      </c>
      <c r="Q28" s="64">
        <v>71</v>
      </c>
      <c r="R28" s="64">
        <v>1111</v>
      </c>
      <c r="S28" s="64">
        <v>500</v>
      </c>
      <c r="T28" s="64">
        <v>870</v>
      </c>
      <c r="U28" s="64">
        <v>3339</v>
      </c>
      <c r="V28" s="64">
        <v>1267</v>
      </c>
      <c r="W28" s="64">
        <v>1300</v>
      </c>
      <c r="X28" s="64">
        <v>280</v>
      </c>
      <c r="Y28" s="65">
        <v>43</v>
      </c>
    </row>
    <row r="29" spans="1:25" x14ac:dyDescent="0.25">
      <c r="C29" s="13"/>
      <c r="Y29" s="14"/>
    </row>
    <row r="30" spans="1:25" x14ac:dyDescent="0.25">
      <c r="C30" s="66" t="s">
        <v>59</v>
      </c>
      <c r="D30" s="56">
        <v>462</v>
      </c>
      <c r="E30" s="56">
        <v>-400</v>
      </c>
      <c r="F30" s="56">
        <v>-5</v>
      </c>
      <c r="G30" s="56">
        <v>-36</v>
      </c>
      <c r="H30" s="56">
        <v>-3</v>
      </c>
      <c r="I30" s="56">
        <v>0</v>
      </c>
      <c r="J30" s="56">
        <v>-55</v>
      </c>
      <c r="K30" s="56">
        <v>0</v>
      </c>
      <c r="L30" s="56">
        <v>0</v>
      </c>
      <c r="M30" s="56">
        <v>2</v>
      </c>
      <c r="N30" s="56">
        <v>55</v>
      </c>
      <c r="O30" s="56">
        <v>0</v>
      </c>
      <c r="P30" s="56">
        <v>2</v>
      </c>
      <c r="Q30" s="56">
        <v>0</v>
      </c>
      <c r="R30" s="56">
        <v>-9</v>
      </c>
      <c r="S30" s="56">
        <v>0</v>
      </c>
      <c r="T30" s="56">
        <v>0</v>
      </c>
      <c r="U30" s="56">
        <v>4</v>
      </c>
      <c r="V30" s="56">
        <v>12</v>
      </c>
      <c r="W30" s="56">
        <v>0</v>
      </c>
      <c r="X30" s="56">
        <v>0</v>
      </c>
      <c r="Y30" s="67">
        <v>0</v>
      </c>
    </row>
    <row r="31" spans="1:25" x14ac:dyDescent="0.25">
      <c r="C31" s="62"/>
      <c r="Y31" s="14"/>
    </row>
    <row r="32" spans="1:25" ht="15.75" thickBot="1" x14ac:dyDescent="0.3">
      <c r="C32" s="68" t="s">
        <v>58</v>
      </c>
      <c r="D32" s="69">
        <v>152.46</v>
      </c>
      <c r="E32" s="69">
        <v>-160</v>
      </c>
      <c r="F32" s="69">
        <v>-1.9</v>
      </c>
      <c r="G32" s="69">
        <v>-15.48</v>
      </c>
      <c r="H32" s="69">
        <v>-1.62</v>
      </c>
      <c r="I32" s="69"/>
      <c r="J32" s="69">
        <v>-46.75</v>
      </c>
      <c r="K32" s="69"/>
      <c r="L32" s="69"/>
      <c r="M32" s="69">
        <v>1.28</v>
      </c>
      <c r="N32" s="69">
        <v>29.150000000000002</v>
      </c>
      <c r="O32" s="69"/>
      <c r="P32" s="69">
        <v>3.4</v>
      </c>
      <c r="Q32" s="69"/>
      <c r="R32" s="69">
        <v>-16.2</v>
      </c>
      <c r="S32" s="69"/>
      <c r="T32" s="69"/>
      <c r="U32" s="69">
        <v>1.68</v>
      </c>
      <c r="V32" s="69">
        <v>3.84</v>
      </c>
      <c r="W32" s="69"/>
      <c r="X32" s="69"/>
      <c r="Y32" s="70">
        <f>SUM(D32:X32)</f>
        <v>-50.139999999999986</v>
      </c>
    </row>
    <row r="33" spans="24:25" x14ac:dyDescent="0.25">
      <c r="X33" t="s">
        <v>60</v>
      </c>
      <c r="Y33" s="47">
        <f>Y24+Y32</f>
        <v>23751.27</v>
      </c>
    </row>
  </sheetData>
  <mergeCells count="7">
    <mergeCell ref="U2:V2"/>
    <mergeCell ref="A4:A8"/>
    <mergeCell ref="A9:A19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EB23-1593-4445-8714-766E568BB7F5}">
  <dimension ref="A1:Y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26" sqref="K26:W26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24 a 030'!D28</f>
        <v>8110</v>
      </c>
      <c r="E4" s="42">
        <f>'STOCK 24 a 030'!E28</f>
        <v>2267</v>
      </c>
      <c r="F4" s="42">
        <f>'STOCK 24 a 030'!F28</f>
        <v>418</v>
      </c>
      <c r="G4" s="42">
        <f>'STOCK 24 a 030'!G28</f>
        <v>1510</v>
      </c>
      <c r="H4" s="42">
        <f>'STOCK 24 a 030'!H28</f>
        <v>4017</v>
      </c>
      <c r="I4" s="42">
        <f>'STOCK 24 a 030'!I28</f>
        <v>0</v>
      </c>
      <c r="J4" s="42">
        <f>'STOCK 24 a 030'!J28</f>
        <v>1610</v>
      </c>
      <c r="K4" s="42">
        <f>'STOCK 24 a 030'!K28</f>
        <v>3906</v>
      </c>
      <c r="L4" s="42">
        <f>'STOCK 24 a 030'!L28</f>
        <v>0</v>
      </c>
      <c r="M4" s="42">
        <f>'STOCK 24 a 030'!M28</f>
        <v>638</v>
      </c>
      <c r="N4" s="42">
        <f>'STOCK 24 a 030'!N28</f>
        <v>455</v>
      </c>
      <c r="O4" s="42">
        <f>'STOCK 24 a 030'!O28</f>
        <v>120</v>
      </c>
      <c r="P4" s="42">
        <f>'STOCK 24 a 030'!P28</f>
        <v>1180</v>
      </c>
      <c r="Q4" s="42">
        <f>'STOCK 24 a 030'!Q28</f>
        <v>71</v>
      </c>
      <c r="R4" s="42">
        <f>'STOCK 24 a 030'!R28</f>
        <v>1111</v>
      </c>
      <c r="S4" s="42">
        <f>'STOCK 24 a 030'!S28</f>
        <v>500</v>
      </c>
      <c r="T4" s="42">
        <f>'STOCK 24 a 030'!T28</f>
        <v>870</v>
      </c>
      <c r="U4" s="42">
        <f>'STOCK 24 a 030'!U28</f>
        <v>3339</v>
      </c>
      <c r="V4" s="42">
        <f>'STOCK 24 a 030'!V28</f>
        <v>1267</v>
      </c>
      <c r="W4" s="42">
        <f>'STOCK 24 a 030'!W28</f>
        <v>1300</v>
      </c>
      <c r="X4" s="42">
        <f>'STOCK 24 a 030'!X28</f>
        <v>280</v>
      </c>
      <c r="Y4" s="42">
        <f>'STOCK 24 a 030'!Y28</f>
        <v>43</v>
      </c>
    </row>
    <row r="5" spans="1:25" x14ac:dyDescent="0.25">
      <c r="A5" s="311"/>
      <c r="B5" s="20">
        <v>45384</v>
      </c>
      <c r="C5" s="14" t="s">
        <v>55</v>
      </c>
      <c r="D5" s="27"/>
      <c r="G5" s="31"/>
      <c r="H5" s="13"/>
      <c r="I5" s="35"/>
      <c r="K5" s="35"/>
      <c r="M5" s="35"/>
      <c r="N5" s="14"/>
      <c r="O5" s="27"/>
      <c r="Q5" s="31"/>
      <c r="R5" s="13"/>
      <c r="T5" s="31"/>
      <c r="U5" s="13"/>
      <c r="V5" s="31">
        <v>4000</v>
      </c>
      <c r="X5" s="31"/>
      <c r="Y5" s="15"/>
    </row>
    <row r="6" spans="1:25" x14ac:dyDescent="0.25">
      <c r="A6" s="311"/>
      <c r="B6" s="20">
        <v>45386</v>
      </c>
      <c r="C6" s="14" t="s">
        <v>55</v>
      </c>
      <c r="D6" s="27"/>
      <c r="G6" s="31"/>
      <c r="H6" s="13"/>
      <c r="I6" s="35"/>
      <c r="K6" s="35"/>
      <c r="M6" s="35"/>
      <c r="N6" s="14"/>
      <c r="O6" s="27"/>
      <c r="Q6" s="31"/>
      <c r="R6" s="13"/>
      <c r="T6" s="31"/>
      <c r="U6" s="13"/>
      <c r="V6" s="31"/>
      <c r="W6">
        <v>1500</v>
      </c>
      <c r="X6" s="31"/>
      <c r="Y6" s="15"/>
    </row>
    <row r="7" spans="1:25" x14ac:dyDescent="0.25">
      <c r="A7" s="311"/>
      <c r="B7" s="20">
        <v>45386</v>
      </c>
      <c r="C7" s="14" t="s">
        <v>27</v>
      </c>
      <c r="D7" s="27"/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/>
      <c r="W7">
        <v>1000</v>
      </c>
      <c r="X7" s="31"/>
      <c r="Y7" s="15"/>
    </row>
    <row r="8" spans="1:25" x14ac:dyDescent="0.25">
      <c r="A8" s="311"/>
      <c r="B8" s="20">
        <v>45387</v>
      </c>
      <c r="C8" s="14" t="s">
        <v>27</v>
      </c>
      <c r="D8" s="27"/>
      <c r="G8" s="31"/>
      <c r="H8" s="13"/>
      <c r="I8" s="35"/>
      <c r="K8" s="35">
        <v>1500</v>
      </c>
      <c r="M8" s="35"/>
      <c r="N8" s="14"/>
      <c r="O8" s="27"/>
      <c r="Q8" s="31">
        <v>537</v>
      </c>
      <c r="R8" s="13"/>
      <c r="T8" s="31"/>
      <c r="U8" s="13"/>
      <c r="V8" s="31"/>
      <c r="X8" s="31"/>
      <c r="Y8" s="15"/>
    </row>
    <row r="9" spans="1:25" x14ac:dyDescent="0.25">
      <c r="A9" s="311"/>
      <c r="B9" s="20">
        <v>45387</v>
      </c>
      <c r="C9" s="14" t="s">
        <v>55</v>
      </c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>
        <v>3300</v>
      </c>
      <c r="V9" s="31"/>
      <c r="X9" s="31"/>
      <c r="Y9" s="15"/>
    </row>
    <row r="10" spans="1:25" ht="15.75" thickBot="1" x14ac:dyDescent="0.3">
      <c r="A10" s="312"/>
      <c r="B10" s="20">
        <v>45388</v>
      </c>
      <c r="C10" s="17" t="s">
        <v>55</v>
      </c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>
        <v>5000</v>
      </c>
      <c r="W10" s="18"/>
      <c r="X10" s="32"/>
      <c r="Y10" s="19"/>
    </row>
    <row r="11" spans="1:25" x14ac:dyDescent="0.25">
      <c r="A11" s="310" t="s">
        <v>21</v>
      </c>
      <c r="B11" s="20">
        <v>45383</v>
      </c>
      <c r="C11" s="14" t="s">
        <v>22</v>
      </c>
      <c r="D11" s="27">
        <v>1000</v>
      </c>
      <c r="G11" s="31"/>
      <c r="H11" s="13"/>
      <c r="I11" s="35"/>
      <c r="K11" s="35"/>
      <c r="M11" s="35">
        <v>633</v>
      </c>
      <c r="N11" s="14"/>
      <c r="O11" s="27"/>
      <c r="Q11" s="31"/>
      <c r="R11" s="13"/>
      <c r="T11" s="31"/>
      <c r="U11" s="13"/>
      <c r="V11" s="31">
        <v>1000</v>
      </c>
      <c r="X11" s="31"/>
      <c r="Y11" s="15"/>
    </row>
    <row r="12" spans="1:25" x14ac:dyDescent="0.25">
      <c r="A12" s="311"/>
      <c r="B12" s="20">
        <v>45384</v>
      </c>
      <c r="C12" s="14" t="s">
        <v>22</v>
      </c>
      <c r="D12" s="27"/>
      <c r="G12" s="31"/>
      <c r="H12" s="13"/>
      <c r="I12" s="35"/>
      <c r="K12" s="35"/>
      <c r="M12" s="35"/>
      <c r="N12" s="14"/>
      <c r="O12" s="27"/>
      <c r="Q12" s="31"/>
      <c r="R12" s="13"/>
      <c r="T12" s="31"/>
      <c r="U12" s="13"/>
      <c r="V12" s="31">
        <v>2000</v>
      </c>
      <c r="X12" s="31"/>
      <c r="Y12" s="15"/>
    </row>
    <row r="13" spans="1:25" x14ac:dyDescent="0.25">
      <c r="A13" s="311"/>
      <c r="B13" s="20">
        <v>45385</v>
      </c>
      <c r="C13" s="14" t="s">
        <v>45</v>
      </c>
      <c r="D13" s="27">
        <v>2000</v>
      </c>
      <c r="G13" s="31"/>
      <c r="H13" s="13"/>
      <c r="I13" s="35"/>
      <c r="J13">
        <v>1000</v>
      </c>
      <c r="K13" s="35"/>
      <c r="M13" s="35"/>
      <c r="N13" s="14"/>
      <c r="O13" s="27"/>
      <c r="Q13" s="31"/>
      <c r="R13" s="13"/>
      <c r="T13" s="31"/>
      <c r="U13" s="13"/>
      <c r="V13" s="31"/>
      <c r="X13" s="31"/>
      <c r="Y13" s="15"/>
    </row>
    <row r="14" spans="1:25" x14ac:dyDescent="0.25">
      <c r="A14" s="311"/>
      <c r="B14" s="20">
        <v>45386</v>
      </c>
      <c r="C14" s="14" t="s">
        <v>22</v>
      </c>
      <c r="D14" s="27">
        <v>100</v>
      </c>
      <c r="G14" s="31"/>
      <c r="H14" s="13"/>
      <c r="I14" s="35"/>
      <c r="K14" s="35"/>
      <c r="M14" s="35"/>
      <c r="N14" s="14"/>
      <c r="O14" s="27"/>
      <c r="P14">
        <v>30</v>
      </c>
      <c r="Q14" s="31">
        <v>70</v>
      </c>
      <c r="R14" s="13"/>
      <c r="T14" s="31"/>
      <c r="U14" s="13"/>
      <c r="V14" s="31"/>
      <c r="X14" s="31"/>
      <c r="Y14" s="15"/>
    </row>
    <row r="15" spans="1:25" x14ac:dyDescent="0.25">
      <c r="A15" s="311"/>
      <c r="B15" s="20">
        <v>45387</v>
      </c>
      <c r="C15" s="14" t="s">
        <v>22</v>
      </c>
      <c r="D15" s="27">
        <f>500+500</f>
        <v>1000</v>
      </c>
      <c r="G15" s="31"/>
      <c r="H15" s="13"/>
      <c r="I15" s="35"/>
      <c r="K15" s="35"/>
      <c r="M15" s="35"/>
      <c r="N15" s="14"/>
      <c r="O15" s="27"/>
      <c r="Q15" s="31"/>
      <c r="R15" s="13"/>
      <c r="T15" s="31"/>
      <c r="U15" s="13"/>
      <c r="V15" s="31"/>
      <c r="X15" s="31"/>
      <c r="Y15" s="15"/>
    </row>
    <row r="16" spans="1:25" x14ac:dyDescent="0.25">
      <c r="A16" s="311"/>
      <c r="B16" s="20">
        <v>45388</v>
      </c>
      <c r="C16" s="14" t="s">
        <v>22</v>
      </c>
      <c r="D16" s="27"/>
      <c r="G16" s="31"/>
      <c r="H16" s="13"/>
      <c r="I16" s="35"/>
      <c r="K16" s="35"/>
      <c r="M16" s="35"/>
      <c r="N16" s="14"/>
      <c r="O16" s="27"/>
      <c r="Q16" s="31"/>
      <c r="R16" s="13"/>
      <c r="T16" s="31"/>
      <c r="U16" s="13"/>
      <c r="V16" s="31">
        <v>20</v>
      </c>
      <c r="X16" s="31"/>
      <c r="Y16" s="15"/>
    </row>
    <row r="17" spans="1:25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X17" s="31"/>
      <c r="Y17" s="15"/>
    </row>
    <row r="18" spans="1:25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/>
      <c r="V18" s="31"/>
      <c r="X18" s="31"/>
      <c r="Y18" s="15"/>
    </row>
    <row r="19" spans="1:25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ht="15.75" thickBot="1" x14ac:dyDescent="0.3">
      <c r="A21" s="312"/>
      <c r="B21" s="13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ht="21.75" thickBot="1" x14ac:dyDescent="0.3">
      <c r="A22" s="21" t="s">
        <v>23</v>
      </c>
      <c r="B22" s="22"/>
      <c r="C22" s="23"/>
      <c r="D22" s="29">
        <f t="shared" ref="D22:Y22" si="0">SUM(D4:D10)-SUM(D11:D21)</f>
        <v>4010</v>
      </c>
      <c r="E22" s="22">
        <f t="shared" si="0"/>
        <v>2267</v>
      </c>
      <c r="F22" s="24">
        <f t="shared" si="0"/>
        <v>418</v>
      </c>
      <c r="G22" s="33">
        <f t="shared" si="0"/>
        <v>1510</v>
      </c>
      <c r="H22" s="22">
        <f t="shared" si="0"/>
        <v>4017</v>
      </c>
      <c r="I22" s="37">
        <f t="shared" si="0"/>
        <v>0</v>
      </c>
      <c r="J22" s="24">
        <f t="shared" si="0"/>
        <v>610</v>
      </c>
      <c r="K22" s="37">
        <f t="shared" si="0"/>
        <v>5406</v>
      </c>
      <c r="L22" s="24">
        <f t="shared" si="0"/>
        <v>0</v>
      </c>
      <c r="M22" s="37">
        <f t="shared" si="0"/>
        <v>5</v>
      </c>
      <c r="N22" s="23">
        <f t="shared" si="0"/>
        <v>455</v>
      </c>
      <c r="O22" s="29">
        <f t="shared" si="0"/>
        <v>120</v>
      </c>
      <c r="P22" s="24">
        <f t="shared" si="0"/>
        <v>1150</v>
      </c>
      <c r="Q22" s="33">
        <f t="shared" si="0"/>
        <v>538</v>
      </c>
      <c r="R22" s="22">
        <f t="shared" si="0"/>
        <v>1111</v>
      </c>
      <c r="S22" s="22">
        <f t="shared" si="0"/>
        <v>500</v>
      </c>
      <c r="T22" s="33">
        <f>SUM(T4:T10)-SUM(T11:T21)</f>
        <v>870</v>
      </c>
      <c r="U22" s="22">
        <f t="shared" si="0"/>
        <v>6639</v>
      </c>
      <c r="V22" s="33">
        <f t="shared" si="0"/>
        <v>7247</v>
      </c>
      <c r="W22" s="22">
        <f>SUM(W4:W10)-SUM(W11:W21)</f>
        <v>3800</v>
      </c>
      <c r="X22" s="33">
        <f t="shared" si="0"/>
        <v>280</v>
      </c>
      <c r="Y22" s="25">
        <f t="shared" si="0"/>
        <v>43</v>
      </c>
    </row>
    <row r="24" spans="1:25" x14ac:dyDescent="0.25">
      <c r="D24">
        <f>D22*0.33</f>
        <v>1323.3</v>
      </c>
      <c r="E24">
        <f>+E22*0.4</f>
        <v>906.80000000000007</v>
      </c>
      <c r="F24">
        <f>+F22*0.38</f>
        <v>158.84</v>
      </c>
      <c r="G24">
        <f>+G22*0.43</f>
        <v>649.29999999999995</v>
      </c>
      <c r="H24">
        <f>+H22*0.54</f>
        <v>2169.1800000000003</v>
      </c>
      <c r="I24">
        <f>+I22*0.6</f>
        <v>0</v>
      </c>
      <c r="J24" s="50">
        <f>+J22*0.85</f>
        <v>518.5</v>
      </c>
      <c r="K24">
        <f>+K22*0.66+(3906*0.04)</f>
        <v>3724.2</v>
      </c>
      <c r="L24">
        <f>+L22*0.66</f>
        <v>0</v>
      </c>
      <c r="M24">
        <f>+M22*0.64</f>
        <v>3.2</v>
      </c>
      <c r="N24">
        <f>+N22*0.53</f>
        <v>241.15</v>
      </c>
      <c r="O24">
        <f>+O22*2.22</f>
        <v>266.40000000000003</v>
      </c>
      <c r="P24">
        <f>+P22*1.7</f>
        <v>1955</v>
      </c>
      <c r="Q24">
        <f>+Q22*2.1+0.16</f>
        <v>1129.96</v>
      </c>
      <c r="R24">
        <f>+R22*1.8</f>
        <v>1999.8</v>
      </c>
      <c r="S24">
        <f>+S22*2.47</f>
        <v>1235</v>
      </c>
      <c r="T24">
        <f>+T22*2.36</f>
        <v>2053.1999999999998</v>
      </c>
      <c r="U24">
        <f>+U22*0.42</f>
        <v>2788.38</v>
      </c>
      <c r="V24">
        <f>+V22*0.32</f>
        <v>2319.04</v>
      </c>
      <c r="W24" s="50">
        <f>+W22*1.638157895</f>
        <v>6225.0000010000003</v>
      </c>
      <c r="X24">
        <f>+X22*0.8</f>
        <v>224</v>
      </c>
      <c r="Y24">
        <f>+Y22*2</f>
        <v>86</v>
      </c>
    </row>
    <row r="26" spans="1:25" x14ac:dyDescent="0.25">
      <c r="D26" s="61"/>
      <c r="E26" s="61"/>
      <c r="F26" s="61"/>
      <c r="G26" s="61"/>
      <c r="H26" s="61"/>
      <c r="I26" s="61"/>
      <c r="J26" s="61"/>
      <c r="K26" s="61">
        <f>3906*0.04</f>
        <v>156.24</v>
      </c>
      <c r="L26" s="61"/>
      <c r="M26" s="61"/>
      <c r="N26" s="61"/>
      <c r="O26" s="61"/>
      <c r="P26" s="61"/>
      <c r="Q26" s="61">
        <v>2.2599999999999998</v>
      </c>
      <c r="R26" s="61"/>
      <c r="S26" s="61"/>
      <c r="T26" s="61">
        <f>870*0.16</f>
        <v>139.20000000000002</v>
      </c>
      <c r="U26" s="61"/>
      <c r="V26" s="61"/>
      <c r="W26" s="61"/>
      <c r="Y26">
        <f>SUM(D24:Y24)</f>
        <v>29976.250001</v>
      </c>
    </row>
    <row r="27" spans="1:25" x14ac:dyDescent="0.25">
      <c r="W27">
        <f>SUM(D26:W26)</f>
        <v>297.70000000000005</v>
      </c>
    </row>
    <row r="31" spans="1:25" x14ac:dyDescent="0.25">
      <c r="I31" t="s">
        <v>61</v>
      </c>
      <c r="W31">
        <f>1300*2</f>
        <v>2600</v>
      </c>
    </row>
    <row r="32" spans="1:25" x14ac:dyDescent="0.25">
      <c r="C32" s="60"/>
      <c r="W32">
        <f>2500*1.45</f>
        <v>3625</v>
      </c>
    </row>
    <row r="33" spans="23:23" x14ac:dyDescent="0.25">
      <c r="W33">
        <f>SUM(W31:W32)</f>
        <v>6225</v>
      </c>
    </row>
    <row r="34" spans="23:23" x14ac:dyDescent="0.25">
      <c r="W34">
        <f>W33/3800</f>
        <v>1.638157894736842</v>
      </c>
    </row>
  </sheetData>
  <mergeCells count="7">
    <mergeCell ref="U2:V2"/>
    <mergeCell ref="A4:A10"/>
    <mergeCell ref="A11:A21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A495-AED4-4A4E-B6BF-3AF303733557}">
  <dimension ref="A1:Y40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4" sqref="D34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7.570312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31 a 006'!D22</f>
        <v>4010</v>
      </c>
      <c r="E4" s="42">
        <f>'STOCK 31 a 006'!E22</f>
        <v>2267</v>
      </c>
      <c r="F4" s="42">
        <f>'STOCK 31 a 006'!F22</f>
        <v>418</v>
      </c>
      <c r="G4" s="42">
        <f>'STOCK 31 a 006'!G22</f>
        <v>1510</v>
      </c>
      <c r="H4" s="42">
        <f>'STOCK 31 a 006'!H22</f>
        <v>4017</v>
      </c>
      <c r="I4" s="42">
        <f>'STOCK 31 a 006'!I22</f>
        <v>0</v>
      </c>
      <c r="J4" s="42">
        <f>'STOCK 31 a 006'!J22</f>
        <v>610</v>
      </c>
      <c r="K4" s="42">
        <f>'STOCK 31 a 006'!K22</f>
        <v>5406</v>
      </c>
      <c r="L4" s="42">
        <f>'STOCK 31 a 006'!L22</f>
        <v>0</v>
      </c>
      <c r="M4" s="42">
        <f>'STOCK 31 a 006'!M22</f>
        <v>5</v>
      </c>
      <c r="N4" s="42">
        <f>'STOCK 31 a 006'!N22</f>
        <v>455</v>
      </c>
      <c r="O4" s="42">
        <f>'STOCK 31 a 006'!O22</f>
        <v>120</v>
      </c>
      <c r="P4" s="42">
        <f>'STOCK 31 a 006'!P22</f>
        <v>1150</v>
      </c>
      <c r="Q4" s="42">
        <v>537</v>
      </c>
      <c r="R4" s="42">
        <f>'STOCK 31 a 006'!R22</f>
        <v>1111</v>
      </c>
      <c r="S4" s="42">
        <f>'STOCK 31 a 006'!S22</f>
        <v>500</v>
      </c>
      <c r="T4" s="42">
        <f>'STOCK 31 a 006'!T22</f>
        <v>870</v>
      </c>
      <c r="U4" s="42">
        <f>'STOCK 31 a 006'!U22</f>
        <v>6639</v>
      </c>
      <c r="V4" s="42">
        <f>'STOCK 31 a 006'!V22</f>
        <v>7247</v>
      </c>
      <c r="W4" s="42">
        <f>'STOCK 31 a 006'!W22</f>
        <v>3800</v>
      </c>
      <c r="X4" s="42">
        <f>'STOCK 31 a 006'!X22</f>
        <v>280</v>
      </c>
      <c r="Y4" s="42">
        <f>'STOCK 31 a 006'!Y22</f>
        <v>43</v>
      </c>
    </row>
    <row r="5" spans="1:25" x14ac:dyDescent="0.25">
      <c r="A5" s="311"/>
      <c r="B5" s="20">
        <v>45393</v>
      </c>
      <c r="C5" s="14" t="s">
        <v>46</v>
      </c>
      <c r="D5" s="27"/>
      <c r="G5" s="31"/>
      <c r="H5" s="13"/>
      <c r="I5" s="35"/>
      <c r="K5" s="35"/>
      <c r="M5" s="35"/>
      <c r="N5" s="14"/>
      <c r="O5" s="27"/>
      <c r="Q5" s="31"/>
      <c r="R5" s="13"/>
      <c r="T5" s="31"/>
      <c r="U5" s="13"/>
      <c r="V5" s="31"/>
      <c r="W5">
        <v>1000</v>
      </c>
      <c r="X5" s="31"/>
      <c r="Y5" s="15"/>
    </row>
    <row r="6" spans="1:25" x14ac:dyDescent="0.25">
      <c r="A6" s="311"/>
      <c r="B6" s="20">
        <v>45395</v>
      </c>
      <c r="C6" s="14" t="s">
        <v>46</v>
      </c>
      <c r="D6" s="27"/>
      <c r="G6" s="31"/>
      <c r="H6" s="13"/>
      <c r="I6" s="35"/>
      <c r="J6">
        <v>1500</v>
      </c>
      <c r="K6" s="35"/>
      <c r="M6" s="35"/>
      <c r="N6" s="14"/>
      <c r="O6" s="27"/>
      <c r="Q6" s="31"/>
      <c r="R6" s="13"/>
      <c r="T6" s="31"/>
      <c r="U6" s="13"/>
      <c r="V6" s="31"/>
      <c r="X6" s="31"/>
      <c r="Y6" s="15"/>
    </row>
    <row r="7" spans="1:25" x14ac:dyDescent="0.25">
      <c r="A7" s="311"/>
      <c r="B7" s="20"/>
      <c r="C7" s="14"/>
      <c r="D7" s="27"/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/>
      <c r="X7" s="31"/>
      <c r="Y7" s="15"/>
    </row>
    <row r="8" spans="1:25" x14ac:dyDescent="0.25">
      <c r="A8" s="311"/>
      <c r="B8" s="20"/>
      <c r="C8" s="14"/>
      <c r="D8" s="27"/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X8" s="31"/>
      <c r="Y8" s="15"/>
    </row>
    <row r="9" spans="1:25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X9" s="31"/>
      <c r="Y9" s="15"/>
    </row>
    <row r="10" spans="1:25" ht="15.75" thickBot="1" x14ac:dyDescent="0.3">
      <c r="A10" s="312"/>
      <c r="B10" s="20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18"/>
      <c r="X10" s="32"/>
      <c r="Y10" s="19"/>
    </row>
    <row r="11" spans="1:25" x14ac:dyDescent="0.25">
      <c r="A11" s="310" t="s">
        <v>21</v>
      </c>
      <c r="B11" s="20">
        <v>45389</v>
      </c>
      <c r="C11" s="14" t="s">
        <v>22</v>
      </c>
      <c r="D11" s="27"/>
      <c r="E11">
        <v>20</v>
      </c>
      <c r="G11" s="31"/>
      <c r="H11" s="13"/>
      <c r="I11" s="35"/>
      <c r="K11" s="35"/>
      <c r="M11" s="35"/>
      <c r="N11" s="14"/>
      <c r="O11" s="27"/>
      <c r="Q11" s="31"/>
      <c r="R11" s="13"/>
      <c r="T11" s="31"/>
      <c r="U11" s="13"/>
      <c r="V11" s="31">
        <v>200</v>
      </c>
      <c r="X11" s="31"/>
      <c r="Y11" s="15"/>
    </row>
    <row r="12" spans="1:25" x14ac:dyDescent="0.25">
      <c r="A12" s="311"/>
      <c r="B12" s="20">
        <v>45390</v>
      </c>
      <c r="C12" s="14" t="s">
        <v>22</v>
      </c>
      <c r="D12" s="27"/>
      <c r="G12" s="31"/>
      <c r="H12" s="13"/>
      <c r="I12" s="35"/>
      <c r="K12" s="35"/>
      <c r="M12" s="35"/>
      <c r="N12" s="14"/>
      <c r="O12" s="27"/>
      <c r="Q12" s="31"/>
      <c r="R12" s="13"/>
      <c r="T12" s="31"/>
      <c r="U12" s="13">
        <v>50</v>
      </c>
      <c r="V12" s="31"/>
      <c r="X12" s="31"/>
      <c r="Y12" s="15"/>
    </row>
    <row r="13" spans="1:25" x14ac:dyDescent="0.25">
      <c r="A13" s="311"/>
      <c r="B13" s="20">
        <v>45391</v>
      </c>
      <c r="C13" s="14" t="s">
        <v>22</v>
      </c>
      <c r="D13" s="27"/>
      <c r="G13" s="31"/>
      <c r="H13" s="13"/>
      <c r="I13" s="35"/>
      <c r="K13" s="35"/>
      <c r="M13" s="35"/>
      <c r="N13" s="14"/>
      <c r="O13" s="27"/>
      <c r="Q13" s="31"/>
      <c r="R13" s="13"/>
      <c r="T13" s="31"/>
      <c r="U13" s="13"/>
      <c r="V13" s="31">
        <v>10</v>
      </c>
      <c r="X13" s="31"/>
      <c r="Y13" s="15"/>
    </row>
    <row r="14" spans="1:25" x14ac:dyDescent="0.25">
      <c r="A14" s="311"/>
      <c r="B14" s="20">
        <v>45391</v>
      </c>
      <c r="C14" s="14" t="s">
        <v>45</v>
      </c>
      <c r="D14" s="27"/>
      <c r="G14" s="31"/>
      <c r="H14" s="13"/>
      <c r="I14" s="35"/>
      <c r="K14" s="35"/>
      <c r="M14" s="35"/>
      <c r="N14" s="14"/>
      <c r="O14" s="27"/>
      <c r="Q14" s="31"/>
      <c r="R14" s="13"/>
      <c r="T14" s="31"/>
      <c r="U14" s="13"/>
      <c r="V14" s="31"/>
      <c r="W14">
        <v>2500</v>
      </c>
      <c r="X14" s="31"/>
      <c r="Y14" s="15"/>
    </row>
    <row r="15" spans="1:25" x14ac:dyDescent="0.25">
      <c r="A15" s="311"/>
      <c r="B15" s="20">
        <v>45392</v>
      </c>
      <c r="C15" s="14" t="s">
        <v>22</v>
      </c>
      <c r="D15" s="27">
        <v>1000</v>
      </c>
      <c r="G15" s="31"/>
      <c r="H15" s="13"/>
      <c r="I15" s="35"/>
      <c r="K15" s="35"/>
      <c r="M15" s="35"/>
      <c r="N15" s="14"/>
      <c r="O15" s="27"/>
      <c r="P15">
        <v>330</v>
      </c>
      <c r="Q15" s="31"/>
      <c r="R15" s="13"/>
      <c r="T15" s="31"/>
      <c r="U15" s="13">
        <v>350</v>
      </c>
      <c r="V15" s="31"/>
      <c r="X15" s="31"/>
      <c r="Y15" s="15"/>
    </row>
    <row r="16" spans="1:25" x14ac:dyDescent="0.25">
      <c r="A16" s="311"/>
      <c r="B16" s="20">
        <v>45393</v>
      </c>
      <c r="C16" s="14" t="s">
        <v>22</v>
      </c>
      <c r="D16" s="27"/>
      <c r="G16" s="31"/>
      <c r="H16" s="13"/>
      <c r="I16" s="35"/>
      <c r="K16" s="35"/>
      <c r="M16" s="35"/>
      <c r="N16" s="14"/>
      <c r="O16" s="27">
        <v>100</v>
      </c>
      <c r="P16" s="73"/>
      <c r="Q16" s="31"/>
      <c r="R16" s="13"/>
      <c r="T16" s="31"/>
      <c r="U16" s="13"/>
      <c r="V16" s="31"/>
      <c r="X16" s="31"/>
      <c r="Y16" s="15"/>
    </row>
    <row r="17" spans="1:25" x14ac:dyDescent="0.25">
      <c r="A17" s="311"/>
      <c r="B17" s="20">
        <v>45394</v>
      </c>
      <c r="C17" s="14" t="s">
        <v>22</v>
      </c>
      <c r="D17" s="27"/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>
        <v>1000</v>
      </c>
      <c r="V17" s="31"/>
      <c r="X17" s="31"/>
      <c r="Y17" s="15"/>
    </row>
    <row r="18" spans="1:25" x14ac:dyDescent="0.25">
      <c r="A18" s="311"/>
      <c r="B18" s="20">
        <v>45395</v>
      </c>
      <c r="C18" s="14" t="s">
        <v>22</v>
      </c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>
        <v>500</v>
      </c>
      <c r="V18" s="31"/>
      <c r="X18" s="31"/>
      <c r="Y18" s="15"/>
    </row>
    <row r="19" spans="1:25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ht="15.75" thickBot="1" x14ac:dyDescent="0.3">
      <c r="A22" s="312"/>
      <c r="B22" s="13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ht="21.75" thickBot="1" x14ac:dyDescent="0.3">
      <c r="A23" s="21" t="s">
        <v>23</v>
      </c>
      <c r="B23" s="22"/>
      <c r="C23" s="23"/>
      <c r="D23" s="29">
        <f t="shared" ref="D23:Y23" si="0">SUM(D4:D10)-SUM(D11:D22)</f>
        <v>3010</v>
      </c>
      <c r="E23" s="22">
        <f t="shared" si="0"/>
        <v>2247</v>
      </c>
      <c r="F23" s="24">
        <f t="shared" si="0"/>
        <v>418</v>
      </c>
      <c r="G23" s="33">
        <f t="shared" si="0"/>
        <v>1510</v>
      </c>
      <c r="H23" s="22">
        <f t="shared" si="0"/>
        <v>4017</v>
      </c>
      <c r="I23" s="37">
        <f t="shared" si="0"/>
        <v>0</v>
      </c>
      <c r="J23" s="24">
        <f t="shared" si="0"/>
        <v>2110</v>
      </c>
      <c r="K23" s="37">
        <f t="shared" si="0"/>
        <v>5406</v>
      </c>
      <c r="L23" s="24">
        <f t="shared" si="0"/>
        <v>0</v>
      </c>
      <c r="M23" s="37">
        <f t="shared" si="0"/>
        <v>5</v>
      </c>
      <c r="N23" s="23">
        <f t="shared" si="0"/>
        <v>455</v>
      </c>
      <c r="O23" s="29">
        <f t="shared" si="0"/>
        <v>20</v>
      </c>
      <c r="P23" s="24">
        <f t="shared" si="0"/>
        <v>820</v>
      </c>
      <c r="Q23" s="33">
        <f>SUM(Q4:Q10)-SUM(Q11:Q22)</f>
        <v>537</v>
      </c>
      <c r="R23" s="22">
        <f t="shared" si="0"/>
        <v>1111</v>
      </c>
      <c r="S23" s="22">
        <f t="shared" si="0"/>
        <v>500</v>
      </c>
      <c r="T23" s="33">
        <f>SUM(T4:T10)-SUM(T11:T22)</f>
        <v>870</v>
      </c>
      <c r="U23" s="22">
        <f t="shared" si="0"/>
        <v>4739</v>
      </c>
      <c r="V23" s="33">
        <f t="shared" si="0"/>
        <v>7037</v>
      </c>
      <c r="W23" s="22">
        <f>SUM(W4:W10)-SUM(W11:W22)</f>
        <v>2300</v>
      </c>
      <c r="X23" s="33">
        <f t="shared" si="0"/>
        <v>280</v>
      </c>
      <c r="Y23" s="25">
        <f t="shared" si="0"/>
        <v>43</v>
      </c>
    </row>
    <row r="25" spans="1:25" x14ac:dyDescent="0.25">
      <c r="D25">
        <f>D23*0.33</f>
        <v>993.30000000000007</v>
      </c>
      <c r="E25">
        <f>+E23*0.4</f>
        <v>898.80000000000007</v>
      </c>
      <c r="F25">
        <f>+F23*0.38</f>
        <v>158.84</v>
      </c>
      <c r="G25">
        <f>+G23*0.43</f>
        <v>649.29999999999995</v>
      </c>
      <c r="H25">
        <f>+H23*0.54</f>
        <v>2169.1800000000003</v>
      </c>
      <c r="I25">
        <f>+I23*0.6</f>
        <v>0</v>
      </c>
      <c r="J25" s="50">
        <f>+J23*0.81</f>
        <v>1709.1000000000001</v>
      </c>
      <c r="K25">
        <f>+K23*0.66</f>
        <v>3567.96</v>
      </c>
      <c r="L25">
        <f>+L23*0.66</f>
        <v>0</v>
      </c>
      <c r="M25">
        <f>+M23*0.64</f>
        <v>3.2</v>
      </c>
      <c r="N25">
        <f>+N23*0.53</f>
        <v>241.15</v>
      </c>
      <c r="O25">
        <f>+O23*2.22</f>
        <v>44.400000000000006</v>
      </c>
      <c r="P25">
        <f>+P23*1.7</f>
        <v>1394</v>
      </c>
      <c r="Q25">
        <f>+Q23*2.1</f>
        <v>1127.7</v>
      </c>
      <c r="R25">
        <f>+R23*1.8</f>
        <v>1999.8</v>
      </c>
      <c r="S25">
        <f>+S23*2.47</f>
        <v>1235</v>
      </c>
      <c r="T25">
        <f>+T23*2.2</f>
        <v>1914.0000000000002</v>
      </c>
      <c r="U25">
        <f>+U23*0.42</f>
        <v>1990.3799999999999</v>
      </c>
      <c r="V25">
        <f>+V23*0.32</f>
        <v>2251.84</v>
      </c>
      <c r="W25" s="50">
        <f>+W23*1.69</f>
        <v>3887</v>
      </c>
      <c r="X25">
        <f>+X23*0.8</f>
        <v>224</v>
      </c>
      <c r="Y25">
        <f>+Y23*2</f>
        <v>86</v>
      </c>
    </row>
    <row r="27" spans="1:25" x14ac:dyDescent="0.25">
      <c r="D27" s="61"/>
      <c r="E27" s="61"/>
      <c r="F27" s="61"/>
      <c r="G27" s="61"/>
      <c r="H27" s="61"/>
      <c r="I27" s="61"/>
      <c r="J27" s="61">
        <v>24.4</v>
      </c>
      <c r="K27" s="61">
        <f>3906*0.04</f>
        <v>156.24</v>
      </c>
      <c r="L27" s="61"/>
      <c r="M27" s="61"/>
      <c r="N27" s="61"/>
      <c r="O27" s="61"/>
      <c r="P27" s="61"/>
      <c r="Q27" s="61">
        <v>2.2599999999999998</v>
      </c>
      <c r="R27" s="61"/>
      <c r="S27" s="61"/>
      <c r="T27" s="61">
        <f>870*0.16</f>
        <v>139.20000000000002</v>
      </c>
      <c r="U27" s="61"/>
      <c r="V27" s="61"/>
      <c r="W27" s="61"/>
      <c r="Y27">
        <f>SUM(D25:Y25)</f>
        <v>26544.95</v>
      </c>
    </row>
    <row r="28" spans="1:25" x14ac:dyDescent="0.25">
      <c r="J28">
        <v>1733.5</v>
      </c>
      <c r="K28">
        <v>3724.2</v>
      </c>
      <c r="Q28">
        <v>1129.96</v>
      </c>
      <c r="T28">
        <v>2053.1999999999998</v>
      </c>
      <c r="W28" s="71">
        <f>SUM(D27:W27)</f>
        <v>322.10000000000002</v>
      </c>
    </row>
    <row r="32" spans="1:25" x14ac:dyDescent="0.25">
      <c r="I32" t="s">
        <v>61</v>
      </c>
      <c r="U32">
        <f>29976.25-297.7</f>
        <v>29678.55</v>
      </c>
      <c r="W32">
        <f>1300*1.638157895</f>
        <v>2129.6052635000001</v>
      </c>
    </row>
    <row r="33" spans="3:23" x14ac:dyDescent="0.25">
      <c r="C33" s="60"/>
      <c r="W33">
        <v>1750</v>
      </c>
    </row>
    <row r="34" spans="3:23" x14ac:dyDescent="0.25">
      <c r="W34">
        <f>+W32+W33</f>
        <v>3879.6052635000001</v>
      </c>
    </row>
    <row r="35" spans="3:23" x14ac:dyDescent="0.25">
      <c r="W35">
        <f>W34/2300</f>
        <v>1.686784897173913</v>
      </c>
    </row>
    <row r="37" spans="3:23" x14ac:dyDescent="0.25">
      <c r="W37">
        <v>3767.76</v>
      </c>
    </row>
    <row r="38" spans="3:23" x14ac:dyDescent="0.25">
      <c r="W38">
        <f>(1.75-1.638157895)*1000</f>
        <v>111.84210500000003</v>
      </c>
    </row>
    <row r="39" spans="3:23" x14ac:dyDescent="0.25">
      <c r="W39" s="50">
        <f>+W38+W37</f>
        <v>3879.6021050000004</v>
      </c>
    </row>
    <row r="40" spans="3:23" x14ac:dyDescent="0.25">
      <c r="W40" s="50">
        <f>W34-W25</f>
        <v>-7.3947364999999081</v>
      </c>
    </row>
  </sheetData>
  <mergeCells count="7">
    <mergeCell ref="U2:V2"/>
    <mergeCell ref="A4:A10"/>
    <mergeCell ref="A11:A22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9607-A5EE-424C-A375-494D52E8C2AB}">
  <dimension ref="A1:Y40"/>
  <sheetViews>
    <sheetView view="pageBreakPreview"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23" sqref="P23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8.710937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007 a 13'!D23</f>
        <v>3010</v>
      </c>
      <c r="E4" s="42">
        <f>'STOCK 007 a 13'!E23</f>
        <v>2247</v>
      </c>
      <c r="F4" s="42">
        <f>'STOCK 007 a 13'!F23</f>
        <v>418</v>
      </c>
      <c r="G4" s="42">
        <f>'STOCK 007 a 13'!G23</f>
        <v>1510</v>
      </c>
      <c r="H4" s="42">
        <f>'STOCK 007 a 13'!H23</f>
        <v>4017</v>
      </c>
      <c r="I4" s="42">
        <f>'STOCK 007 a 13'!I23</f>
        <v>0</v>
      </c>
      <c r="J4" s="42">
        <f>'STOCK 007 a 13'!J23</f>
        <v>2110</v>
      </c>
      <c r="K4" s="42">
        <f>'STOCK 007 a 13'!K23</f>
        <v>5406</v>
      </c>
      <c r="L4" s="42">
        <f>'STOCK 007 a 13'!L23</f>
        <v>0</v>
      </c>
      <c r="M4" s="42">
        <f>'STOCK 007 a 13'!M23</f>
        <v>5</v>
      </c>
      <c r="N4" s="42">
        <f>'STOCK 007 a 13'!N23</f>
        <v>455</v>
      </c>
      <c r="O4" s="42">
        <f>'STOCK 007 a 13'!O23</f>
        <v>20</v>
      </c>
      <c r="P4" s="42">
        <f>'STOCK 007 a 13'!P23</f>
        <v>820</v>
      </c>
      <c r="Q4" s="42">
        <f>'STOCK 007 a 13'!Q23</f>
        <v>537</v>
      </c>
      <c r="R4" s="42">
        <f>'STOCK 007 a 13'!R23</f>
        <v>1111</v>
      </c>
      <c r="S4" s="42">
        <f>'STOCK 007 a 13'!S23</f>
        <v>500</v>
      </c>
      <c r="T4" s="42">
        <f>'STOCK 007 a 13'!T23</f>
        <v>870</v>
      </c>
      <c r="U4" s="42">
        <f>'STOCK 007 a 13'!U23</f>
        <v>4739</v>
      </c>
      <c r="V4" s="42">
        <f>'STOCK 007 a 13'!V23</f>
        <v>7037</v>
      </c>
      <c r="W4" s="42">
        <f>'STOCK 007 a 13'!W23</f>
        <v>2300</v>
      </c>
      <c r="X4" s="42">
        <f>'STOCK 007 a 13'!X23</f>
        <v>280</v>
      </c>
      <c r="Y4" s="42">
        <f>'STOCK 007 a 13'!Y23</f>
        <v>43</v>
      </c>
    </row>
    <row r="5" spans="1:25" x14ac:dyDescent="0.25">
      <c r="A5" s="311"/>
      <c r="B5" s="20">
        <v>45399</v>
      </c>
      <c r="C5" s="14" t="s">
        <v>46</v>
      </c>
      <c r="D5" s="27"/>
      <c r="G5" s="31"/>
      <c r="H5" s="13"/>
      <c r="I5" s="35"/>
      <c r="K5" s="35"/>
      <c r="M5" s="35"/>
      <c r="N5" s="14"/>
      <c r="O5" s="27">
        <v>1000</v>
      </c>
      <c r="Q5" s="31"/>
      <c r="R5" s="13"/>
      <c r="T5" s="31"/>
      <c r="U5" s="13"/>
      <c r="V5" s="31"/>
      <c r="X5" s="31"/>
      <c r="Y5" s="15"/>
    </row>
    <row r="6" spans="1:25" x14ac:dyDescent="0.25">
      <c r="A6" s="311"/>
      <c r="B6" s="20"/>
      <c r="C6" s="14"/>
      <c r="D6" s="27"/>
      <c r="G6" s="31"/>
      <c r="H6" s="13"/>
      <c r="I6" s="35"/>
      <c r="K6" s="35"/>
      <c r="M6" s="35"/>
      <c r="N6" s="14"/>
      <c r="O6" s="27"/>
      <c r="Q6" s="31"/>
      <c r="R6" s="13"/>
      <c r="T6" s="31"/>
      <c r="U6" s="13"/>
      <c r="V6" s="31"/>
      <c r="X6" s="31"/>
      <c r="Y6" s="15"/>
    </row>
    <row r="7" spans="1:25" x14ac:dyDescent="0.25">
      <c r="A7" s="311"/>
      <c r="B7" s="20"/>
      <c r="C7" s="14"/>
      <c r="D7" s="27"/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/>
      <c r="X7" s="31"/>
      <c r="Y7" s="15"/>
    </row>
    <row r="8" spans="1:25" x14ac:dyDescent="0.25">
      <c r="A8" s="311"/>
      <c r="B8" s="20"/>
      <c r="C8" s="14"/>
      <c r="D8" s="27"/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X8" s="31"/>
      <c r="Y8" s="15"/>
    </row>
    <row r="9" spans="1:25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X9" s="31"/>
      <c r="Y9" s="15"/>
    </row>
    <row r="10" spans="1:25" ht="15.75" thickBot="1" x14ac:dyDescent="0.3">
      <c r="A10" s="312"/>
      <c r="B10" s="72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18"/>
      <c r="X10" s="32"/>
      <c r="Y10" s="19"/>
    </row>
    <row r="11" spans="1:25" x14ac:dyDescent="0.25">
      <c r="A11" s="310" t="s">
        <v>21</v>
      </c>
      <c r="B11" s="20">
        <v>45397</v>
      </c>
      <c r="C11" s="14" t="s">
        <v>22</v>
      </c>
      <c r="D11" s="27"/>
      <c r="G11" s="31"/>
      <c r="H11" s="13"/>
      <c r="I11" s="35"/>
      <c r="K11" s="35"/>
      <c r="M11" s="35"/>
      <c r="N11" s="14">
        <v>50</v>
      </c>
      <c r="O11" s="27"/>
      <c r="Q11" s="31"/>
      <c r="R11" s="13"/>
      <c r="T11" s="31"/>
      <c r="U11" s="13"/>
      <c r="V11" s="31"/>
      <c r="X11" s="31"/>
      <c r="Y11" s="15"/>
    </row>
    <row r="12" spans="1:25" x14ac:dyDescent="0.25">
      <c r="A12" s="311"/>
      <c r="B12" s="20">
        <v>45398</v>
      </c>
      <c r="C12" s="14" t="s">
        <v>22</v>
      </c>
      <c r="D12" s="27">
        <v>1500</v>
      </c>
      <c r="G12" s="31"/>
      <c r="H12" s="13"/>
      <c r="I12" s="35"/>
      <c r="K12" s="35"/>
      <c r="M12" s="35"/>
      <c r="N12" s="14"/>
      <c r="O12" s="27"/>
      <c r="Q12" s="31"/>
      <c r="R12" s="13"/>
      <c r="T12" s="31"/>
      <c r="U12" s="13"/>
      <c r="V12" s="31">
        <v>300</v>
      </c>
      <c r="X12" s="31"/>
      <c r="Y12" s="15"/>
    </row>
    <row r="13" spans="1:25" x14ac:dyDescent="0.25">
      <c r="A13" s="311"/>
      <c r="B13" s="20">
        <v>45399</v>
      </c>
      <c r="C13" s="14" t="s">
        <v>22</v>
      </c>
      <c r="D13" s="27"/>
      <c r="G13" s="31"/>
      <c r="H13" s="13"/>
      <c r="I13" s="35"/>
      <c r="K13" s="35">
        <v>500</v>
      </c>
      <c r="M13" s="35"/>
      <c r="N13" s="14"/>
      <c r="O13" s="27"/>
      <c r="Q13" s="31"/>
      <c r="R13" s="13"/>
      <c r="T13" s="31"/>
      <c r="U13" s="13"/>
      <c r="V13" s="31">
        <v>300</v>
      </c>
      <c r="X13" s="31"/>
      <c r="Y13" s="15"/>
    </row>
    <row r="14" spans="1:25" x14ac:dyDescent="0.25">
      <c r="A14" s="311"/>
      <c r="B14" s="20">
        <v>45400</v>
      </c>
      <c r="C14" s="14" t="s">
        <v>22</v>
      </c>
      <c r="D14" s="27"/>
      <c r="G14" s="31"/>
      <c r="H14" s="13"/>
      <c r="I14" s="35"/>
      <c r="J14">
        <v>500</v>
      </c>
      <c r="K14" s="35"/>
      <c r="M14" s="35"/>
      <c r="N14" s="14"/>
      <c r="O14" s="27"/>
      <c r="Q14" s="31"/>
      <c r="R14" s="13"/>
      <c r="T14" s="31"/>
      <c r="U14" s="13"/>
      <c r="V14" s="31"/>
      <c r="X14" s="31"/>
      <c r="Y14" s="15"/>
    </row>
    <row r="15" spans="1:25" x14ac:dyDescent="0.25">
      <c r="A15" s="311"/>
      <c r="B15" s="20">
        <v>45401</v>
      </c>
      <c r="C15" s="14" t="s">
        <v>22</v>
      </c>
      <c r="D15" s="27"/>
      <c r="G15" s="31"/>
      <c r="H15" s="13"/>
      <c r="I15" s="35"/>
      <c r="K15" s="35"/>
      <c r="M15" s="35"/>
      <c r="N15" s="14"/>
      <c r="O15" s="27"/>
      <c r="Q15" s="31"/>
      <c r="R15" s="13"/>
      <c r="T15" s="31"/>
      <c r="U15" s="13">
        <v>1000</v>
      </c>
      <c r="V15" s="31">
        <v>2000</v>
      </c>
      <c r="X15" s="31"/>
      <c r="Y15" s="15"/>
    </row>
    <row r="16" spans="1:25" x14ac:dyDescent="0.25">
      <c r="A16" s="311"/>
      <c r="B16" s="20"/>
      <c r="C16" s="14"/>
      <c r="D16" s="27"/>
      <c r="G16" s="31"/>
      <c r="H16" s="13"/>
      <c r="I16" s="35"/>
      <c r="K16" s="35"/>
      <c r="M16" s="35"/>
      <c r="N16" s="14"/>
      <c r="O16" s="27"/>
      <c r="Q16" s="31"/>
      <c r="R16" s="13"/>
      <c r="T16" s="31"/>
      <c r="U16" s="13"/>
      <c r="V16" s="31"/>
      <c r="X16" s="31"/>
      <c r="Y16" s="15"/>
    </row>
    <row r="17" spans="1:25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X17" s="31"/>
      <c r="Y17" s="15"/>
    </row>
    <row r="18" spans="1:25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/>
      <c r="V18" s="31"/>
      <c r="X18" s="31"/>
      <c r="Y18" s="15"/>
    </row>
    <row r="19" spans="1:25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ht="15.75" thickBot="1" x14ac:dyDescent="0.3">
      <c r="A22" s="312"/>
      <c r="B22" s="13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ht="21.75" thickBot="1" x14ac:dyDescent="0.3">
      <c r="A23" s="21" t="s">
        <v>23</v>
      </c>
      <c r="B23" s="22"/>
      <c r="C23" s="23"/>
      <c r="D23" s="29">
        <f t="shared" ref="D23:Y23" si="0">SUM(D4:D10)-SUM(D11:D22)</f>
        <v>1510</v>
      </c>
      <c r="E23" s="22">
        <f t="shared" si="0"/>
        <v>2247</v>
      </c>
      <c r="F23" s="24">
        <f t="shared" si="0"/>
        <v>418</v>
      </c>
      <c r="G23" s="33">
        <f t="shared" si="0"/>
        <v>1510</v>
      </c>
      <c r="H23" s="22">
        <f t="shared" si="0"/>
        <v>4017</v>
      </c>
      <c r="I23" s="37">
        <f t="shared" si="0"/>
        <v>0</v>
      </c>
      <c r="J23" s="24">
        <f t="shared" si="0"/>
        <v>1610</v>
      </c>
      <c r="K23" s="37">
        <f t="shared" si="0"/>
        <v>4906</v>
      </c>
      <c r="L23" s="24">
        <f t="shared" si="0"/>
        <v>0</v>
      </c>
      <c r="M23" s="37">
        <f t="shared" si="0"/>
        <v>5</v>
      </c>
      <c r="N23" s="23">
        <f t="shared" si="0"/>
        <v>405</v>
      </c>
      <c r="O23" s="29">
        <f t="shared" si="0"/>
        <v>1020</v>
      </c>
      <c r="P23" s="24">
        <f t="shared" si="0"/>
        <v>820</v>
      </c>
      <c r="Q23" s="33">
        <f>SUM(Q4:Q10)-SUM(Q11:Q22)</f>
        <v>537</v>
      </c>
      <c r="R23" s="22">
        <f t="shared" si="0"/>
        <v>1111</v>
      </c>
      <c r="S23" s="22">
        <f t="shared" si="0"/>
        <v>500</v>
      </c>
      <c r="T23" s="33">
        <f>SUM(T4:T10)-SUM(T11:T22)</f>
        <v>870</v>
      </c>
      <c r="U23" s="22">
        <f t="shared" si="0"/>
        <v>3739</v>
      </c>
      <c r="V23" s="33">
        <f t="shared" si="0"/>
        <v>4437</v>
      </c>
      <c r="W23" s="22">
        <f>SUM(W4:W10)-SUM(W11:W22)</f>
        <v>2300</v>
      </c>
      <c r="X23" s="33">
        <f t="shared" si="0"/>
        <v>280</v>
      </c>
      <c r="Y23" s="25">
        <f t="shared" si="0"/>
        <v>43</v>
      </c>
    </row>
    <row r="25" spans="1:25" x14ac:dyDescent="0.25">
      <c r="D25">
        <f>D23*0.33</f>
        <v>498.3</v>
      </c>
      <c r="E25">
        <f>+E23*0.4</f>
        <v>898.80000000000007</v>
      </c>
      <c r="F25">
        <f>+F23*0.38</f>
        <v>158.84</v>
      </c>
      <c r="G25">
        <f>+G23*0.43</f>
        <v>649.29999999999995</v>
      </c>
      <c r="H25">
        <f>+H23*0.54</f>
        <v>2169.1800000000003</v>
      </c>
      <c r="I25">
        <f>+I23*0.6</f>
        <v>0</v>
      </c>
      <c r="J25" s="50">
        <f>+J23*0.81</f>
        <v>1304.1000000000001</v>
      </c>
      <c r="K25">
        <f>+K23*0.66</f>
        <v>3237.96</v>
      </c>
      <c r="L25">
        <f>+L23*0.66</f>
        <v>0</v>
      </c>
      <c r="M25">
        <f>+M23*0.64</f>
        <v>3.2</v>
      </c>
      <c r="N25">
        <f>+N23*0.53</f>
        <v>214.65</v>
      </c>
      <c r="O25">
        <f>+O23*2.05</f>
        <v>2091</v>
      </c>
      <c r="P25">
        <f>+P23*1.7</f>
        <v>1394</v>
      </c>
      <c r="Q25">
        <f>+Q23*2.1</f>
        <v>1127.7</v>
      </c>
      <c r="R25">
        <f>+R23*1.8</f>
        <v>1999.8</v>
      </c>
      <c r="S25">
        <f>+S23*2.47</f>
        <v>1235</v>
      </c>
      <c r="T25">
        <f>+T23*2.2</f>
        <v>1914.0000000000002</v>
      </c>
      <c r="U25">
        <f>+U23*0.42</f>
        <v>1570.3799999999999</v>
      </c>
      <c r="V25">
        <f>+V23*0.32</f>
        <v>1419.84</v>
      </c>
      <c r="W25" s="50">
        <f>+W23*1.69</f>
        <v>3887</v>
      </c>
      <c r="X25">
        <f>+X23*0.8</f>
        <v>224</v>
      </c>
      <c r="Y25">
        <f>+Y23*2</f>
        <v>86</v>
      </c>
    </row>
    <row r="27" spans="1:25" x14ac:dyDescent="0.25">
      <c r="O27" s="61">
        <f>20*0.17</f>
        <v>3.4000000000000004</v>
      </c>
      <c r="W27" s="71"/>
      <c r="Y27">
        <f>SUM(D25:Y25)</f>
        <v>26083.050000000003</v>
      </c>
    </row>
    <row r="28" spans="1:25" x14ac:dyDescent="0.25">
      <c r="W28" s="71"/>
    </row>
    <row r="29" spans="1:25" x14ac:dyDescent="0.25">
      <c r="O29">
        <f>44.4+2050</f>
        <v>2094.4</v>
      </c>
    </row>
    <row r="30" spans="1:25" x14ac:dyDescent="0.25">
      <c r="O30">
        <f>+O29-O27</f>
        <v>2091</v>
      </c>
    </row>
    <row r="33" spans="3:23" x14ac:dyDescent="0.25">
      <c r="C33" s="60"/>
    </row>
    <row r="39" spans="3:23" x14ac:dyDescent="0.25">
      <c r="W39" s="50"/>
    </row>
    <row r="40" spans="3:23" x14ac:dyDescent="0.25">
      <c r="W40" s="50"/>
    </row>
  </sheetData>
  <mergeCells count="7">
    <mergeCell ref="U2:V2"/>
    <mergeCell ref="A4:A10"/>
    <mergeCell ref="A11:A22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70F3-99B4-4B6B-833D-DE809AEA07D0}">
  <dimension ref="A1:Y51"/>
  <sheetViews>
    <sheetView zoomScale="60" zoomScaleNormal="60" workbookViewId="0">
      <pane xSplit="3" ySplit="3" topLeftCell="D13" activePane="bottomRight" state="frozen"/>
      <selection pane="topRight" activeCell="D1" sqref="D1"/>
      <selection pane="bottomLeft" activeCell="A4" sqref="A4"/>
      <selection pane="bottomRight" activeCell="R26" sqref="R26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8.710937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014 a 20'!D23</f>
        <v>1510</v>
      </c>
      <c r="E4" s="42">
        <f>'STOCK 014 a 20'!E23</f>
        <v>2247</v>
      </c>
      <c r="F4" s="42">
        <f>'STOCK 014 a 20'!F23</f>
        <v>418</v>
      </c>
      <c r="G4" s="42">
        <f>'STOCK 014 a 20'!G23</f>
        <v>1510</v>
      </c>
      <c r="H4" s="42">
        <f>'STOCK 014 a 20'!H23</f>
        <v>4017</v>
      </c>
      <c r="I4" s="42">
        <f>'STOCK 014 a 20'!I23</f>
        <v>0</v>
      </c>
      <c r="J4" s="42">
        <f>'STOCK 014 a 20'!J23</f>
        <v>1610</v>
      </c>
      <c r="K4" s="42">
        <f>'STOCK 014 a 20'!K23</f>
        <v>4906</v>
      </c>
      <c r="L4" s="42">
        <f>'STOCK 014 a 20'!L23</f>
        <v>0</v>
      </c>
      <c r="M4" s="42">
        <f>'STOCK 014 a 20'!M23</f>
        <v>5</v>
      </c>
      <c r="N4" s="42">
        <f>'STOCK 014 a 20'!N23</f>
        <v>405</v>
      </c>
      <c r="O4" s="42">
        <f>'STOCK 014 a 20'!O23</f>
        <v>1020</v>
      </c>
      <c r="P4" s="42">
        <f>'STOCK 014 a 20'!P23</f>
        <v>820</v>
      </c>
      <c r="Q4" s="42">
        <f>'STOCK 014 a 20'!Q23</f>
        <v>537</v>
      </c>
      <c r="R4" s="42">
        <f>'STOCK 014 a 20'!R23</f>
        <v>1111</v>
      </c>
      <c r="S4" s="42">
        <f>'STOCK 014 a 20'!S23</f>
        <v>500</v>
      </c>
      <c r="T4" s="42">
        <f>'STOCK 014 a 20'!T23</f>
        <v>870</v>
      </c>
      <c r="U4" s="42">
        <f>'STOCK 014 a 20'!U23</f>
        <v>3739</v>
      </c>
      <c r="V4" s="42">
        <f>'STOCK 014 a 20'!V23</f>
        <v>4437</v>
      </c>
      <c r="W4" s="42">
        <f>'STOCK 014 a 20'!W23</f>
        <v>2300</v>
      </c>
      <c r="X4" s="42">
        <f>'STOCK 014 a 20'!X23</f>
        <v>280</v>
      </c>
      <c r="Y4" s="42">
        <f>'STOCK 014 a 20'!Y23</f>
        <v>43</v>
      </c>
    </row>
    <row r="5" spans="1:25" x14ac:dyDescent="0.25">
      <c r="A5" s="311"/>
      <c r="B5" s="20"/>
      <c r="C5" s="14"/>
      <c r="D5" s="27"/>
      <c r="G5" s="31"/>
      <c r="H5" s="13"/>
      <c r="I5" s="35"/>
      <c r="K5" s="35"/>
      <c r="M5" s="35"/>
      <c r="N5" s="14"/>
      <c r="O5" s="27"/>
      <c r="Q5" s="31"/>
      <c r="R5" s="13"/>
      <c r="T5" s="31"/>
      <c r="U5" s="13"/>
      <c r="V5" s="31"/>
      <c r="X5" s="31"/>
      <c r="Y5" s="15"/>
    </row>
    <row r="6" spans="1:25" x14ac:dyDescent="0.25">
      <c r="A6" s="311"/>
      <c r="B6" s="20"/>
      <c r="C6" s="14"/>
      <c r="D6" s="27"/>
      <c r="G6" s="31"/>
      <c r="H6" s="13"/>
      <c r="I6" s="35"/>
      <c r="K6" s="35"/>
      <c r="M6" s="35"/>
      <c r="N6" s="14"/>
      <c r="O6" s="27"/>
      <c r="Q6" s="31"/>
      <c r="R6" s="13"/>
      <c r="T6" s="31"/>
      <c r="U6" s="13"/>
      <c r="V6" s="31"/>
      <c r="X6" s="31"/>
      <c r="Y6" s="15"/>
    </row>
    <row r="7" spans="1:25" x14ac:dyDescent="0.25">
      <c r="A7" s="311"/>
      <c r="B7" s="20"/>
      <c r="C7" s="14"/>
      <c r="D7" s="27"/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/>
      <c r="X7" s="31"/>
      <c r="Y7" s="15"/>
    </row>
    <row r="8" spans="1:25" x14ac:dyDescent="0.25">
      <c r="A8" s="311"/>
      <c r="B8" s="20"/>
      <c r="C8" s="14"/>
      <c r="D8" s="27"/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X8" s="31"/>
      <c r="Y8" s="15"/>
    </row>
    <row r="9" spans="1:25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X9" s="31"/>
      <c r="Y9" s="15"/>
    </row>
    <row r="10" spans="1:25" ht="15.75" thickBot="1" x14ac:dyDescent="0.3">
      <c r="A10" s="312"/>
      <c r="B10" s="72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18"/>
      <c r="X10" s="32"/>
      <c r="Y10" s="19"/>
    </row>
    <row r="11" spans="1:25" x14ac:dyDescent="0.25">
      <c r="A11" s="310" t="s">
        <v>21</v>
      </c>
      <c r="B11" s="20">
        <v>45404</v>
      </c>
      <c r="C11" s="14" t="s">
        <v>22</v>
      </c>
      <c r="D11" s="27"/>
      <c r="G11" s="31"/>
      <c r="H11" s="13"/>
      <c r="I11" s="35"/>
      <c r="K11" s="35"/>
      <c r="M11" s="35"/>
      <c r="N11" s="14"/>
      <c r="O11" s="27"/>
      <c r="Q11" s="31"/>
      <c r="R11" s="13"/>
      <c r="T11" s="31"/>
      <c r="U11" s="13">
        <v>20</v>
      </c>
      <c r="V11" s="31">
        <v>500</v>
      </c>
      <c r="X11" s="31"/>
      <c r="Y11" s="15"/>
    </row>
    <row r="12" spans="1:25" x14ac:dyDescent="0.25">
      <c r="A12" s="311"/>
      <c r="B12" s="20">
        <v>45405</v>
      </c>
      <c r="C12" s="14" t="s">
        <v>22</v>
      </c>
      <c r="D12" s="27"/>
      <c r="G12" s="31"/>
      <c r="H12" s="13"/>
      <c r="I12" s="35"/>
      <c r="K12" s="35"/>
      <c r="M12" s="35"/>
      <c r="N12" s="14"/>
      <c r="O12" s="27"/>
      <c r="Q12" s="31"/>
      <c r="R12" s="13"/>
      <c r="T12" s="31"/>
      <c r="U12" s="13">
        <v>400</v>
      </c>
      <c r="V12" s="31"/>
      <c r="X12" s="31"/>
      <c r="Y12" s="15"/>
    </row>
    <row r="13" spans="1:25" x14ac:dyDescent="0.25">
      <c r="A13" s="311"/>
      <c r="B13" s="20">
        <v>45405</v>
      </c>
      <c r="C13" s="14" t="s">
        <v>45</v>
      </c>
      <c r="D13" s="27"/>
      <c r="G13" s="31"/>
      <c r="H13" s="13"/>
      <c r="I13" s="35"/>
      <c r="K13" s="35"/>
      <c r="M13" s="35"/>
      <c r="N13" s="14"/>
      <c r="O13" s="27"/>
      <c r="Q13" s="31"/>
      <c r="R13" s="13"/>
      <c r="T13" s="31"/>
      <c r="U13" s="13"/>
      <c r="V13" s="31"/>
      <c r="W13">
        <v>500</v>
      </c>
      <c r="X13" s="31"/>
      <c r="Y13" s="15"/>
    </row>
    <row r="14" spans="1:25" x14ac:dyDescent="0.25">
      <c r="A14" s="311"/>
      <c r="B14" s="20">
        <v>45406</v>
      </c>
      <c r="C14" s="14" t="s">
        <v>22</v>
      </c>
      <c r="D14" s="27"/>
      <c r="G14" s="31"/>
      <c r="H14" s="13"/>
      <c r="I14" s="35"/>
      <c r="K14" s="35">
        <v>1500</v>
      </c>
      <c r="M14" s="35"/>
      <c r="N14" s="14"/>
      <c r="O14" s="27"/>
      <c r="Q14" s="31"/>
      <c r="R14" s="13"/>
      <c r="T14" s="31"/>
      <c r="U14" s="13"/>
      <c r="V14" s="31"/>
      <c r="X14" s="31"/>
      <c r="Y14" s="15"/>
    </row>
    <row r="15" spans="1:25" x14ac:dyDescent="0.25">
      <c r="A15" s="311"/>
      <c r="B15" s="20">
        <v>45407</v>
      </c>
      <c r="C15" s="14" t="s">
        <v>22</v>
      </c>
      <c r="D15" s="27"/>
      <c r="G15" s="31"/>
      <c r="H15" s="13"/>
      <c r="I15" s="35"/>
      <c r="K15" s="35"/>
      <c r="M15" s="35"/>
      <c r="N15" s="14"/>
      <c r="O15" s="27"/>
      <c r="P15">
        <v>750</v>
      </c>
      <c r="Q15" s="31"/>
      <c r="R15" s="13"/>
      <c r="T15" s="31"/>
      <c r="U15" s="13">
        <v>500</v>
      </c>
      <c r="V15" s="31"/>
      <c r="X15" s="31"/>
      <c r="Y15" s="15"/>
    </row>
    <row r="16" spans="1:25" x14ac:dyDescent="0.25">
      <c r="A16" s="311"/>
      <c r="B16" s="20">
        <v>45407</v>
      </c>
      <c r="C16" s="14" t="s">
        <v>45</v>
      </c>
      <c r="D16" s="27"/>
      <c r="G16" s="31"/>
      <c r="H16" s="13"/>
      <c r="I16" s="35"/>
      <c r="K16" s="35"/>
      <c r="M16" s="35"/>
      <c r="N16" s="14"/>
      <c r="O16" s="27"/>
      <c r="Q16" s="31"/>
      <c r="R16" s="13"/>
      <c r="T16" s="31"/>
      <c r="U16" s="13"/>
      <c r="V16" s="31"/>
      <c r="X16" s="31"/>
      <c r="Y16" s="15"/>
    </row>
    <row r="17" spans="1:25" x14ac:dyDescent="0.25">
      <c r="A17" s="311"/>
      <c r="B17" s="20">
        <v>45408</v>
      </c>
      <c r="C17" s="14" t="s">
        <v>22</v>
      </c>
      <c r="D17" s="27"/>
      <c r="G17" s="31"/>
      <c r="H17" s="13">
        <v>95</v>
      </c>
      <c r="I17" s="35"/>
      <c r="K17" s="35"/>
      <c r="M17" s="35"/>
      <c r="N17" s="14">
        <v>405</v>
      </c>
      <c r="O17" s="27"/>
      <c r="Q17" s="31"/>
      <c r="R17" s="13"/>
      <c r="T17" s="31"/>
      <c r="U17" s="13">
        <f>1000+100</f>
        <v>1100</v>
      </c>
      <c r="V17" s="31"/>
      <c r="W17">
        <v>200</v>
      </c>
      <c r="X17" s="31"/>
      <c r="Y17" s="15"/>
    </row>
    <row r="18" spans="1:25" x14ac:dyDescent="0.25">
      <c r="A18" s="311"/>
      <c r="B18" s="20">
        <v>45409</v>
      </c>
      <c r="C18" s="14" t="s">
        <v>22</v>
      </c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>
        <v>65</v>
      </c>
      <c r="U18" s="13"/>
      <c r="V18" s="31"/>
      <c r="W18">
        <v>250</v>
      </c>
      <c r="X18" s="31"/>
      <c r="Y18" s="15"/>
    </row>
    <row r="19" spans="1:25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x14ac:dyDescent="0.25">
      <c r="A23" s="311"/>
      <c r="B23" s="20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T23" s="31"/>
      <c r="U23" s="13"/>
      <c r="V23" s="31"/>
      <c r="X23" s="31"/>
      <c r="Y23" s="15"/>
    </row>
    <row r="24" spans="1:25" ht="15.75" thickBot="1" x14ac:dyDescent="0.3">
      <c r="A24" s="312"/>
      <c r="B24" s="13"/>
      <c r="C24" s="14"/>
      <c r="D24" s="27"/>
      <c r="G24" s="31"/>
      <c r="H24" s="13"/>
      <c r="I24" s="35"/>
      <c r="K24" s="35"/>
      <c r="M24" s="35"/>
      <c r="N24" s="14"/>
      <c r="O24" s="27"/>
      <c r="Q24" s="31"/>
      <c r="R24" s="13"/>
      <c r="T24" s="31"/>
      <c r="U24" s="13"/>
      <c r="V24" s="31"/>
      <c r="X24" s="31"/>
      <c r="Y24" s="15"/>
    </row>
    <row r="25" spans="1:25" ht="21.75" thickBot="1" x14ac:dyDescent="0.3">
      <c r="A25" s="21" t="s">
        <v>23</v>
      </c>
      <c r="B25" s="22"/>
      <c r="C25" s="23"/>
      <c r="D25" s="29">
        <f t="shared" ref="D25:Y25" si="0">SUM(D4:D10)-SUM(D11:D24)</f>
        <v>1510</v>
      </c>
      <c r="E25" s="22">
        <f t="shared" si="0"/>
        <v>2247</v>
      </c>
      <c r="F25" s="24">
        <f t="shared" si="0"/>
        <v>418</v>
      </c>
      <c r="G25" s="33">
        <f t="shared" si="0"/>
        <v>1510</v>
      </c>
      <c r="H25" s="22">
        <f t="shared" si="0"/>
        <v>3922</v>
      </c>
      <c r="I25" s="37">
        <f t="shared" si="0"/>
        <v>0</v>
      </c>
      <c r="J25" s="24">
        <f t="shared" si="0"/>
        <v>1610</v>
      </c>
      <c r="K25" s="37">
        <f t="shared" si="0"/>
        <v>3406</v>
      </c>
      <c r="L25" s="24">
        <f t="shared" si="0"/>
        <v>0</v>
      </c>
      <c r="M25" s="37">
        <f t="shared" si="0"/>
        <v>5</v>
      </c>
      <c r="N25" s="23">
        <f t="shared" si="0"/>
        <v>0</v>
      </c>
      <c r="O25" s="29">
        <f t="shared" si="0"/>
        <v>1020</v>
      </c>
      <c r="P25" s="24">
        <f t="shared" si="0"/>
        <v>70</v>
      </c>
      <c r="Q25" s="33">
        <f t="shared" si="0"/>
        <v>537</v>
      </c>
      <c r="R25" s="22">
        <f>SUM(R4:R10)-SUM(R11:R24)</f>
        <v>1111</v>
      </c>
      <c r="S25" s="22">
        <f t="shared" si="0"/>
        <v>500</v>
      </c>
      <c r="T25" s="33">
        <f t="shared" si="0"/>
        <v>805</v>
      </c>
      <c r="U25" s="22">
        <f t="shared" si="0"/>
        <v>1719</v>
      </c>
      <c r="V25" s="33">
        <f t="shared" si="0"/>
        <v>3937</v>
      </c>
      <c r="W25" s="22">
        <f t="shared" si="0"/>
        <v>1350</v>
      </c>
      <c r="X25" s="33">
        <f t="shared" si="0"/>
        <v>280</v>
      </c>
      <c r="Y25" s="25">
        <f t="shared" si="0"/>
        <v>43</v>
      </c>
    </row>
    <row r="27" spans="1:25" x14ac:dyDescent="0.25">
      <c r="D27">
        <f>D25*0.33</f>
        <v>498.3</v>
      </c>
      <c r="E27">
        <f>+E25*0.4</f>
        <v>898.80000000000007</v>
      </c>
      <c r="F27">
        <f>+F25*0.38</f>
        <v>158.84</v>
      </c>
      <c r="G27">
        <f>+G25*0.43</f>
        <v>649.29999999999995</v>
      </c>
      <c r="H27">
        <f>+H25*0.54</f>
        <v>2117.88</v>
      </c>
      <c r="I27">
        <f>+I25*0.6</f>
        <v>0</v>
      </c>
      <c r="J27" s="50">
        <f>+J25*0.81</f>
        <v>1304.1000000000001</v>
      </c>
      <c r="K27">
        <f>+K25*0.66</f>
        <v>2247.96</v>
      </c>
      <c r="L27">
        <f>+L25*0.66</f>
        <v>0</v>
      </c>
      <c r="M27">
        <f>+M25*0.64</f>
        <v>3.2</v>
      </c>
      <c r="N27">
        <f>+N25*0.53</f>
        <v>0</v>
      </c>
      <c r="O27">
        <f>+O25*2.05</f>
        <v>2091</v>
      </c>
      <c r="P27">
        <f>+P25*1.7</f>
        <v>119</v>
      </c>
      <c r="Q27">
        <f>+Q25*2.1</f>
        <v>1127.7</v>
      </c>
      <c r="R27">
        <f>+R25*1.8</f>
        <v>1999.8</v>
      </c>
      <c r="S27">
        <f>+S25*2.47</f>
        <v>1235</v>
      </c>
      <c r="T27">
        <f>+T25*2.2</f>
        <v>1771.0000000000002</v>
      </c>
      <c r="U27">
        <f>+U25*0.42</f>
        <v>721.98</v>
      </c>
      <c r="V27">
        <f>+V25*0.32</f>
        <v>1259.8399999999999</v>
      </c>
      <c r="W27" s="50">
        <f>+W25*1.69</f>
        <v>2281.5</v>
      </c>
      <c r="X27">
        <f>+X25*0.8</f>
        <v>224</v>
      </c>
      <c r="Y27">
        <f>+Y25*2</f>
        <v>86</v>
      </c>
    </row>
    <row r="29" spans="1:25" x14ac:dyDescent="0.25">
      <c r="W29" s="71"/>
      <c r="Y29" s="39">
        <f>SUM(D27:Y27)</f>
        <v>20795.2</v>
      </c>
    </row>
    <row r="30" spans="1:25" x14ac:dyDescent="0.25">
      <c r="W30" s="71"/>
    </row>
    <row r="33" spans="3:23" x14ac:dyDescent="0.25">
      <c r="P33">
        <v>3650</v>
      </c>
      <c r="Q33">
        <v>28566.720000000001</v>
      </c>
    </row>
    <row r="34" spans="3:23" x14ac:dyDescent="0.25">
      <c r="P34">
        <v>4625.26</v>
      </c>
      <c r="Q34">
        <v>32281.439999999999</v>
      </c>
    </row>
    <row r="35" spans="3:23" x14ac:dyDescent="0.25">
      <c r="C35" s="60"/>
      <c r="P35">
        <v>7709.42</v>
      </c>
      <c r="Q35">
        <v>13000</v>
      </c>
    </row>
    <row r="36" spans="3:23" x14ac:dyDescent="0.25">
      <c r="P36">
        <v>9434.7900000000009</v>
      </c>
      <c r="Q36">
        <v>10121.5</v>
      </c>
    </row>
    <row r="37" spans="3:23" x14ac:dyDescent="0.25">
      <c r="P37">
        <v>7416.1</v>
      </c>
      <c r="Q37">
        <v>200</v>
      </c>
    </row>
    <row r="38" spans="3:23" x14ac:dyDescent="0.25">
      <c r="P38">
        <v>21103.64</v>
      </c>
      <c r="Q38">
        <v>28543.9</v>
      </c>
    </row>
    <row r="39" spans="3:23" x14ac:dyDescent="0.25">
      <c r="P39">
        <v>2190.35</v>
      </c>
      <c r="Q39">
        <v>8997.31</v>
      </c>
      <c r="T39">
        <f>100*31.6</f>
        <v>3160</v>
      </c>
    </row>
    <row r="40" spans="3:23" x14ac:dyDescent="0.25">
      <c r="P40">
        <v>9259.27</v>
      </c>
      <c r="Q40">
        <v>726</v>
      </c>
      <c r="T40">
        <f>50*29.6</f>
        <v>1480</v>
      </c>
    </row>
    <row r="41" spans="3:23" x14ac:dyDescent="0.25">
      <c r="P41">
        <v>12758.19</v>
      </c>
      <c r="Q41">
        <v>1896.6</v>
      </c>
      <c r="T41">
        <f>SUM(T39:T40)</f>
        <v>4640</v>
      </c>
      <c r="W41" s="50"/>
    </row>
    <row r="42" spans="3:23" x14ac:dyDescent="0.25">
      <c r="P42">
        <v>12614</v>
      </c>
      <c r="Q42">
        <v>660</v>
      </c>
      <c r="W42" s="50"/>
    </row>
    <row r="43" spans="3:23" x14ac:dyDescent="0.25">
      <c r="P43">
        <v>4524</v>
      </c>
      <c r="Q43">
        <v>35</v>
      </c>
    </row>
    <row r="44" spans="3:23" x14ac:dyDescent="0.25">
      <c r="P44">
        <v>3500</v>
      </c>
      <c r="Q44">
        <v>200</v>
      </c>
    </row>
    <row r="45" spans="3:23" x14ac:dyDescent="0.25">
      <c r="P45">
        <v>15000</v>
      </c>
      <c r="Q45">
        <v>50</v>
      </c>
    </row>
    <row r="46" spans="3:23" x14ac:dyDescent="0.25">
      <c r="P46">
        <v>2601</v>
      </c>
      <c r="Q46">
        <v>240</v>
      </c>
    </row>
    <row r="47" spans="3:23" x14ac:dyDescent="0.25">
      <c r="P47">
        <v>4267</v>
      </c>
      <c r="Q47">
        <v>75</v>
      </c>
    </row>
    <row r="48" spans="3:23" x14ac:dyDescent="0.25">
      <c r="P48">
        <f>SUM(P33:P47)</f>
        <v>120653.02</v>
      </c>
      <c r="Q48">
        <v>2136.5</v>
      </c>
    </row>
    <row r="49" spans="17:17" x14ac:dyDescent="0.25">
      <c r="Q49">
        <f>SUM(Q33:Q48)</f>
        <v>127729.97</v>
      </c>
    </row>
    <row r="51" spans="17:17" x14ac:dyDescent="0.25">
      <c r="Q51">
        <f>Q49-P48</f>
        <v>7076.9499999999971</v>
      </c>
    </row>
  </sheetData>
  <mergeCells count="7">
    <mergeCell ref="U2:V2"/>
    <mergeCell ref="A4:A10"/>
    <mergeCell ref="A11:A24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9211-FE6A-4641-B557-72DEA9AE3A54}">
  <dimension ref="A1:Y43"/>
  <sheetViews>
    <sheetView zoomScale="60" zoomScaleNormal="60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O28" sqref="O28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8.710937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022 a 27'!D25</f>
        <v>1510</v>
      </c>
      <c r="E4" s="42">
        <f>'STOCK 022 a 27'!E25</f>
        <v>2247</v>
      </c>
      <c r="F4" s="42">
        <f>'STOCK 022 a 27'!F25</f>
        <v>418</v>
      </c>
      <c r="G4" s="42">
        <f>'STOCK 022 a 27'!G25</f>
        <v>1510</v>
      </c>
      <c r="H4" s="42">
        <f>'STOCK 022 a 27'!H25</f>
        <v>3922</v>
      </c>
      <c r="I4" s="42">
        <f>'STOCK 022 a 27'!I25</f>
        <v>0</v>
      </c>
      <c r="J4" s="42">
        <f>'STOCK 022 a 27'!J25</f>
        <v>1610</v>
      </c>
      <c r="K4" s="42">
        <f>'STOCK 022 a 27'!K25</f>
        <v>3406</v>
      </c>
      <c r="L4" s="42">
        <f>'STOCK 022 a 27'!L25</f>
        <v>0</v>
      </c>
      <c r="M4" s="42">
        <f>'STOCK 022 a 27'!M25</f>
        <v>5</v>
      </c>
      <c r="N4" s="42">
        <f>'STOCK 022 a 27'!N25</f>
        <v>0</v>
      </c>
      <c r="O4" s="42">
        <f>'STOCK 022 a 27'!O25</f>
        <v>1020</v>
      </c>
      <c r="P4" s="42">
        <f>'STOCK 022 a 27'!P25</f>
        <v>70</v>
      </c>
      <c r="Q4" s="42">
        <f>'STOCK 022 a 27'!Q25</f>
        <v>537</v>
      </c>
      <c r="R4" s="42">
        <f>'STOCK 022 a 27'!R25</f>
        <v>1111</v>
      </c>
      <c r="S4" s="42">
        <f>'STOCK 022 a 27'!S25</f>
        <v>500</v>
      </c>
      <c r="T4" s="42">
        <f>'STOCK 022 a 27'!T25</f>
        <v>805</v>
      </c>
      <c r="U4" s="42">
        <f>'STOCK 022 a 27'!U25</f>
        <v>1719</v>
      </c>
      <c r="V4" s="42">
        <f>'STOCK 022 a 27'!V25</f>
        <v>3937</v>
      </c>
      <c r="W4" s="42">
        <f>'STOCK 022 a 27'!W25</f>
        <v>1350</v>
      </c>
      <c r="X4" s="42">
        <f>'STOCK 022 a 27'!X25</f>
        <v>280</v>
      </c>
      <c r="Y4" s="42">
        <f>'STOCK 022 a 27'!Y25</f>
        <v>43</v>
      </c>
    </row>
    <row r="5" spans="1:25" x14ac:dyDescent="0.25">
      <c r="A5" s="311"/>
      <c r="B5" s="20">
        <v>45411</v>
      </c>
      <c r="C5" s="14" t="s">
        <v>27</v>
      </c>
      <c r="D5" s="27"/>
      <c r="G5" s="31"/>
      <c r="H5" s="13"/>
      <c r="I5" s="35"/>
      <c r="K5" s="35"/>
      <c r="M5" s="35"/>
      <c r="N5" s="14"/>
      <c r="O5" s="27"/>
      <c r="P5">
        <v>1200</v>
      </c>
      <c r="Q5" s="31"/>
      <c r="R5" s="13"/>
      <c r="T5" s="31"/>
      <c r="U5" s="13"/>
      <c r="V5" s="31"/>
      <c r="X5" s="31"/>
      <c r="Y5" s="15"/>
    </row>
    <row r="6" spans="1:25" x14ac:dyDescent="0.25">
      <c r="A6" s="311"/>
      <c r="B6" s="20">
        <v>45412</v>
      </c>
      <c r="C6" s="14" t="s">
        <v>46</v>
      </c>
      <c r="D6" s="27"/>
      <c r="G6" s="31"/>
      <c r="H6" s="13"/>
      <c r="I6" s="35"/>
      <c r="K6" s="35"/>
      <c r="M6" s="35"/>
      <c r="N6" s="14"/>
      <c r="O6" s="27"/>
      <c r="P6">
        <v>200</v>
      </c>
      <c r="Q6" s="31"/>
      <c r="R6" s="13"/>
      <c r="T6" s="31"/>
      <c r="U6" s="13"/>
      <c r="V6" s="31"/>
      <c r="X6" s="31"/>
      <c r="Y6" s="15"/>
    </row>
    <row r="7" spans="1:25" x14ac:dyDescent="0.25">
      <c r="A7" s="311"/>
      <c r="B7" s="20">
        <v>45412</v>
      </c>
      <c r="C7" s="14" t="s">
        <v>46</v>
      </c>
      <c r="D7" s="27">
        <v>4910</v>
      </c>
      <c r="G7" s="31"/>
      <c r="H7" s="13"/>
      <c r="I7" s="35"/>
      <c r="K7" s="35"/>
      <c r="M7" s="35"/>
      <c r="N7" s="14"/>
      <c r="O7" s="27"/>
      <c r="Q7" s="31"/>
      <c r="R7" s="13"/>
      <c r="T7" s="31"/>
      <c r="U7" s="13"/>
      <c r="V7" s="31"/>
      <c r="X7" s="31"/>
      <c r="Y7" s="15"/>
    </row>
    <row r="8" spans="1:25" x14ac:dyDescent="0.25">
      <c r="A8" s="311"/>
      <c r="B8" s="20">
        <v>45414</v>
      </c>
      <c r="C8" s="14" t="s">
        <v>46</v>
      </c>
      <c r="D8" s="27">
        <v>60</v>
      </c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X8" s="31"/>
      <c r="Y8" s="15"/>
    </row>
    <row r="9" spans="1:25" x14ac:dyDescent="0.25">
      <c r="A9" s="311"/>
      <c r="B9" s="20">
        <v>45415</v>
      </c>
      <c r="C9" s="14" t="s">
        <v>27</v>
      </c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>
        <v>3000</v>
      </c>
      <c r="V9" s="31"/>
      <c r="X9" s="31"/>
      <c r="Y9" s="15"/>
    </row>
    <row r="10" spans="1:25" ht="15.75" thickBot="1" x14ac:dyDescent="0.3">
      <c r="A10" s="312"/>
      <c r="B10" s="72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18"/>
      <c r="X10" s="32"/>
      <c r="Y10" s="19"/>
    </row>
    <row r="11" spans="1:25" x14ac:dyDescent="0.25">
      <c r="A11" s="310" t="s">
        <v>62</v>
      </c>
      <c r="B11" s="20">
        <v>45411</v>
      </c>
      <c r="C11" s="14" t="s">
        <v>22</v>
      </c>
      <c r="D11" s="27"/>
      <c r="G11" s="31"/>
      <c r="H11" s="13"/>
      <c r="I11" s="35"/>
      <c r="K11" s="35">
        <v>1000</v>
      </c>
      <c r="M11" s="35"/>
      <c r="N11" s="14"/>
      <c r="O11" s="27"/>
      <c r="Q11" s="31"/>
      <c r="R11" s="13"/>
      <c r="T11" s="31"/>
      <c r="U11" s="13"/>
      <c r="V11" s="31"/>
      <c r="X11" s="31"/>
      <c r="Y11" s="15"/>
    </row>
    <row r="12" spans="1:25" x14ac:dyDescent="0.25">
      <c r="A12" s="311"/>
      <c r="B12" s="20">
        <v>45412</v>
      </c>
      <c r="C12" s="14" t="s">
        <v>22</v>
      </c>
      <c r="D12" s="27"/>
      <c r="G12" s="31"/>
      <c r="H12" s="13"/>
      <c r="I12" s="35"/>
      <c r="K12" s="35"/>
      <c r="M12" s="35"/>
      <c r="N12" s="14"/>
      <c r="O12" s="27"/>
      <c r="P12">
        <v>810</v>
      </c>
      <c r="Q12" s="31"/>
      <c r="R12" s="13"/>
      <c r="T12" s="31"/>
      <c r="U12" s="13"/>
      <c r="V12" s="31"/>
      <c r="X12" s="31"/>
      <c r="Y12" s="15"/>
    </row>
    <row r="13" spans="1:25" x14ac:dyDescent="0.25">
      <c r="A13" s="311"/>
      <c r="B13" s="20">
        <v>45412</v>
      </c>
      <c r="C13" s="14" t="s">
        <v>45</v>
      </c>
      <c r="D13" s="27">
        <v>800</v>
      </c>
      <c r="G13" s="31"/>
      <c r="H13" s="13"/>
      <c r="I13" s="35"/>
      <c r="K13" s="35"/>
      <c r="M13" s="35"/>
      <c r="N13" s="14"/>
      <c r="O13" s="27"/>
      <c r="Q13" s="31"/>
      <c r="R13" s="13"/>
      <c r="T13" s="31"/>
      <c r="U13" s="13"/>
      <c r="V13" s="31"/>
      <c r="X13" s="31"/>
      <c r="Y13" s="15"/>
    </row>
    <row r="14" spans="1:25" x14ac:dyDescent="0.25">
      <c r="A14" s="311"/>
      <c r="B14" s="20">
        <v>45413</v>
      </c>
      <c r="C14" s="14" t="s">
        <v>22</v>
      </c>
      <c r="D14" s="27"/>
      <c r="G14" s="31"/>
      <c r="H14" s="13"/>
      <c r="I14" s="35"/>
      <c r="K14" s="35"/>
      <c r="M14" s="35"/>
      <c r="N14" s="14"/>
      <c r="O14" s="27"/>
      <c r="Q14" s="31"/>
      <c r="R14" s="13"/>
      <c r="T14" s="31"/>
      <c r="U14" s="13"/>
      <c r="V14" s="31"/>
      <c r="W14">
        <v>200</v>
      </c>
      <c r="X14" s="31"/>
      <c r="Y14" s="15"/>
    </row>
    <row r="15" spans="1:25" x14ac:dyDescent="0.25">
      <c r="A15" s="311"/>
      <c r="B15" s="20">
        <v>45414</v>
      </c>
      <c r="C15" s="14" t="s">
        <v>22</v>
      </c>
      <c r="D15" s="27"/>
      <c r="G15" s="31"/>
      <c r="H15" s="13"/>
      <c r="I15" s="35"/>
      <c r="K15" s="35"/>
      <c r="M15" s="35"/>
      <c r="N15" s="14"/>
      <c r="O15" s="27"/>
      <c r="Q15" s="31"/>
      <c r="R15" s="13"/>
      <c r="T15" s="31"/>
      <c r="U15" s="13"/>
      <c r="V15" s="31"/>
      <c r="W15">
        <v>200</v>
      </c>
      <c r="X15" s="31"/>
      <c r="Y15" s="15"/>
    </row>
    <row r="16" spans="1:25" x14ac:dyDescent="0.25">
      <c r="A16" s="311"/>
      <c r="B16" s="20">
        <v>45416</v>
      </c>
      <c r="C16" s="14" t="s">
        <v>22</v>
      </c>
      <c r="D16" s="27"/>
      <c r="G16" s="31"/>
      <c r="H16" s="13"/>
      <c r="I16" s="35"/>
      <c r="K16" s="35"/>
      <c r="M16" s="35"/>
      <c r="N16" s="14"/>
      <c r="O16" s="27"/>
      <c r="Q16" s="31"/>
      <c r="R16" s="13">
        <v>140</v>
      </c>
      <c r="T16" s="31"/>
      <c r="U16" s="13">
        <v>500</v>
      </c>
      <c r="V16" s="31"/>
      <c r="X16" s="31"/>
      <c r="Y16" s="15"/>
    </row>
    <row r="17" spans="1:25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X17" s="31"/>
      <c r="Y17" s="15"/>
    </row>
    <row r="18" spans="1:25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/>
      <c r="V18" s="31"/>
      <c r="X18" s="31"/>
      <c r="Y18" s="15"/>
    </row>
    <row r="19" spans="1:25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x14ac:dyDescent="0.25">
      <c r="A23" s="311"/>
      <c r="B23" s="20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T23" s="31"/>
      <c r="U23" s="13"/>
      <c r="V23" s="31"/>
      <c r="X23" s="31"/>
      <c r="Y23" s="15"/>
    </row>
    <row r="24" spans="1:25" x14ac:dyDescent="0.25">
      <c r="A24" s="311"/>
      <c r="B24" s="20"/>
      <c r="C24" s="14"/>
      <c r="D24" s="27"/>
      <c r="G24" s="31"/>
      <c r="H24" s="13"/>
      <c r="I24" s="35"/>
      <c r="K24" s="35"/>
      <c r="M24" s="35"/>
      <c r="N24" s="14"/>
      <c r="O24" s="27"/>
      <c r="Q24" s="31"/>
      <c r="R24" s="13"/>
      <c r="T24" s="31"/>
      <c r="U24" s="13"/>
      <c r="V24" s="31"/>
      <c r="X24" s="31"/>
      <c r="Y24" s="15"/>
    </row>
    <row r="25" spans="1:25" ht="15.75" thickBot="1" x14ac:dyDescent="0.3">
      <c r="A25" s="312"/>
      <c r="B25" s="13"/>
      <c r="C25" s="14"/>
      <c r="D25" s="27"/>
      <c r="G25" s="31"/>
      <c r="H25" s="13"/>
      <c r="I25" s="35"/>
      <c r="K25" s="35"/>
      <c r="M25" s="35"/>
      <c r="N25" s="14"/>
      <c r="O25" s="27"/>
      <c r="Q25" s="31"/>
      <c r="R25" s="13"/>
      <c r="T25" s="31"/>
      <c r="U25" s="13"/>
      <c r="V25" s="31"/>
      <c r="X25" s="31"/>
      <c r="Y25" s="15"/>
    </row>
    <row r="26" spans="1:25" ht="21.75" thickBot="1" x14ac:dyDescent="0.3">
      <c r="A26" s="21" t="s">
        <v>23</v>
      </c>
      <c r="B26" s="22"/>
      <c r="C26" s="23"/>
      <c r="D26" s="29">
        <f>SUM(D4:D10)-SUM(D11:D25)</f>
        <v>5680</v>
      </c>
      <c r="E26" s="22">
        <f t="shared" ref="E26:Y26" si="0">SUM(E4:E10)-SUM(E11:E25)</f>
        <v>2247</v>
      </c>
      <c r="F26" s="24">
        <f t="shared" si="0"/>
        <v>418</v>
      </c>
      <c r="G26" s="33">
        <f t="shared" si="0"/>
        <v>1510</v>
      </c>
      <c r="H26" s="22">
        <f t="shared" si="0"/>
        <v>3922</v>
      </c>
      <c r="I26" s="37">
        <f t="shared" si="0"/>
        <v>0</v>
      </c>
      <c r="J26" s="24">
        <f t="shared" si="0"/>
        <v>1610</v>
      </c>
      <c r="K26" s="37">
        <f t="shared" si="0"/>
        <v>2406</v>
      </c>
      <c r="L26" s="24">
        <f t="shared" si="0"/>
        <v>0</v>
      </c>
      <c r="M26" s="37">
        <f t="shared" si="0"/>
        <v>5</v>
      </c>
      <c r="N26" s="23">
        <f t="shared" si="0"/>
        <v>0</v>
      </c>
      <c r="O26" s="29">
        <f t="shared" si="0"/>
        <v>1020</v>
      </c>
      <c r="P26" s="24">
        <f t="shared" si="0"/>
        <v>660</v>
      </c>
      <c r="Q26" s="33">
        <f t="shared" si="0"/>
        <v>537</v>
      </c>
      <c r="R26" s="22">
        <f>SUM(R4:R10)-SUM(R11:R25)</f>
        <v>971</v>
      </c>
      <c r="S26" s="22">
        <f t="shared" si="0"/>
        <v>500</v>
      </c>
      <c r="T26" s="33">
        <f t="shared" si="0"/>
        <v>805</v>
      </c>
      <c r="U26" s="22">
        <f t="shared" si="0"/>
        <v>4219</v>
      </c>
      <c r="V26" s="33">
        <f t="shared" si="0"/>
        <v>3937</v>
      </c>
      <c r="W26" s="22">
        <f t="shared" si="0"/>
        <v>950</v>
      </c>
      <c r="X26" s="33">
        <f t="shared" si="0"/>
        <v>280</v>
      </c>
      <c r="Y26" s="25">
        <f t="shared" si="0"/>
        <v>43</v>
      </c>
    </row>
    <row r="28" spans="1:25" x14ac:dyDescent="0.25">
      <c r="D28">
        <f>D26*0.31</f>
        <v>1760.8</v>
      </c>
      <c r="E28">
        <f>+E26*0.4</f>
        <v>898.80000000000007</v>
      </c>
      <c r="F28">
        <f>+F26*0.38</f>
        <v>158.84</v>
      </c>
      <c r="G28">
        <f>+G26*0.43</f>
        <v>649.29999999999995</v>
      </c>
      <c r="H28">
        <f>+H26*0.54</f>
        <v>2117.88</v>
      </c>
      <c r="I28">
        <f>+I26*0.6</f>
        <v>0</v>
      </c>
      <c r="J28" s="50">
        <f>+J26*0.81</f>
        <v>1304.1000000000001</v>
      </c>
      <c r="K28">
        <f>+K26*0.66</f>
        <v>1587.96</v>
      </c>
      <c r="L28">
        <f>+L26*0.66</f>
        <v>0</v>
      </c>
      <c r="M28">
        <f>+M26*0.64</f>
        <v>3.2</v>
      </c>
      <c r="N28">
        <f>+N26*0.53</f>
        <v>0</v>
      </c>
      <c r="O28">
        <f>+O26*2.05</f>
        <v>2091</v>
      </c>
      <c r="P28">
        <f>+P26*1.65</f>
        <v>1089</v>
      </c>
      <c r="Q28">
        <f>+Q26*2.1</f>
        <v>1127.7</v>
      </c>
      <c r="R28">
        <f>+R26*1.8</f>
        <v>1747.8</v>
      </c>
      <c r="S28">
        <f>+S26*2.47</f>
        <v>1235</v>
      </c>
      <c r="T28">
        <f>+T26*2.2</f>
        <v>1771.0000000000002</v>
      </c>
      <c r="U28">
        <f>+U26*0.42</f>
        <v>1771.98</v>
      </c>
      <c r="V28">
        <f>+V26*0.32</f>
        <v>1259.8399999999999</v>
      </c>
      <c r="W28" s="50">
        <f>+W26*1.69</f>
        <v>1605.5</v>
      </c>
      <c r="X28">
        <f>+X26*0.8</f>
        <v>224</v>
      </c>
      <c r="Y28">
        <f>+Y26*2</f>
        <v>86</v>
      </c>
    </row>
    <row r="30" spans="1:25" x14ac:dyDescent="0.25">
      <c r="W30" s="71"/>
      <c r="Y30" s="39">
        <f>SUM(D28:Y28)</f>
        <v>22489.7</v>
      </c>
    </row>
    <row r="31" spans="1:25" x14ac:dyDescent="0.25">
      <c r="E31">
        <f>0.4-0.35</f>
        <v>5.0000000000000044E-2</v>
      </c>
      <c r="F31">
        <f>0.38-0.34</f>
        <v>3.999999999999998E-2</v>
      </c>
      <c r="G31">
        <f>0.43-0.38</f>
        <v>4.9999999999999989E-2</v>
      </c>
      <c r="J31">
        <f>0.81-0.79</f>
        <v>2.0000000000000018E-2</v>
      </c>
      <c r="K31">
        <f>0.66-0.63</f>
        <v>3.0000000000000027E-2</v>
      </c>
      <c r="Q31">
        <f>2.1-1.89</f>
        <v>0.21000000000000019</v>
      </c>
      <c r="R31">
        <f>1.8-1.7</f>
        <v>0.10000000000000009</v>
      </c>
      <c r="S31">
        <f>2.47-2.08</f>
        <v>0.39000000000000012</v>
      </c>
      <c r="T31">
        <f>2.2-1.97</f>
        <v>0.2300000000000002</v>
      </c>
      <c r="W31" s="71"/>
    </row>
    <row r="32" spans="1:25" x14ac:dyDescent="0.25">
      <c r="D32" s="55"/>
      <c r="E32" s="55">
        <f>+E26*E31</f>
        <v>112.35000000000009</v>
      </c>
      <c r="F32" s="55">
        <f>+F26*F31</f>
        <v>16.719999999999992</v>
      </c>
      <c r="G32" s="55">
        <f>+G26*G31</f>
        <v>75.499999999999986</v>
      </c>
      <c r="H32" s="55"/>
      <c r="I32" s="55"/>
      <c r="J32" s="55">
        <f>+J26*J31</f>
        <v>32.200000000000031</v>
      </c>
      <c r="K32" s="55">
        <f>+K26*K31</f>
        <v>72.180000000000064</v>
      </c>
      <c r="L32" s="55"/>
      <c r="M32" s="55">
        <v>3.2</v>
      </c>
      <c r="N32" s="55"/>
      <c r="O32" s="55"/>
      <c r="P32" s="55"/>
      <c r="Q32" s="55">
        <f>+Q26*Q31</f>
        <v>112.7700000000001</v>
      </c>
      <c r="R32" s="55">
        <f>+R26*R31</f>
        <v>97.10000000000008</v>
      </c>
      <c r="S32" s="55">
        <f>+S26*S31</f>
        <v>195.00000000000006</v>
      </c>
      <c r="T32" s="55">
        <f>+T26*T31</f>
        <v>185.15000000000018</v>
      </c>
      <c r="U32" s="55"/>
      <c r="V32" s="55"/>
      <c r="W32" s="55"/>
      <c r="X32" s="55"/>
      <c r="Y32" s="55"/>
    </row>
    <row r="33" spans="3:23" x14ac:dyDescent="0.25">
      <c r="T33">
        <f>SUM(D32:Y32)</f>
        <v>902.17000000000064</v>
      </c>
    </row>
    <row r="34" spans="3:23" x14ac:dyDescent="0.25">
      <c r="T34">
        <v>22489.7</v>
      </c>
    </row>
    <row r="35" spans="3:23" x14ac:dyDescent="0.25">
      <c r="T35" s="56">
        <f>T34-T33</f>
        <v>21587.53</v>
      </c>
    </row>
    <row r="36" spans="3:23" x14ac:dyDescent="0.25">
      <c r="C36" s="60"/>
    </row>
    <row r="42" spans="3:23" x14ac:dyDescent="0.25">
      <c r="W42" s="50"/>
    </row>
    <row r="43" spans="3:23" x14ac:dyDescent="0.25">
      <c r="W43" s="50"/>
    </row>
  </sheetData>
  <mergeCells count="7">
    <mergeCell ref="U2:V2"/>
    <mergeCell ref="A4:A10"/>
    <mergeCell ref="A11:A25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222E-AE05-4D01-8A33-774EC3777A52}">
  <dimension ref="A1:Y44"/>
  <sheetViews>
    <sheetView view="pageBreakPreview" zoomScale="60" zoomScaleNormal="6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P8" sqref="P8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5" width="9.85546875" customWidth="1"/>
    <col min="6" max="6" width="11.140625" customWidth="1"/>
    <col min="7" max="7" width="9.42578125" bestFit="1" customWidth="1"/>
    <col min="8" max="8" width="13.85546875" customWidth="1"/>
    <col min="9" max="9" width="11.28515625" customWidth="1"/>
    <col min="10" max="10" width="10.140625" customWidth="1"/>
    <col min="11" max="11" width="15.140625" bestFit="1" customWidth="1"/>
    <col min="12" max="12" width="12.28515625" customWidth="1"/>
    <col min="13" max="13" width="11.28515625" customWidth="1"/>
    <col min="14" max="14" width="8.42578125" customWidth="1"/>
    <col min="15" max="15" width="8.7109375" bestFit="1" customWidth="1"/>
    <col min="16" max="16" width="8.28515625" bestFit="1" customWidth="1"/>
    <col min="17" max="17" width="15.140625" customWidth="1"/>
    <col min="18" max="19" width="10.7109375" customWidth="1"/>
    <col min="20" max="20" width="15.140625" customWidth="1"/>
    <col min="21" max="21" width="14.42578125" customWidth="1"/>
    <col min="22" max="22" width="12.28515625" bestFit="1" customWidth="1"/>
    <col min="23" max="23" width="18.85546875" bestFit="1" customWidth="1"/>
    <col min="24" max="24" width="12.28515625" customWidth="1"/>
    <col min="25" max="25" width="12.5703125" customWidth="1"/>
  </cols>
  <sheetData>
    <row r="1" spans="1:25" ht="33" customHeight="1" thickBot="1" x14ac:dyDescent="0.3"/>
    <row r="2" spans="1:25" ht="28.5" customHeight="1" x14ac:dyDescent="0.45">
      <c r="B2" s="1"/>
      <c r="C2" s="2"/>
      <c r="D2" s="308" t="s">
        <v>0</v>
      </c>
      <c r="E2" s="313"/>
      <c r="F2" s="313"/>
      <c r="G2" s="309"/>
      <c r="H2" s="308" t="s">
        <v>1</v>
      </c>
      <c r="I2" s="313"/>
      <c r="J2" s="313"/>
      <c r="K2" s="313"/>
      <c r="L2" s="313"/>
      <c r="M2" s="313"/>
      <c r="N2" s="309"/>
      <c r="O2" s="308" t="s">
        <v>2</v>
      </c>
      <c r="P2" s="313"/>
      <c r="Q2" s="309"/>
      <c r="R2" s="308" t="s">
        <v>3</v>
      </c>
      <c r="S2" s="313"/>
      <c r="T2" s="309"/>
      <c r="U2" s="308" t="s">
        <v>4</v>
      </c>
      <c r="V2" s="309"/>
      <c r="W2" s="40" t="s">
        <v>47</v>
      </c>
      <c r="X2" s="40" t="s">
        <v>31</v>
      </c>
      <c r="Y2" s="46" t="s">
        <v>5</v>
      </c>
    </row>
    <row r="3" spans="1:25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34</v>
      </c>
      <c r="G3" s="8" t="s">
        <v>13</v>
      </c>
      <c r="H3" s="9" t="s">
        <v>34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8" t="s">
        <v>8</v>
      </c>
      <c r="O3" s="6" t="s">
        <v>12</v>
      </c>
      <c r="P3" s="7" t="s">
        <v>16</v>
      </c>
      <c r="Q3" s="8" t="s">
        <v>13</v>
      </c>
      <c r="R3" s="6" t="s">
        <v>16</v>
      </c>
      <c r="S3" s="7" t="s">
        <v>12</v>
      </c>
      <c r="T3" s="8" t="s">
        <v>13</v>
      </c>
      <c r="U3" s="6" t="s">
        <v>17</v>
      </c>
      <c r="V3" s="8" t="s">
        <v>18</v>
      </c>
      <c r="W3" s="7" t="s">
        <v>9</v>
      </c>
      <c r="X3" s="7" t="s">
        <v>13</v>
      </c>
      <c r="Y3" s="10" t="s">
        <v>34</v>
      </c>
    </row>
    <row r="4" spans="1:25" x14ac:dyDescent="0.25">
      <c r="A4" s="310" t="s">
        <v>19</v>
      </c>
      <c r="B4" s="49"/>
      <c r="C4" s="2"/>
      <c r="D4" s="42">
        <f>'STOCK 28 a 04'!D26</f>
        <v>5680</v>
      </c>
      <c r="E4" s="42">
        <f>'STOCK 28 a 04'!E26</f>
        <v>2247</v>
      </c>
      <c r="F4" s="42">
        <f>'STOCK 28 a 04'!F26</f>
        <v>418</v>
      </c>
      <c r="G4" s="42">
        <f>'STOCK 28 a 04'!G26</f>
        <v>1510</v>
      </c>
      <c r="H4" s="42">
        <f>'STOCK 28 a 04'!H26</f>
        <v>3922</v>
      </c>
      <c r="I4" s="42">
        <f>'STOCK 28 a 04'!I26</f>
        <v>0</v>
      </c>
      <c r="J4" s="42">
        <f>'STOCK 28 a 04'!J26</f>
        <v>1610</v>
      </c>
      <c r="K4" s="42">
        <f>'STOCK 28 a 04'!K26</f>
        <v>2406</v>
      </c>
      <c r="L4" s="42">
        <f>'STOCK 28 a 04'!L26</f>
        <v>0</v>
      </c>
      <c r="M4" s="42">
        <f>'STOCK 28 a 04'!M26</f>
        <v>5</v>
      </c>
      <c r="N4" s="42">
        <f>'STOCK 28 a 04'!N26</f>
        <v>0</v>
      </c>
      <c r="O4" s="42">
        <f>'STOCK 28 a 04'!O26</f>
        <v>1020</v>
      </c>
      <c r="P4" s="42">
        <f>'STOCK 28 a 04'!P26</f>
        <v>660</v>
      </c>
      <c r="Q4" s="42">
        <f>'STOCK 28 a 04'!Q26</f>
        <v>537</v>
      </c>
      <c r="R4" s="42">
        <f>'STOCK 28 a 04'!R26</f>
        <v>971</v>
      </c>
      <c r="S4" s="42">
        <f>'STOCK 28 a 04'!S26</f>
        <v>500</v>
      </c>
      <c r="T4" s="42">
        <f>'STOCK 28 a 04'!T26</f>
        <v>805</v>
      </c>
      <c r="U4" s="42">
        <f>'STOCK 28 a 04'!U26</f>
        <v>4219</v>
      </c>
      <c r="V4" s="42">
        <f>'STOCK 28 a 04'!V26</f>
        <v>3937</v>
      </c>
      <c r="W4" s="42">
        <f>'STOCK 28 a 04'!W26</f>
        <v>950</v>
      </c>
      <c r="X4" s="42">
        <f>'STOCK 28 a 04'!X26</f>
        <v>280</v>
      </c>
      <c r="Y4" s="42">
        <f>'STOCK 28 a 04'!Y26</f>
        <v>43</v>
      </c>
    </row>
    <row r="5" spans="1:25" x14ac:dyDescent="0.25">
      <c r="A5" s="311"/>
      <c r="B5" s="20">
        <v>45419</v>
      </c>
      <c r="C5" s="14" t="s">
        <v>46</v>
      </c>
      <c r="D5" s="27"/>
      <c r="G5" s="31"/>
      <c r="H5" s="13"/>
      <c r="I5" s="35"/>
      <c r="K5" s="35"/>
      <c r="M5" s="35"/>
      <c r="N5" s="14"/>
      <c r="O5" s="27"/>
      <c r="Q5" s="31"/>
      <c r="R5" s="13"/>
      <c r="T5" s="31"/>
      <c r="U5" s="13"/>
      <c r="V5" s="31"/>
      <c r="W5">
        <v>400</v>
      </c>
      <c r="X5" s="31"/>
      <c r="Y5" s="15"/>
    </row>
    <row r="6" spans="1:25" x14ac:dyDescent="0.25">
      <c r="A6" s="311"/>
      <c r="B6" s="20">
        <v>45420</v>
      </c>
      <c r="C6" s="14" t="s">
        <v>27</v>
      </c>
      <c r="D6" s="27"/>
      <c r="G6" s="31"/>
      <c r="H6" s="13"/>
      <c r="I6" s="35"/>
      <c r="K6" s="35"/>
      <c r="M6" s="35"/>
      <c r="N6" s="14"/>
      <c r="O6" s="27"/>
      <c r="P6">
        <v>600</v>
      </c>
      <c r="Q6" s="31"/>
      <c r="R6" s="13">
        <v>500</v>
      </c>
      <c r="T6" s="31"/>
      <c r="U6" s="13"/>
      <c r="V6" s="31"/>
      <c r="X6" s="31"/>
      <c r="Y6" s="15"/>
    </row>
    <row r="7" spans="1:25" x14ac:dyDescent="0.25">
      <c r="A7" s="311"/>
      <c r="B7" s="20">
        <v>45423</v>
      </c>
      <c r="C7" s="14" t="s">
        <v>46</v>
      </c>
      <c r="D7" s="27"/>
      <c r="G7" s="31"/>
      <c r="H7" s="13"/>
      <c r="I7" s="35"/>
      <c r="K7" s="35"/>
      <c r="M7" s="35"/>
      <c r="N7" s="14"/>
      <c r="O7" s="27"/>
      <c r="Q7" s="31"/>
      <c r="R7" s="13"/>
      <c r="T7" s="31"/>
      <c r="U7" s="13">
        <v>3000</v>
      </c>
      <c r="V7" s="31"/>
      <c r="X7" s="31"/>
      <c r="Y7" s="15"/>
    </row>
    <row r="8" spans="1:25" x14ac:dyDescent="0.25">
      <c r="A8" s="311"/>
      <c r="B8" s="20"/>
      <c r="C8" s="14"/>
      <c r="D8" s="27"/>
      <c r="G8" s="31"/>
      <c r="H8" s="13"/>
      <c r="I8" s="35"/>
      <c r="K8" s="35"/>
      <c r="M8" s="35"/>
      <c r="N8" s="14"/>
      <c r="O8" s="27"/>
      <c r="Q8" s="31"/>
      <c r="R8" s="13"/>
      <c r="T8" s="31"/>
      <c r="U8" s="13"/>
      <c r="V8" s="31"/>
      <c r="X8" s="31"/>
      <c r="Y8" s="15"/>
    </row>
    <row r="9" spans="1:25" x14ac:dyDescent="0.25">
      <c r="A9" s="311"/>
      <c r="B9" s="20"/>
      <c r="C9" s="14"/>
      <c r="D9" s="27"/>
      <c r="G9" s="31"/>
      <c r="H9" s="13"/>
      <c r="I9" s="35"/>
      <c r="K9" s="35"/>
      <c r="M9" s="35"/>
      <c r="N9" s="14"/>
      <c r="O9" s="27"/>
      <c r="Q9" s="31"/>
      <c r="R9" s="13"/>
      <c r="T9" s="31"/>
      <c r="U9" s="13"/>
      <c r="V9" s="31"/>
      <c r="X9" s="31"/>
      <c r="Y9" s="15"/>
    </row>
    <row r="10" spans="1:25" ht="15.75" thickBot="1" x14ac:dyDescent="0.3">
      <c r="A10" s="312"/>
      <c r="B10" s="72"/>
      <c r="C10" s="17"/>
      <c r="D10" s="28"/>
      <c r="E10" s="18"/>
      <c r="F10" s="18"/>
      <c r="G10" s="32"/>
      <c r="H10" s="16"/>
      <c r="I10" s="36"/>
      <c r="J10" s="18"/>
      <c r="K10" s="36"/>
      <c r="L10" s="18"/>
      <c r="M10" s="36"/>
      <c r="N10" s="17"/>
      <c r="O10" s="28"/>
      <c r="P10" s="18"/>
      <c r="Q10" s="32"/>
      <c r="R10" s="16"/>
      <c r="S10" s="18"/>
      <c r="T10" s="32"/>
      <c r="U10" s="16"/>
      <c r="V10" s="32"/>
      <c r="W10" s="18"/>
      <c r="X10" s="32"/>
      <c r="Y10" s="19"/>
    </row>
    <row r="11" spans="1:25" x14ac:dyDescent="0.25">
      <c r="A11" s="310" t="s">
        <v>62</v>
      </c>
      <c r="B11" s="20">
        <v>45418</v>
      </c>
      <c r="C11" s="14" t="s">
        <v>22</v>
      </c>
      <c r="D11" s="27"/>
      <c r="G11" s="31"/>
      <c r="H11" s="13"/>
      <c r="I11" s="35"/>
      <c r="K11" s="35"/>
      <c r="M11" s="35"/>
      <c r="N11" s="14"/>
      <c r="O11" s="27"/>
      <c r="Q11" s="31"/>
      <c r="R11" s="13"/>
      <c r="T11" s="31"/>
      <c r="U11" s="13"/>
      <c r="V11" s="31">
        <v>6</v>
      </c>
      <c r="X11" s="31"/>
      <c r="Y11" s="15"/>
    </row>
    <row r="12" spans="1:25" x14ac:dyDescent="0.25">
      <c r="A12" s="311"/>
      <c r="B12" s="20">
        <v>45419</v>
      </c>
      <c r="C12" s="14" t="s">
        <v>22</v>
      </c>
      <c r="D12" s="27"/>
      <c r="G12" s="31"/>
      <c r="H12" s="13">
        <v>250</v>
      </c>
      <c r="I12" s="35"/>
      <c r="K12" s="35"/>
      <c r="M12" s="35"/>
      <c r="N12" s="14"/>
      <c r="O12" s="27"/>
      <c r="Q12" s="31"/>
      <c r="R12" s="13"/>
      <c r="T12" s="31"/>
      <c r="U12" s="13">
        <f>600+200</f>
        <v>800</v>
      </c>
      <c r="V12" s="31"/>
      <c r="X12" s="31"/>
      <c r="Y12" s="15"/>
    </row>
    <row r="13" spans="1:25" x14ac:dyDescent="0.25">
      <c r="A13" s="311"/>
      <c r="B13" s="20">
        <v>45420</v>
      </c>
      <c r="C13" s="14" t="s">
        <v>22</v>
      </c>
      <c r="D13" s="27">
        <v>500</v>
      </c>
      <c r="G13" s="31"/>
      <c r="H13" s="13"/>
      <c r="I13" s="35"/>
      <c r="K13" s="35"/>
      <c r="M13" s="35"/>
      <c r="N13" s="14"/>
      <c r="O13" s="27"/>
      <c r="P13">
        <v>1</v>
      </c>
      <c r="Q13" s="31"/>
      <c r="R13" s="13"/>
      <c r="T13" s="31"/>
      <c r="U13" s="13"/>
      <c r="V13" s="31">
        <v>1000</v>
      </c>
      <c r="W13">
        <v>80</v>
      </c>
      <c r="X13" s="31"/>
      <c r="Y13" s="15"/>
    </row>
    <row r="14" spans="1:25" x14ac:dyDescent="0.25">
      <c r="A14" s="311"/>
      <c r="B14" s="20">
        <v>45421</v>
      </c>
      <c r="C14" s="14" t="s">
        <v>22</v>
      </c>
      <c r="D14" s="27"/>
      <c r="E14">
        <v>2000</v>
      </c>
      <c r="G14" s="31"/>
      <c r="H14" s="13">
        <v>500</v>
      </c>
      <c r="I14" s="35"/>
      <c r="J14">
        <v>500</v>
      </c>
      <c r="K14" s="35"/>
      <c r="M14" s="35"/>
      <c r="N14" s="14"/>
      <c r="O14" s="27"/>
      <c r="Q14" s="31"/>
      <c r="R14" s="13">
        <v>400</v>
      </c>
      <c r="T14" s="31"/>
      <c r="U14" s="13"/>
      <c r="V14" s="31"/>
      <c r="X14" s="31"/>
      <c r="Y14" s="15"/>
    </row>
    <row r="15" spans="1:25" x14ac:dyDescent="0.25">
      <c r="A15" s="311"/>
      <c r="B15" s="20">
        <v>45422</v>
      </c>
      <c r="C15" s="14" t="s">
        <v>45</v>
      </c>
      <c r="D15" s="27">
        <v>3000</v>
      </c>
      <c r="G15" s="31"/>
      <c r="H15" s="13"/>
      <c r="I15" s="35"/>
      <c r="K15" s="35"/>
      <c r="M15" s="35"/>
      <c r="N15" s="14"/>
      <c r="O15" s="27"/>
      <c r="Q15" s="31"/>
      <c r="R15" s="13"/>
      <c r="T15" s="31"/>
      <c r="U15" s="13"/>
      <c r="V15" s="31"/>
      <c r="X15" s="31"/>
      <c r="Y15" s="15"/>
    </row>
    <row r="16" spans="1:25" x14ac:dyDescent="0.25">
      <c r="A16" s="311"/>
      <c r="B16" s="20"/>
      <c r="C16" s="14"/>
      <c r="D16" s="27"/>
      <c r="G16" s="31"/>
      <c r="H16" s="13"/>
      <c r="I16" s="35"/>
      <c r="K16" s="35"/>
      <c r="M16" s="35"/>
      <c r="N16" s="14"/>
      <c r="O16" s="27"/>
      <c r="Q16" s="31"/>
      <c r="R16" s="13"/>
      <c r="T16" s="31"/>
      <c r="U16" s="13"/>
      <c r="V16" s="31"/>
      <c r="X16" s="31"/>
      <c r="Y16" s="15"/>
    </row>
    <row r="17" spans="1:25" x14ac:dyDescent="0.25">
      <c r="A17" s="311"/>
      <c r="B17" s="20"/>
      <c r="C17" s="14"/>
      <c r="D17" s="27"/>
      <c r="G17" s="31"/>
      <c r="H17" s="13"/>
      <c r="I17" s="35"/>
      <c r="K17" s="35"/>
      <c r="M17" s="35"/>
      <c r="N17" s="14"/>
      <c r="O17" s="27"/>
      <c r="Q17" s="31"/>
      <c r="R17" s="13"/>
      <c r="T17" s="31"/>
      <c r="U17" s="13"/>
      <c r="V17" s="31"/>
      <c r="X17" s="31"/>
      <c r="Y17" s="15"/>
    </row>
    <row r="18" spans="1:25" x14ac:dyDescent="0.25">
      <c r="A18" s="311"/>
      <c r="B18" s="20"/>
      <c r="C18" s="14"/>
      <c r="D18" s="27"/>
      <c r="G18" s="31"/>
      <c r="H18" s="13"/>
      <c r="I18" s="35"/>
      <c r="K18" s="35"/>
      <c r="M18" s="35"/>
      <c r="N18" s="14"/>
      <c r="O18" s="27"/>
      <c r="Q18" s="31"/>
      <c r="R18" s="13"/>
      <c r="T18" s="31"/>
      <c r="U18" s="13"/>
      <c r="V18" s="31"/>
      <c r="X18" s="31"/>
      <c r="Y18" s="15"/>
    </row>
    <row r="19" spans="1:25" x14ac:dyDescent="0.25">
      <c r="A19" s="311"/>
      <c r="B19" s="20"/>
      <c r="C19" s="14"/>
      <c r="D19" s="27"/>
      <c r="G19" s="31"/>
      <c r="H19" s="13"/>
      <c r="I19" s="35"/>
      <c r="K19" s="35"/>
      <c r="M19" s="35"/>
      <c r="N19" s="14"/>
      <c r="O19" s="27"/>
      <c r="Q19" s="31"/>
      <c r="R19" s="13"/>
      <c r="T19" s="31"/>
      <c r="U19" s="13"/>
      <c r="V19" s="31"/>
      <c r="X19" s="31"/>
      <c r="Y19" s="15"/>
    </row>
    <row r="20" spans="1:25" x14ac:dyDescent="0.25">
      <c r="A20" s="311"/>
      <c r="B20" s="20"/>
      <c r="C20" s="14"/>
      <c r="D20" s="27"/>
      <c r="G20" s="31"/>
      <c r="H20" s="13"/>
      <c r="I20" s="35"/>
      <c r="K20" s="35"/>
      <c r="M20" s="35"/>
      <c r="N20" s="14"/>
      <c r="O20" s="27"/>
      <c r="Q20" s="31"/>
      <c r="R20" s="13"/>
      <c r="T20" s="31"/>
      <c r="U20" s="13"/>
      <c r="V20" s="31"/>
      <c r="X20" s="31"/>
      <c r="Y20" s="15"/>
    </row>
    <row r="21" spans="1:25" x14ac:dyDescent="0.25">
      <c r="A21" s="311"/>
      <c r="B21" s="20"/>
      <c r="C21" s="14"/>
      <c r="D21" s="27"/>
      <c r="G21" s="31"/>
      <c r="H21" s="13"/>
      <c r="I21" s="35"/>
      <c r="K21" s="35"/>
      <c r="M21" s="35"/>
      <c r="N21" s="14"/>
      <c r="O21" s="27"/>
      <c r="Q21" s="31"/>
      <c r="R21" s="13"/>
      <c r="T21" s="31"/>
      <c r="U21" s="13"/>
      <c r="V21" s="31"/>
      <c r="X21" s="31"/>
      <c r="Y21" s="15"/>
    </row>
    <row r="22" spans="1:25" x14ac:dyDescent="0.25">
      <c r="A22" s="311"/>
      <c r="B22" s="20"/>
      <c r="C22" s="14"/>
      <c r="D22" s="27"/>
      <c r="G22" s="31"/>
      <c r="H22" s="13"/>
      <c r="I22" s="35"/>
      <c r="K22" s="35"/>
      <c r="M22" s="35"/>
      <c r="N22" s="14"/>
      <c r="O22" s="27"/>
      <c r="Q22" s="31"/>
      <c r="R22" s="13"/>
      <c r="T22" s="31"/>
      <c r="U22" s="13"/>
      <c r="V22" s="31"/>
      <c r="X22" s="31"/>
      <c r="Y22" s="15"/>
    </row>
    <row r="23" spans="1:25" x14ac:dyDescent="0.25">
      <c r="A23" s="311"/>
      <c r="B23" s="20"/>
      <c r="C23" s="14"/>
      <c r="D23" s="27"/>
      <c r="G23" s="31"/>
      <c r="H23" s="13"/>
      <c r="I23" s="35"/>
      <c r="K23" s="35"/>
      <c r="M23" s="35"/>
      <c r="N23" s="14"/>
      <c r="O23" s="27"/>
      <c r="Q23" s="31"/>
      <c r="R23" s="13"/>
      <c r="T23" s="31"/>
      <c r="U23" s="13"/>
      <c r="V23" s="31"/>
      <c r="X23" s="31"/>
      <c r="Y23" s="15"/>
    </row>
    <row r="24" spans="1:25" x14ac:dyDescent="0.25">
      <c r="A24" s="311"/>
      <c r="B24" s="20"/>
      <c r="C24" s="14"/>
      <c r="D24" s="27"/>
      <c r="G24" s="31"/>
      <c r="H24" s="13"/>
      <c r="I24" s="35"/>
      <c r="K24" s="35"/>
      <c r="M24" s="35"/>
      <c r="N24" s="14"/>
      <c r="O24" s="27"/>
      <c r="Q24" s="31"/>
      <c r="R24" s="13"/>
      <c r="T24" s="31"/>
      <c r="U24" s="13"/>
      <c r="V24" s="31"/>
      <c r="X24" s="31"/>
      <c r="Y24" s="15"/>
    </row>
    <row r="25" spans="1:25" ht="15.75" thickBot="1" x14ac:dyDescent="0.3">
      <c r="A25" s="312"/>
      <c r="B25" s="13"/>
      <c r="C25" s="14"/>
      <c r="D25" s="27"/>
      <c r="G25" s="31"/>
      <c r="H25" s="13"/>
      <c r="I25" s="35"/>
      <c r="K25" s="35"/>
      <c r="M25" s="35"/>
      <c r="N25" s="14"/>
      <c r="O25" s="27"/>
      <c r="Q25" s="31"/>
      <c r="R25" s="13"/>
      <c r="T25" s="31"/>
      <c r="U25" s="13"/>
      <c r="V25" s="31"/>
      <c r="X25" s="31"/>
      <c r="Y25" s="15"/>
    </row>
    <row r="26" spans="1:25" ht="21.75" thickBot="1" x14ac:dyDescent="0.3">
      <c r="A26" s="21" t="s">
        <v>23</v>
      </c>
      <c r="B26" s="22"/>
      <c r="C26" s="23"/>
      <c r="D26" s="29">
        <f>SUM(D4:D10)-SUM(D11:D25)</f>
        <v>2180</v>
      </c>
      <c r="E26" s="22">
        <f>SUM(E4:E10)-SUM(E11:E25)</f>
        <v>247</v>
      </c>
      <c r="F26" s="24">
        <f t="shared" ref="F26:Y26" si="0">SUM(F4:F10)-SUM(F11:F25)</f>
        <v>418</v>
      </c>
      <c r="G26" s="33">
        <f t="shared" si="0"/>
        <v>1510</v>
      </c>
      <c r="H26" s="22">
        <f t="shared" si="0"/>
        <v>3172</v>
      </c>
      <c r="I26" s="37">
        <f t="shared" si="0"/>
        <v>0</v>
      </c>
      <c r="J26" s="24">
        <f t="shared" si="0"/>
        <v>1110</v>
      </c>
      <c r="K26" s="37">
        <f t="shared" si="0"/>
        <v>2406</v>
      </c>
      <c r="L26" s="24">
        <f t="shared" si="0"/>
        <v>0</v>
      </c>
      <c r="M26" s="37">
        <f t="shared" si="0"/>
        <v>5</v>
      </c>
      <c r="N26" s="23">
        <f t="shared" si="0"/>
        <v>0</v>
      </c>
      <c r="O26" s="29">
        <f t="shared" si="0"/>
        <v>1020</v>
      </c>
      <c r="P26" s="24">
        <f t="shared" si="0"/>
        <v>1259</v>
      </c>
      <c r="Q26" s="33">
        <f t="shared" si="0"/>
        <v>537</v>
      </c>
      <c r="R26" s="22">
        <f>SUM(R4:R10)-SUM(R11:R25)</f>
        <v>1071</v>
      </c>
      <c r="S26" s="22">
        <f t="shared" si="0"/>
        <v>500</v>
      </c>
      <c r="T26" s="33">
        <f t="shared" si="0"/>
        <v>805</v>
      </c>
      <c r="U26" s="22">
        <f t="shared" si="0"/>
        <v>6419</v>
      </c>
      <c r="V26" s="33">
        <f t="shared" si="0"/>
        <v>2931</v>
      </c>
      <c r="W26" s="22">
        <f t="shared" si="0"/>
        <v>1270</v>
      </c>
      <c r="X26" s="33">
        <f t="shared" si="0"/>
        <v>280</v>
      </c>
      <c r="Y26" s="25">
        <f t="shared" si="0"/>
        <v>43</v>
      </c>
    </row>
    <row r="28" spans="1:25" x14ac:dyDescent="0.25">
      <c r="D28">
        <f>D26*0.31</f>
        <v>675.8</v>
      </c>
      <c r="E28">
        <f>+E26*0.4</f>
        <v>98.800000000000011</v>
      </c>
      <c r="F28">
        <f>+F26*0.38</f>
        <v>158.84</v>
      </c>
      <c r="G28">
        <f>+G26*0.43</f>
        <v>649.29999999999995</v>
      </c>
      <c r="H28">
        <f>+H26*0.54</f>
        <v>1712.88</v>
      </c>
      <c r="I28">
        <f>+I26*0.6</f>
        <v>0</v>
      </c>
      <c r="J28" s="50">
        <f>+J26*0.81</f>
        <v>899.1</v>
      </c>
      <c r="K28">
        <f>+K26*0.66</f>
        <v>1587.96</v>
      </c>
      <c r="L28">
        <f>+L26*0.66</f>
        <v>0</v>
      </c>
      <c r="M28">
        <f>+M26*0.64</f>
        <v>3.2</v>
      </c>
      <c r="N28">
        <f>+N26*0.53</f>
        <v>0</v>
      </c>
      <c r="O28">
        <f>+O26*2.05</f>
        <v>2091</v>
      </c>
      <c r="P28">
        <f>+P26*1.65</f>
        <v>2077.35</v>
      </c>
      <c r="Q28">
        <f>+Q26*2.1</f>
        <v>1127.7</v>
      </c>
      <c r="R28">
        <f>+R26*1.8-(500*0.1)</f>
        <v>1877.8</v>
      </c>
      <c r="S28">
        <f>+S26*2.47</f>
        <v>1235</v>
      </c>
      <c r="T28">
        <f>+T26*2.2</f>
        <v>1771.0000000000002</v>
      </c>
      <c r="U28">
        <f>+U26*0.42</f>
        <v>2695.98</v>
      </c>
      <c r="V28">
        <f>+V26*0.32</f>
        <v>937.92000000000007</v>
      </c>
      <c r="W28" s="50">
        <f>+W26*1.69+(400*0.31)</f>
        <v>2270.2999999999997</v>
      </c>
      <c r="X28">
        <f>+X26*0.8</f>
        <v>224</v>
      </c>
      <c r="Y28">
        <f>+Y26*2</f>
        <v>86</v>
      </c>
    </row>
    <row r="30" spans="1:25" x14ac:dyDescent="0.25">
      <c r="W30" s="71"/>
      <c r="Y30" s="39">
        <f>SUM(D28:Y28)</f>
        <v>22179.929999999997</v>
      </c>
    </row>
    <row r="31" spans="1:25" x14ac:dyDescent="0.25">
      <c r="C31" s="55" t="s">
        <v>35</v>
      </c>
      <c r="D31" s="55">
        <v>1500</v>
      </c>
      <c r="E31" s="55">
        <v>738</v>
      </c>
      <c r="F31" s="55">
        <v>398</v>
      </c>
      <c r="G31" s="55">
        <v>1496</v>
      </c>
      <c r="H31" s="55">
        <f>1178+2000</f>
        <v>3178</v>
      </c>
      <c r="I31" s="55"/>
      <c r="J31" s="55">
        <v>1110</v>
      </c>
      <c r="K31" s="55">
        <v>2395</v>
      </c>
      <c r="L31" s="55"/>
      <c r="M31" s="55"/>
      <c r="N31" s="55"/>
      <c r="O31" s="55">
        <v>1019</v>
      </c>
      <c r="P31" s="55">
        <v>1259</v>
      </c>
      <c r="Q31" s="55">
        <v>540</v>
      </c>
      <c r="R31" s="55">
        <v>1068</v>
      </c>
      <c r="S31" s="55">
        <v>500</v>
      </c>
      <c r="T31" s="55">
        <v>805</v>
      </c>
      <c r="U31" s="55">
        <f>3409</f>
        <v>3409</v>
      </c>
      <c r="V31" s="55">
        <v>2922</v>
      </c>
      <c r="W31" s="75">
        <f>401+860</f>
        <v>1261</v>
      </c>
      <c r="X31" s="55">
        <v>280</v>
      </c>
      <c r="Y31" s="55">
        <v>43</v>
      </c>
    </row>
    <row r="32" spans="1:25" x14ac:dyDescent="0.25">
      <c r="C32" t="s">
        <v>36</v>
      </c>
      <c r="D32">
        <f>D31-D26</f>
        <v>-680</v>
      </c>
      <c r="E32">
        <f>E31-E26</f>
        <v>491</v>
      </c>
      <c r="F32">
        <f t="shared" ref="F32:Y32" si="1">F31-F26</f>
        <v>-20</v>
      </c>
      <c r="G32">
        <f t="shared" si="1"/>
        <v>-14</v>
      </c>
      <c r="H32">
        <f t="shared" si="1"/>
        <v>6</v>
      </c>
      <c r="I32">
        <f t="shared" si="1"/>
        <v>0</v>
      </c>
      <c r="J32">
        <f t="shared" si="1"/>
        <v>0</v>
      </c>
      <c r="K32">
        <f t="shared" si="1"/>
        <v>-11</v>
      </c>
      <c r="L32">
        <f t="shared" si="1"/>
        <v>0</v>
      </c>
      <c r="M32">
        <f t="shared" si="1"/>
        <v>-5</v>
      </c>
      <c r="N32">
        <f t="shared" si="1"/>
        <v>0</v>
      </c>
      <c r="O32">
        <f t="shared" si="1"/>
        <v>-1</v>
      </c>
      <c r="P32">
        <f t="shared" si="1"/>
        <v>0</v>
      </c>
      <c r="Q32">
        <f t="shared" si="1"/>
        <v>3</v>
      </c>
      <c r="R32">
        <f>R31-R26</f>
        <v>-3</v>
      </c>
      <c r="S32">
        <f t="shared" si="1"/>
        <v>0</v>
      </c>
      <c r="T32">
        <f>T31-T26</f>
        <v>0</v>
      </c>
      <c r="U32">
        <f>U31-3419</f>
        <v>-10</v>
      </c>
      <c r="V32">
        <f>V31-V26</f>
        <v>-9</v>
      </c>
      <c r="W32">
        <f t="shared" si="1"/>
        <v>-9</v>
      </c>
      <c r="X32">
        <f t="shared" si="1"/>
        <v>0</v>
      </c>
      <c r="Y32">
        <f t="shared" si="1"/>
        <v>0</v>
      </c>
    </row>
    <row r="33" spans="3:25" x14ac:dyDescent="0.25">
      <c r="D33" s="61">
        <f>D32*0.31</f>
        <v>-210.8</v>
      </c>
      <c r="E33" s="61">
        <f>E32*0.4</f>
        <v>196.4</v>
      </c>
      <c r="F33" s="61">
        <f>F32*0.38</f>
        <v>-7.6</v>
      </c>
      <c r="G33" s="61">
        <f>G32*0.43</f>
        <v>-6.02</v>
      </c>
      <c r="H33" s="61">
        <f>H32*0.54</f>
        <v>3.24</v>
      </c>
      <c r="I33" s="61"/>
      <c r="J33" s="61"/>
      <c r="K33" s="61">
        <f>K32*0.66</f>
        <v>-7.2600000000000007</v>
      </c>
      <c r="L33" s="61"/>
      <c r="M33" s="61">
        <f>M32*0.64</f>
        <v>-3.2</v>
      </c>
      <c r="N33" s="61"/>
      <c r="O33" s="61">
        <f>O32*2.05</f>
        <v>-2.0499999999999998</v>
      </c>
      <c r="P33" s="61"/>
      <c r="Q33" s="61">
        <f>Q32*2.1</f>
        <v>6.3000000000000007</v>
      </c>
      <c r="R33" s="61">
        <f>R32*1.7</f>
        <v>-5.0999999999999996</v>
      </c>
      <c r="S33" s="61"/>
      <c r="T33" s="61">
        <f>T32*2.2</f>
        <v>0</v>
      </c>
      <c r="U33" s="61">
        <f>U32*0.42</f>
        <v>-4.2</v>
      </c>
      <c r="V33" s="61">
        <f>V32*0.32</f>
        <v>-2.88</v>
      </c>
      <c r="W33" s="61">
        <f>W32*1.78763779527</f>
        <v>-16.088740157429999</v>
      </c>
    </row>
    <row r="34" spans="3:25" x14ac:dyDescent="0.25">
      <c r="W34" s="74">
        <f>SUM(D33:W33)</f>
        <v>-59.258740157430012</v>
      </c>
    </row>
    <row r="35" spans="3:25" x14ac:dyDescent="0.25">
      <c r="D35">
        <v>0</v>
      </c>
      <c r="E35">
        <f>0.4-0.35</f>
        <v>5.0000000000000044E-2</v>
      </c>
      <c r="F35">
        <f>0.38-0.34</f>
        <v>3.999999999999998E-2</v>
      </c>
      <c r="G35">
        <f>0.43-0.38</f>
        <v>4.9999999999999989E-2</v>
      </c>
      <c r="H35">
        <v>0</v>
      </c>
      <c r="I35">
        <v>0</v>
      </c>
      <c r="J35">
        <f>0.81-0.79</f>
        <v>2.0000000000000018E-2</v>
      </c>
      <c r="K35">
        <f>0.66-0.63</f>
        <v>3.0000000000000027E-2</v>
      </c>
      <c r="L35">
        <v>0</v>
      </c>
      <c r="M35">
        <v>0</v>
      </c>
      <c r="N35">
        <v>0</v>
      </c>
      <c r="O35">
        <f>2.05-2.08</f>
        <v>-3.0000000000000249E-2</v>
      </c>
      <c r="P35">
        <v>0</v>
      </c>
      <c r="Q35">
        <f>2.1-1.89</f>
        <v>0.21000000000000019</v>
      </c>
      <c r="R35">
        <f>1.8-1.7</f>
        <v>0.10000000000000009</v>
      </c>
      <c r="S35">
        <f>2.47-2.18</f>
        <v>0.29000000000000004</v>
      </c>
      <c r="T35">
        <f>2.2-1.97</f>
        <v>0.2300000000000002</v>
      </c>
      <c r="U35">
        <v>0</v>
      </c>
      <c r="V35">
        <v>0</v>
      </c>
      <c r="W35">
        <f>1.78763779527-1.79</f>
        <v>-2.3622047300000393E-3</v>
      </c>
      <c r="X35">
        <v>0</v>
      </c>
      <c r="Y35">
        <v>0</v>
      </c>
    </row>
    <row r="36" spans="3:25" x14ac:dyDescent="0.25">
      <c r="C36" s="60"/>
      <c r="D36" s="56">
        <v>0</v>
      </c>
      <c r="E36" s="56">
        <f>738*E35</f>
        <v>36.900000000000034</v>
      </c>
      <c r="F36" s="56">
        <f>+F31*F35</f>
        <v>15.919999999999993</v>
      </c>
      <c r="G36" s="56">
        <f>+G31*G35</f>
        <v>74.799999999999983</v>
      </c>
      <c r="H36" s="56">
        <v>0</v>
      </c>
      <c r="I36" s="56">
        <v>0</v>
      </c>
      <c r="J36" s="56">
        <f>+J26*J35</f>
        <v>22.200000000000021</v>
      </c>
      <c r="K36" s="56">
        <f>+K31*K35</f>
        <v>71.850000000000065</v>
      </c>
      <c r="L36" s="56">
        <v>0</v>
      </c>
      <c r="M36" s="56">
        <v>0</v>
      </c>
      <c r="N36" s="56">
        <v>0</v>
      </c>
      <c r="O36" s="56">
        <f>+O31*O35</f>
        <v>-30.570000000000253</v>
      </c>
      <c r="P36" s="56">
        <v>0</v>
      </c>
      <c r="Q36" s="56">
        <f>+Q31*Q35</f>
        <v>113.40000000000011</v>
      </c>
      <c r="R36" s="56">
        <f>571*R35</f>
        <v>57.100000000000051</v>
      </c>
      <c r="S36" s="56">
        <f>+S26*S35</f>
        <v>145.00000000000003</v>
      </c>
      <c r="T36" s="56">
        <f>+T26*T35</f>
        <v>185.15000000000018</v>
      </c>
      <c r="U36" s="56">
        <v>0</v>
      </c>
      <c r="V36" s="56">
        <v>0</v>
      </c>
      <c r="W36" s="56">
        <f>+W31*W35</f>
        <v>-2.9787401645300493</v>
      </c>
      <c r="X36" s="56">
        <v>0</v>
      </c>
      <c r="Y36" s="56">
        <v>0</v>
      </c>
    </row>
    <row r="37" spans="3:25" x14ac:dyDescent="0.25">
      <c r="Y37" s="56">
        <f>SUM(D36:Y36)</f>
        <v>688.77125983547023</v>
      </c>
    </row>
    <row r="38" spans="3:25" x14ac:dyDescent="0.25">
      <c r="D38">
        <f>D31*0.31</f>
        <v>465</v>
      </c>
      <c r="E38">
        <f>E31*0.35</f>
        <v>258.3</v>
      </c>
      <c r="F38">
        <f>F31*0.34</f>
        <v>135.32000000000002</v>
      </c>
      <c r="G38">
        <f>G31*0.38</f>
        <v>568.48</v>
      </c>
      <c r="H38">
        <f>H31*0.54</f>
        <v>1716.1200000000001</v>
      </c>
      <c r="I38">
        <f>I31*0.31</f>
        <v>0</v>
      </c>
      <c r="J38">
        <f>J31*0.79</f>
        <v>876.90000000000009</v>
      </c>
      <c r="K38">
        <f>K31*0.63</f>
        <v>1508.85</v>
      </c>
      <c r="L38">
        <f>L31*0.31</f>
        <v>0</v>
      </c>
      <c r="M38">
        <f>M31*0.31</f>
        <v>0</v>
      </c>
      <c r="N38">
        <f>N31*0.31</f>
        <v>0</v>
      </c>
      <c r="O38">
        <f>O31*2.08</f>
        <v>2119.52</v>
      </c>
      <c r="P38">
        <f>P31*1.65</f>
        <v>2077.35</v>
      </c>
      <c r="Q38">
        <f>Q31*1.89</f>
        <v>1020.5999999999999</v>
      </c>
      <c r="R38">
        <f>R31*1.7</f>
        <v>1815.6</v>
      </c>
      <c r="S38">
        <f>S31*2.18</f>
        <v>1090</v>
      </c>
      <c r="T38">
        <f>T31*1.97</f>
        <v>1585.85</v>
      </c>
      <c r="U38">
        <f>6409*0.42</f>
        <v>2691.7799999999997</v>
      </c>
      <c r="V38">
        <f>V31*0.32</f>
        <v>935.04</v>
      </c>
      <c r="W38">
        <f>W31*1.79</f>
        <v>2257.19</v>
      </c>
      <c r="X38">
        <f>X31*0.8</f>
        <v>224</v>
      </c>
      <c r="Y38">
        <f>Y31*2</f>
        <v>86</v>
      </c>
    </row>
    <row r="39" spans="3:25" x14ac:dyDescent="0.25">
      <c r="Y39">
        <f>SUM(D38:Y38)</f>
        <v>21431.9</v>
      </c>
    </row>
    <row r="41" spans="3:25" x14ac:dyDescent="0.25">
      <c r="D41">
        <f>D31*D35</f>
        <v>0</v>
      </c>
      <c r="E41">
        <f>E31*E35</f>
        <v>36.900000000000034</v>
      </c>
      <c r="F41">
        <f>F31*F35</f>
        <v>15.919999999999993</v>
      </c>
      <c r="G41">
        <f>G31*G35</f>
        <v>74.799999999999983</v>
      </c>
      <c r="H41">
        <f t="shared" ref="H41:V41" si="2">H31*H35</f>
        <v>0</v>
      </c>
      <c r="I41">
        <f t="shared" si="2"/>
        <v>0</v>
      </c>
      <c r="J41">
        <f t="shared" si="2"/>
        <v>22.200000000000021</v>
      </c>
      <c r="K41">
        <f>K31*K35</f>
        <v>71.850000000000065</v>
      </c>
      <c r="L41">
        <f t="shared" si="2"/>
        <v>0</v>
      </c>
      <c r="M41">
        <f t="shared" si="2"/>
        <v>0</v>
      </c>
      <c r="N41">
        <f t="shared" si="2"/>
        <v>0</v>
      </c>
      <c r="O41">
        <f>O31*O35</f>
        <v>-30.570000000000253</v>
      </c>
      <c r="P41">
        <f t="shared" si="2"/>
        <v>0</v>
      </c>
      <c r="Q41">
        <f t="shared" si="2"/>
        <v>113.40000000000011</v>
      </c>
      <c r="R41">
        <f>571*R35</f>
        <v>57.100000000000051</v>
      </c>
      <c r="S41">
        <f>S31*S35</f>
        <v>145.00000000000003</v>
      </c>
      <c r="T41">
        <f>T31*T35</f>
        <v>185.15000000000018</v>
      </c>
      <c r="U41">
        <f>U31*U35</f>
        <v>0</v>
      </c>
      <c r="V41">
        <f t="shared" si="2"/>
        <v>0</v>
      </c>
      <c r="W41">
        <f>W31*W35</f>
        <v>-2.9787401645300493</v>
      </c>
      <c r="X41">
        <f>X31*X35</f>
        <v>0</v>
      </c>
      <c r="Y41">
        <f>Y31*Y35</f>
        <v>0</v>
      </c>
    </row>
    <row r="42" spans="3:25" x14ac:dyDescent="0.25">
      <c r="W42" s="50"/>
    </row>
    <row r="43" spans="3:25" x14ac:dyDescent="0.25">
      <c r="W43" s="50"/>
      <c r="X43">
        <f>-Y37+W34</f>
        <v>-748.02999999290023</v>
      </c>
    </row>
    <row r="44" spans="3:25" x14ac:dyDescent="0.25">
      <c r="X44">
        <f>-W34+Y37</f>
        <v>748.02999999290023</v>
      </c>
    </row>
  </sheetData>
  <mergeCells count="7">
    <mergeCell ref="U2:V2"/>
    <mergeCell ref="A4:A10"/>
    <mergeCell ref="A11:A25"/>
    <mergeCell ref="D2:G2"/>
    <mergeCell ref="H2:N2"/>
    <mergeCell ref="O2:Q2"/>
    <mergeCell ref="R2:T2"/>
  </mergeCells>
  <pageMargins left="0.70866141732283472" right="0.70866141732283472" top="0.74803149606299213" bottom="0.74803149606299213" header="0.31496062992125984" footer="0.31496062992125984"/>
  <pageSetup paperSize="9" scale="43" orientation="landscape" horizontalDpi="203" verticalDpi="20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4D44-7E73-4011-9F47-43462C1C75AF}">
  <dimension ref="A1:Z30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23" sqref="P23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05 a 011'!D31</f>
        <v>1500</v>
      </c>
      <c r="E4" s="42">
        <f>'STOCK 05 a 011'!E31</f>
        <v>738</v>
      </c>
      <c r="F4" s="42"/>
      <c r="G4" s="42">
        <f>'STOCK 05 a 011'!F31</f>
        <v>398</v>
      </c>
      <c r="H4" s="42">
        <f>'STOCK 05 a 011'!G31</f>
        <v>1496</v>
      </c>
      <c r="I4" s="42">
        <f>'STOCK 05 a 011'!H31</f>
        <v>3178</v>
      </c>
      <c r="J4" s="42">
        <f>'STOCK 05 a 011'!I31</f>
        <v>0</v>
      </c>
      <c r="K4" s="42">
        <f>'STOCK 05 a 011'!J31</f>
        <v>1110</v>
      </c>
      <c r="L4" s="42">
        <f>'STOCK 05 a 011'!K31</f>
        <v>2395</v>
      </c>
      <c r="M4" s="42">
        <f>'STOCK 05 a 011'!L31</f>
        <v>0</v>
      </c>
      <c r="N4" s="42">
        <f>'STOCK 05 a 011'!M31</f>
        <v>0</v>
      </c>
      <c r="O4" s="42">
        <f>'STOCK 05 a 011'!N31</f>
        <v>0</v>
      </c>
      <c r="P4" s="42">
        <f>'STOCK 05 a 011'!O31</f>
        <v>1019</v>
      </c>
      <c r="Q4" s="42">
        <f>'STOCK 05 a 011'!P31</f>
        <v>1259</v>
      </c>
      <c r="R4" s="42">
        <f>'STOCK 05 a 011'!Q31</f>
        <v>540</v>
      </c>
      <c r="S4" s="42">
        <f>'STOCK 05 a 011'!R31</f>
        <v>1068</v>
      </c>
      <c r="T4" s="42">
        <f>'STOCK 05 a 011'!S31</f>
        <v>500</v>
      </c>
      <c r="U4" s="42">
        <f>'STOCK 05 a 011'!T31</f>
        <v>805</v>
      </c>
      <c r="V4" s="42">
        <v>6409</v>
      </c>
      <c r="W4" s="42">
        <f>'STOCK 05 a 011'!V31</f>
        <v>2922</v>
      </c>
      <c r="X4" s="42">
        <f>'STOCK 05 a 011'!W31</f>
        <v>1261</v>
      </c>
      <c r="Y4" s="42">
        <f>'STOCK 05 a 011'!X31</f>
        <v>280</v>
      </c>
      <c r="Z4" s="42">
        <f>'STOCK 05 a 011'!Y31</f>
        <v>43</v>
      </c>
    </row>
    <row r="5" spans="1:26" x14ac:dyDescent="0.25">
      <c r="A5" s="311"/>
      <c r="B5" s="20">
        <v>45428</v>
      </c>
      <c r="C5" s="14" t="s">
        <v>27</v>
      </c>
      <c r="D5" s="27"/>
      <c r="F5" s="35">
        <v>1000</v>
      </c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>
        <v>45429</v>
      </c>
      <c r="C6" s="14" t="s">
        <v>46</v>
      </c>
      <c r="D6" s="27">
        <v>4000</v>
      </c>
      <c r="F6" s="35"/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45424</v>
      </c>
      <c r="C11" s="14" t="s">
        <v>22</v>
      </c>
      <c r="D11" s="27"/>
      <c r="F11" s="35"/>
      <c r="H11" s="31"/>
      <c r="I11" s="13"/>
      <c r="J11" s="35"/>
      <c r="L11" s="35"/>
      <c r="N11" s="35"/>
      <c r="O11" s="14"/>
      <c r="P11" s="27"/>
      <c r="R11" s="31"/>
      <c r="S11" s="13"/>
      <c r="U11" s="31"/>
      <c r="V11" s="13"/>
      <c r="W11" s="31">
        <v>22</v>
      </c>
      <c r="Y11" s="31"/>
      <c r="Z11" s="15"/>
    </row>
    <row r="12" spans="1:26" x14ac:dyDescent="0.25">
      <c r="A12" s="311"/>
      <c r="B12" s="20">
        <v>45425</v>
      </c>
      <c r="C12" s="14" t="s">
        <v>22</v>
      </c>
      <c r="D12" s="27"/>
      <c r="F12" s="35"/>
      <c r="H12" s="31"/>
      <c r="I12" s="13"/>
      <c r="J12" s="35"/>
      <c r="L12" s="35"/>
      <c r="N12" s="35"/>
      <c r="O12" s="14"/>
      <c r="P12" s="27"/>
      <c r="R12" s="31"/>
      <c r="S12" s="13"/>
      <c r="U12" s="31"/>
      <c r="V12" s="13"/>
      <c r="W12" s="31"/>
      <c r="X12">
        <v>1000</v>
      </c>
      <c r="Y12" s="31"/>
      <c r="Z12" s="15"/>
    </row>
    <row r="13" spans="1:26" x14ac:dyDescent="0.25">
      <c r="A13" s="311"/>
      <c r="B13" s="20">
        <v>45426</v>
      </c>
      <c r="C13" s="14" t="s">
        <v>22</v>
      </c>
      <c r="D13" s="27"/>
      <c r="F13" s="35"/>
      <c r="H13" s="31"/>
      <c r="I13" s="13"/>
      <c r="J13" s="35"/>
      <c r="L13" s="35"/>
      <c r="N13" s="35"/>
      <c r="O13" s="14"/>
      <c r="P13" s="27"/>
      <c r="R13" s="31"/>
      <c r="S13" s="13"/>
      <c r="U13" s="31"/>
      <c r="V13" s="13"/>
      <c r="W13" s="31">
        <f>500+200</f>
        <v>700</v>
      </c>
      <c r="Y13" s="31"/>
      <c r="Z13" s="15"/>
    </row>
    <row r="14" spans="1:26" x14ac:dyDescent="0.25">
      <c r="A14" s="311"/>
      <c r="B14" s="20">
        <v>45427</v>
      </c>
      <c r="C14" s="14" t="s">
        <v>22</v>
      </c>
      <c r="D14" s="27"/>
      <c r="F14" s="35"/>
      <c r="H14" s="31"/>
      <c r="I14" s="13">
        <v>150</v>
      </c>
      <c r="J14" s="35"/>
      <c r="L14" s="35"/>
      <c r="N14" s="35"/>
      <c r="O14" s="14"/>
      <c r="P14" s="27"/>
      <c r="R14" s="31"/>
      <c r="S14" s="13"/>
      <c r="U14" s="31"/>
      <c r="V14" s="13">
        <v>100</v>
      </c>
      <c r="W14" s="31"/>
      <c r="Y14" s="31"/>
      <c r="Z14" s="15"/>
    </row>
    <row r="15" spans="1:26" x14ac:dyDescent="0.25">
      <c r="A15" s="311"/>
      <c r="B15" s="20">
        <v>45429</v>
      </c>
      <c r="C15" s="14" t="s">
        <v>22</v>
      </c>
      <c r="D15" s="27">
        <v>1000</v>
      </c>
      <c r="F15" s="35"/>
      <c r="H15" s="31"/>
      <c r="I15" s="13"/>
      <c r="J15" s="35"/>
      <c r="K15">
        <v>120</v>
      </c>
      <c r="L15" s="35"/>
      <c r="N15" s="35"/>
      <c r="O15" s="14"/>
      <c r="P15" s="27"/>
      <c r="R15" s="31"/>
      <c r="S15" s="13"/>
      <c r="U15" s="31"/>
      <c r="V15" s="13">
        <v>1000</v>
      </c>
      <c r="W15" s="31"/>
      <c r="Y15" s="31"/>
      <c r="Z15" s="15"/>
    </row>
    <row r="16" spans="1:26" x14ac:dyDescent="0.25">
      <c r="A16" s="311"/>
      <c r="B16" s="20"/>
      <c r="C16" s="14"/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4500</v>
      </c>
      <c r="E26" s="22">
        <f>SUM(E4:E10)-SUM(E11:E25)</f>
        <v>738</v>
      </c>
      <c r="F26" s="37">
        <f>SUM(F4:F10)-SUM(F11:F25)</f>
        <v>1000</v>
      </c>
      <c r="G26" s="24">
        <f t="shared" ref="G26:Z26" si="0">SUM(G4:G10)-SUM(G11:G25)</f>
        <v>398</v>
      </c>
      <c r="H26" s="33">
        <f t="shared" si="0"/>
        <v>1496</v>
      </c>
      <c r="I26" s="22">
        <f t="shared" si="0"/>
        <v>3028</v>
      </c>
      <c r="J26" s="37">
        <f t="shared" si="0"/>
        <v>0</v>
      </c>
      <c r="K26" s="24">
        <f t="shared" si="0"/>
        <v>990</v>
      </c>
      <c r="L26" s="37">
        <f t="shared" si="0"/>
        <v>2395</v>
      </c>
      <c r="M26" s="24">
        <f t="shared" si="0"/>
        <v>0</v>
      </c>
      <c r="N26" s="37">
        <f t="shared" si="0"/>
        <v>0</v>
      </c>
      <c r="O26" s="23">
        <f t="shared" si="0"/>
        <v>0</v>
      </c>
      <c r="P26" s="29">
        <f t="shared" si="0"/>
        <v>1019</v>
      </c>
      <c r="Q26" s="24">
        <f t="shared" si="0"/>
        <v>1259</v>
      </c>
      <c r="R26" s="33">
        <f t="shared" si="0"/>
        <v>540</v>
      </c>
      <c r="S26" s="22">
        <f>SUM(S4:S10)-SUM(S11:S25)</f>
        <v>1068</v>
      </c>
      <c r="T26" s="22">
        <f t="shared" si="0"/>
        <v>500</v>
      </c>
      <c r="U26" s="33">
        <f t="shared" si="0"/>
        <v>805</v>
      </c>
      <c r="V26" s="22">
        <f t="shared" si="0"/>
        <v>5309</v>
      </c>
      <c r="W26" s="33">
        <f t="shared" si="0"/>
        <v>2200</v>
      </c>
      <c r="X26" s="22">
        <f t="shared" si="0"/>
        <v>261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D26*0.31</f>
        <v>1395</v>
      </c>
      <c r="E28">
        <f>+E26*0.35</f>
        <v>258.3</v>
      </c>
      <c r="F28">
        <f>+F26*0.29</f>
        <v>290</v>
      </c>
      <c r="G28">
        <f>+G26*0.34</f>
        <v>135.32000000000002</v>
      </c>
      <c r="H28">
        <f>+H26*0.38</f>
        <v>568.48</v>
      </c>
      <c r="I28">
        <f>+I26*0.54</f>
        <v>1635.1200000000001</v>
      </c>
      <c r="J28">
        <f>+J26*0.6</f>
        <v>0</v>
      </c>
      <c r="K28" s="50">
        <f>+K26*0.79</f>
        <v>782.1</v>
      </c>
      <c r="L28">
        <f>+L26*0.63</f>
        <v>1508.85</v>
      </c>
      <c r="M28">
        <f>+M26*0.66</f>
        <v>0</v>
      </c>
      <c r="N28">
        <f>+N26*0.64</f>
        <v>0</v>
      </c>
      <c r="O28">
        <f>+O26*0.53</f>
        <v>0</v>
      </c>
      <c r="P28">
        <f>+P26*2.08</f>
        <v>2119.52</v>
      </c>
      <c r="Q28">
        <f>+Q26*1.65</f>
        <v>2077.35</v>
      </c>
      <c r="R28">
        <f>+R26*1.89</f>
        <v>1020.5999999999999</v>
      </c>
      <c r="S28">
        <f>+S26*1.7</f>
        <v>1815.6</v>
      </c>
      <c r="T28">
        <f>+T26*2.18</f>
        <v>1090</v>
      </c>
      <c r="U28">
        <f>+U26*1.97</f>
        <v>1585.85</v>
      </c>
      <c r="V28">
        <f>+V26*0.42</f>
        <v>2229.7799999999997</v>
      </c>
      <c r="W28">
        <f>+W26*0.32</f>
        <v>704</v>
      </c>
      <c r="X28" s="50">
        <f>+X26*1.79</f>
        <v>467.19</v>
      </c>
      <c r="Y28">
        <f>+Y26*0.8</f>
        <v>224</v>
      </c>
      <c r="Z28">
        <f>+Z26*2</f>
        <v>86</v>
      </c>
    </row>
    <row r="30" spans="1:26" x14ac:dyDescent="0.25">
      <c r="X30" s="71"/>
      <c r="Z30" s="39">
        <f>SUM(D28:Z28)</f>
        <v>19993.060000000001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17BB-1223-41EE-A3C2-A6FC2A33FD9D}">
  <dimension ref="A1:Z33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4" sqref="A14:XFD14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12 a 018'!D26</f>
        <v>4500</v>
      </c>
      <c r="E4" s="42">
        <f>'STOCK 12 a 018'!E26</f>
        <v>738</v>
      </c>
      <c r="F4" s="42">
        <f>'STOCK 12 a 018'!F26</f>
        <v>1000</v>
      </c>
      <c r="G4" s="42">
        <f>'STOCK 12 a 018'!G26</f>
        <v>398</v>
      </c>
      <c r="H4" s="42">
        <f>'STOCK 12 a 018'!H26</f>
        <v>1496</v>
      </c>
      <c r="I4" s="42">
        <f>'STOCK 12 a 018'!I26</f>
        <v>3028</v>
      </c>
      <c r="J4" s="42">
        <f>'STOCK 12 a 018'!J26</f>
        <v>0</v>
      </c>
      <c r="K4" s="42">
        <f>'STOCK 12 a 018'!K26</f>
        <v>990</v>
      </c>
      <c r="L4" s="42">
        <f>'STOCK 12 a 018'!L26</f>
        <v>2395</v>
      </c>
      <c r="M4" s="42">
        <f>'STOCK 12 a 018'!M26</f>
        <v>0</v>
      </c>
      <c r="N4" s="42">
        <f>'STOCK 12 a 018'!N26</f>
        <v>0</v>
      </c>
      <c r="O4" s="42">
        <f>'STOCK 12 a 018'!O26</f>
        <v>0</v>
      </c>
      <c r="P4" s="42">
        <f>'STOCK 12 a 018'!P26</f>
        <v>1019</v>
      </c>
      <c r="Q4" s="42">
        <f>'STOCK 12 a 018'!Q26</f>
        <v>1259</v>
      </c>
      <c r="R4" s="42">
        <f>'STOCK 12 a 018'!R26</f>
        <v>540</v>
      </c>
      <c r="S4" s="42">
        <f>'STOCK 12 a 018'!S26</f>
        <v>1068</v>
      </c>
      <c r="T4" s="42">
        <f>'STOCK 12 a 018'!T26</f>
        <v>500</v>
      </c>
      <c r="U4" s="42">
        <f>'STOCK 12 a 018'!U26</f>
        <v>805</v>
      </c>
      <c r="V4" s="42">
        <f>'STOCK 12 a 018'!V26</f>
        <v>5309</v>
      </c>
      <c r="W4" s="42">
        <f>'STOCK 12 a 018'!W26</f>
        <v>2200</v>
      </c>
      <c r="X4" s="42">
        <f>'STOCK 12 a 018'!X26</f>
        <v>261</v>
      </c>
      <c r="Y4" s="42">
        <f>'STOCK 12 a 018'!Y26</f>
        <v>280</v>
      </c>
      <c r="Z4" s="42">
        <f>'STOCK 12 a 018'!Z26</f>
        <v>43</v>
      </c>
    </row>
    <row r="5" spans="1:26" x14ac:dyDescent="0.25">
      <c r="A5" s="311"/>
      <c r="B5" s="20">
        <v>45433</v>
      </c>
      <c r="C5" s="14" t="s">
        <v>27</v>
      </c>
      <c r="D5" s="27"/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>
        <v>3000</v>
      </c>
      <c r="Y5" s="31"/>
      <c r="Z5" s="15"/>
    </row>
    <row r="6" spans="1:26" x14ac:dyDescent="0.25">
      <c r="A6" s="311"/>
      <c r="B6" s="20">
        <v>45435</v>
      </c>
      <c r="C6" s="14" t="s">
        <v>27</v>
      </c>
      <c r="D6" s="27"/>
      <c r="F6" s="35"/>
      <c r="H6" s="31"/>
      <c r="I6" s="13"/>
      <c r="J6" s="35"/>
      <c r="L6" s="35">
        <v>2000</v>
      </c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>
        <v>45437</v>
      </c>
      <c r="C7" s="14" t="s">
        <v>46</v>
      </c>
      <c r="D7" s="27"/>
      <c r="F7" s="35">
        <v>2000</v>
      </c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45431</v>
      </c>
      <c r="C11" s="14" t="s">
        <v>22</v>
      </c>
      <c r="D11" s="27"/>
      <c r="F11" s="35"/>
      <c r="H11" s="31"/>
      <c r="I11" s="13"/>
      <c r="J11" s="35"/>
      <c r="L11" s="35"/>
      <c r="N11" s="35"/>
      <c r="O11" s="14"/>
      <c r="P11" s="27"/>
      <c r="R11" s="31"/>
      <c r="S11" s="13"/>
      <c r="U11" s="31"/>
      <c r="V11" s="13"/>
      <c r="W11" s="31">
        <v>1000</v>
      </c>
      <c r="Y11" s="31"/>
      <c r="Z11" s="15"/>
    </row>
    <row r="12" spans="1:26" x14ac:dyDescent="0.25">
      <c r="A12" s="311"/>
      <c r="B12" s="20">
        <v>45432</v>
      </c>
      <c r="C12" s="14" t="s">
        <v>22</v>
      </c>
      <c r="D12" s="27">
        <v>500</v>
      </c>
      <c r="E12">
        <v>30</v>
      </c>
      <c r="F12" s="35">
        <v>500</v>
      </c>
      <c r="H12" s="31"/>
      <c r="I12" s="13">
        <f>1100-40</f>
        <v>1060</v>
      </c>
      <c r="J12" s="35"/>
      <c r="L12" s="35"/>
      <c r="N12" s="35"/>
      <c r="O12" s="14"/>
      <c r="P12" s="27"/>
      <c r="R12" s="31"/>
      <c r="S12" s="13"/>
      <c r="U12" s="31"/>
      <c r="V12" s="13">
        <v>500</v>
      </c>
      <c r="W12" s="31"/>
      <c r="Y12" s="31"/>
      <c r="Z12" s="15"/>
    </row>
    <row r="13" spans="1:26" x14ac:dyDescent="0.25">
      <c r="A13" s="311"/>
      <c r="B13" s="20">
        <v>45433</v>
      </c>
      <c r="C13" s="14" t="s">
        <v>45</v>
      </c>
      <c r="D13" s="27"/>
      <c r="F13" s="35"/>
      <c r="H13" s="31"/>
      <c r="I13" s="13"/>
      <c r="J13" s="35"/>
      <c r="L13" s="35"/>
      <c r="N13" s="35"/>
      <c r="O13" s="14"/>
      <c r="P13" s="27"/>
      <c r="R13" s="31"/>
      <c r="S13" s="13"/>
      <c r="U13" s="31"/>
      <c r="V13" s="13"/>
      <c r="W13" s="31">
        <v>500</v>
      </c>
      <c r="Y13" s="31"/>
      <c r="Z13" s="15"/>
    </row>
    <row r="14" spans="1:26" x14ac:dyDescent="0.25">
      <c r="A14" s="311"/>
      <c r="B14" s="20">
        <v>45434</v>
      </c>
      <c r="C14" s="14" t="s">
        <v>22</v>
      </c>
      <c r="D14" s="27"/>
      <c r="F14" s="35"/>
      <c r="H14" s="31"/>
      <c r="I14" s="13"/>
      <c r="J14" s="35"/>
      <c r="L14" s="35"/>
      <c r="N14" s="35"/>
      <c r="O14" s="14"/>
      <c r="P14" s="27"/>
      <c r="Q14">
        <v>30</v>
      </c>
      <c r="R14" s="31"/>
      <c r="S14" s="13"/>
      <c r="U14" s="31"/>
      <c r="V14" s="13"/>
      <c r="W14" s="31"/>
      <c r="Y14" s="31"/>
      <c r="Z14" s="15"/>
    </row>
    <row r="15" spans="1:26" x14ac:dyDescent="0.25">
      <c r="A15" s="311"/>
      <c r="B15" s="20">
        <v>45436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>
        <v>240</v>
      </c>
      <c r="R15" s="31"/>
      <c r="S15" s="13"/>
      <c r="U15" s="31"/>
      <c r="V15" s="13"/>
      <c r="W15" s="31"/>
      <c r="Y15" s="31"/>
      <c r="Z15" s="15"/>
    </row>
    <row r="16" spans="1:26" x14ac:dyDescent="0.25">
      <c r="A16" s="311"/>
      <c r="B16" s="20">
        <v>45437</v>
      </c>
      <c r="C16" s="14" t="s">
        <v>22</v>
      </c>
      <c r="D16" s="27"/>
      <c r="F16" s="35">
        <v>1500</v>
      </c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>
        <f>150+50</f>
        <v>200</v>
      </c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4000</v>
      </c>
      <c r="E26" s="22">
        <f>SUM(E4:E10)-SUM(E11:E25)</f>
        <v>708</v>
      </c>
      <c r="F26" s="37">
        <f>SUM(F4:F10)-SUM(F11:F25)</f>
        <v>1000</v>
      </c>
      <c r="G26" s="24">
        <f t="shared" ref="G26:Z26" si="0">SUM(G4:G10)-SUM(G11:G25)</f>
        <v>398</v>
      </c>
      <c r="H26" s="33">
        <f t="shared" si="0"/>
        <v>1496</v>
      </c>
      <c r="I26" s="22">
        <f t="shared" si="0"/>
        <v>1968</v>
      </c>
      <c r="J26" s="37">
        <f t="shared" si="0"/>
        <v>0</v>
      </c>
      <c r="K26" s="24">
        <f t="shared" si="0"/>
        <v>990</v>
      </c>
      <c r="L26" s="37">
        <f t="shared" si="0"/>
        <v>4395</v>
      </c>
      <c r="M26" s="24">
        <f t="shared" si="0"/>
        <v>0</v>
      </c>
      <c r="N26" s="37">
        <f t="shared" si="0"/>
        <v>0</v>
      </c>
      <c r="O26" s="23">
        <f t="shared" si="0"/>
        <v>0</v>
      </c>
      <c r="P26" s="29">
        <f t="shared" si="0"/>
        <v>779</v>
      </c>
      <c r="Q26" s="24">
        <f t="shared" si="0"/>
        <v>1229</v>
      </c>
      <c r="R26" s="33">
        <f t="shared" si="0"/>
        <v>540</v>
      </c>
      <c r="S26" s="22">
        <f>SUM(S4:S10)-SUM(S11:S25)</f>
        <v>1068</v>
      </c>
      <c r="T26" s="22">
        <f t="shared" si="0"/>
        <v>500</v>
      </c>
      <c r="U26" s="33">
        <f t="shared" si="0"/>
        <v>805</v>
      </c>
      <c r="V26" s="22">
        <f t="shared" si="0"/>
        <v>4809</v>
      </c>
      <c r="W26" s="33">
        <f t="shared" si="0"/>
        <v>3500</v>
      </c>
      <c r="X26" s="22">
        <f t="shared" si="0"/>
        <v>261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D26*0.31</f>
        <v>1240</v>
      </c>
      <c r="E28">
        <f>+E26*0.35</f>
        <v>247.79999999999998</v>
      </c>
      <c r="F28">
        <f>+F26*0.28</f>
        <v>280</v>
      </c>
      <c r="G28">
        <f>+G26*0.34</f>
        <v>135.32000000000002</v>
      </c>
      <c r="H28">
        <f>+H26*0.38</f>
        <v>568.48</v>
      </c>
      <c r="I28">
        <f>+I26*0.54</f>
        <v>1062.72</v>
      </c>
      <c r="J28">
        <f>+J26*0.6</f>
        <v>0</v>
      </c>
      <c r="K28" s="50">
        <f>+K26*0.79</f>
        <v>782.1</v>
      </c>
      <c r="L28">
        <f>+L26*0.6+(2395*0.03)</f>
        <v>2708.85</v>
      </c>
      <c r="M28">
        <f>+M26*0.66</f>
        <v>0</v>
      </c>
      <c r="N28">
        <f>+N26*0.64</f>
        <v>0</v>
      </c>
      <c r="O28">
        <f>+O26*0.53</f>
        <v>0</v>
      </c>
      <c r="P28">
        <f>+P26*2.08</f>
        <v>1620.3200000000002</v>
      </c>
      <c r="Q28">
        <f>+Q26*1.65</f>
        <v>2027.85</v>
      </c>
      <c r="R28">
        <f>+R26*1.89</f>
        <v>1020.5999999999999</v>
      </c>
      <c r="S28">
        <f>+S26*1.7</f>
        <v>1815.6</v>
      </c>
      <c r="T28">
        <f>+T26*2.18</f>
        <v>1090</v>
      </c>
      <c r="U28">
        <f>+U26*1.97</f>
        <v>1585.85</v>
      </c>
      <c r="V28">
        <f>+V26*0.42</f>
        <v>2019.78</v>
      </c>
      <c r="W28">
        <f>+W26*0.31+(500*0.01)</f>
        <v>1090</v>
      </c>
      <c r="X28" s="50">
        <f>+X26*1.79</f>
        <v>467.19</v>
      </c>
      <c r="Y28">
        <f>+Y26*0.8</f>
        <v>224</v>
      </c>
      <c r="Z28">
        <f>+Z26*2</f>
        <v>86</v>
      </c>
    </row>
    <row r="30" spans="1:26" x14ac:dyDescent="0.25">
      <c r="X30" s="71"/>
      <c r="Z30" s="39">
        <f>SUM(D28:Z28)</f>
        <v>20072.46</v>
      </c>
    </row>
    <row r="32" spans="1:26" x14ac:dyDescent="0.25">
      <c r="Y32">
        <v>19993.099999999999</v>
      </c>
    </row>
    <row r="33" spans="25:25" x14ac:dyDescent="0.25">
      <c r="Y33">
        <v>1434.5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F780-8706-4E29-9515-3F4446805784}">
  <dimension ref="A1:Z35"/>
  <sheetViews>
    <sheetView zoomScale="60" zoomScaleNormal="6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F33" sqref="F33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19 a 025'!D26</f>
        <v>4000</v>
      </c>
      <c r="E4" s="42">
        <f>'STOCK 19 a 025'!E26</f>
        <v>708</v>
      </c>
      <c r="F4" s="42">
        <f>'STOCK 19 a 025'!F26</f>
        <v>1000</v>
      </c>
      <c r="G4" s="42">
        <f>'STOCK 19 a 025'!G26</f>
        <v>398</v>
      </c>
      <c r="H4" s="42">
        <f>'STOCK 19 a 025'!H26</f>
        <v>1496</v>
      </c>
      <c r="I4" s="42">
        <f>'STOCK 19 a 025'!I26</f>
        <v>1968</v>
      </c>
      <c r="J4" s="42">
        <f>'STOCK 19 a 025'!J26</f>
        <v>0</v>
      </c>
      <c r="K4" s="42">
        <f>'STOCK 19 a 025'!K26</f>
        <v>990</v>
      </c>
      <c r="L4" s="42">
        <f>'STOCK 19 a 025'!L26</f>
        <v>4395</v>
      </c>
      <c r="M4" s="42">
        <f>'STOCK 19 a 025'!M26</f>
        <v>0</v>
      </c>
      <c r="N4" s="42">
        <f>'STOCK 19 a 025'!N26</f>
        <v>0</v>
      </c>
      <c r="O4" s="42">
        <f>'STOCK 19 a 025'!O26</f>
        <v>0</v>
      </c>
      <c r="P4" s="42">
        <f>'STOCK 19 a 025'!P26</f>
        <v>779</v>
      </c>
      <c r="Q4" s="42">
        <f>'STOCK 19 a 025'!Q26</f>
        <v>1229</v>
      </c>
      <c r="R4" s="42">
        <f>'STOCK 19 a 025'!R26</f>
        <v>540</v>
      </c>
      <c r="S4" s="42">
        <f>'STOCK 19 a 025'!S26</f>
        <v>1068</v>
      </c>
      <c r="T4" s="42">
        <f>'STOCK 19 a 025'!T26</f>
        <v>500</v>
      </c>
      <c r="U4" s="42">
        <f>'STOCK 19 a 025'!U26</f>
        <v>805</v>
      </c>
      <c r="V4" s="42">
        <f>'STOCK 19 a 025'!V26</f>
        <v>4809</v>
      </c>
      <c r="W4" s="42">
        <f>'STOCK 19 a 025'!W26</f>
        <v>3500</v>
      </c>
      <c r="X4" s="42">
        <f>'STOCK 19 a 025'!X26</f>
        <v>261</v>
      </c>
      <c r="Y4" s="42">
        <f>'STOCK 19 a 025'!Y26</f>
        <v>280</v>
      </c>
      <c r="Z4" s="42">
        <f>'STOCK 19 a 025'!Z26</f>
        <v>43</v>
      </c>
    </row>
    <row r="5" spans="1:26" x14ac:dyDescent="0.25">
      <c r="A5" s="311"/>
      <c r="B5" s="20">
        <v>45441</v>
      </c>
      <c r="C5" s="14" t="s">
        <v>46</v>
      </c>
      <c r="D5" s="27"/>
      <c r="F5" s="35"/>
      <c r="H5" s="31"/>
      <c r="I5" s="13"/>
      <c r="J5" s="35"/>
      <c r="K5">
        <v>2000</v>
      </c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/>
      <c r="C6" s="14"/>
      <c r="D6" s="27"/>
      <c r="F6" s="35"/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45439</v>
      </c>
      <c r="C11" s="14" t="s">
        <v>22</v>
      </c>
      <c r="D11" s="27">
        <v>20</v>
      </c>
      <c r="F11" s="35">
        <v>500</v>
      </c>
      <c r="H11" s="31"/>
      <c r="I11" s="13"/>
      <c r="J11" s="35"/>
      <c r="L11" s="35"/>
      <c r="N11" s="35"/>
      <c r="O11" s="14"/>
      <c r="P11" s="27">
        <v>35</v>
      </c>
      <c r="R11" s="31"/>
      <c r="S11" s="13"/>
      <c r="U11" s="31">
        <v>500</v>
      </c>
      <c r="V11" s="13">
        <v>500</v>
      </c>
      <c r="W11" s="31"/>
      <c r="Y11" s="31"/>
      <c r="Z11" s="15"/>
    </row>
    <row r="12" spans="1:26" x14ac:dyDescent="0.25">
      <c r="A12" s="311"/>
      <c r="B12" s="20">
        <v>45440</v>
      </c>
      <c r="C12" s="14" t="s">
        <v>22</v>
      </c>
      <c r="D12" s="27"/>
      <c r="F12" s="35"/>
      <c r="G12">
        <v>18</v>
      </c>
      <c r="H12" s="31"/>
      <c r="I12" s="13">
        <v>150</v>
      </c>
      <c r="J12" s="35"/>
      <c r="L12" s="35"/>
      <c r="N12" s="35"/>
      <c r="O12" s="14"/>
      <c r="P12" s="27"/>
      <c r="R12" s="31"/>
      <c r="S12" s="13"/>
      <c r="U12" s="31"/>
      <c r="V12" s="13">
        <v>50</v>
      </c>
      <c r="W12" s="31">
        <v>500</v>
      </c>
      <c r="Y12" s="31"/>
      <c r="Z12" s="15"/>
    </row>
    <row r="13" spans="1:26" x14ac:dyDescent="0.25">
      <c r="A13" s="311"/>
      <c r="B13" s="20">
        <v>45441</v>
      </c>
      <c r="C13" s="14" t="s">
        <v>22</v>
      </c>
      <c r="D13" s="27">
        <v>1000</v>
      </c>
      <c r="F13" s="35"/>
      <c r="H13" s="31">
        <v>20</v>
      </c>
      <c r="I13" s="13"/>
      <c r="J13" s="35"/>
      <c r="K13">
        <v>95</v>
      </c>
      <c r="L13" s="35"/>
      <c r="N13" s="35"/>
      <c r="O13" s="14"/>
      <c r="P13" s="27"/>
      <c r="R13" s="31"/>
      <c r="S13" s="13"/>
      <c r="U13" s="31"/>
      <c r="V13" s="13"/>
      <c r="W13" s="31"/>
      <c r="Y13" s="31"/>
      <c r="Z13" s="15"/>
    </row>
    <row r="14" spans="1:26" x14ac:dyDescent="0.25">
      <c r="A14" s="311"/>
      <c r="B14" s="20">
        <v>45442</v>
      </c>
      <c r="C14" s="14" t="s">
        <v>22</v>
      </c>
      <c r="D14" s="27"/>
      <c r="F14" s="35"/>
      <c r="H14" s="31"/>
      <c r="I14" s="13"/>
      <c r="J14" s="35"/>
      <c r="L14" s="35"/>
      <c r="N14" s="35"/>
      <c r="O14" s="14"/>
      <c r="P14" s="27"/>
      <c r="R14" s="31"/>
      <c r="S14" s="13"/>
      <c r="U14" s="31"/>
      <c r="V14" s="13">
        <v>30</v>
      </c>
      <c r="W14" s="31">
        <v>70</v>
      </c>
      <c r="Y14" s="31"/>
      <c r="Z14" s="15"/>
    </row>
    <row r="15" spans="1:26" x14ac:dyDescent="0.25">
      <c r="A15" s="311"/>
      <c r="B15" s="20">
        <v>45444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/>
      <c r="R15" s="31"/>
      <c r="S15" s="13"/>
      <c r="U15" s="31"/>
      <c r="V15" s="13"/>
      <c r="W15" s="31">
        <v>60</v>
      </c>
      <c r="Y15" s="31"/>
      <c r="Z15" s="15"/>
    </row>
    <row r="16" spans="1:26" x14ac:dyDescent="0.25">
      <c r="A16" s="311"/>
      <c r="B16" s="20"/>
      <c r="C16" s="14"/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2980</v>
      </c>
      <c r="E26" s="22">
        <f>SUM(E4:E10)-SUM(E11:E25)</f>
        <v>708</v>
      </c>
      <c r="F26" s="37">
        <f>SUM(F4:F10)-SUM(F11:F25)</f>
        <v>500</v>
      </c>
      <c r="G26" s="24">
        <f t="shared" ref="G26:Z26" si="0">SUM(G4:G10)-SUM(G11:G25)</f>
        <v>380</v>
      </c>
      <c r="H26" s="33">
        <f t="shared" si="0"/>
        <v>1476</v>
      </c>
      <c r="I26" s="22">
        <f t="shared" si="0"/>
        <v>1818</v>
      </c>
      <c r="J26" s="37">
        <f t="shared" si="0"/>
        <v>0</v>
      </c>
      <c r="K26" s="24">
        <f t="shared" si="0"/>
        <v>2895</v>
      </c>
      <c r="L26" s="37">
        <f t="shared" si="0"/>
        <v>4395</v>
      </c>
      <c r="M26" s="24">
        <f t="shared" si="0"/>
        <v>0</v>
      </c>
      <c r="N26" s="37">
        <f t="shared" si="0"/>
        <v>0</v>
      </c>
      <c r="O26" s="23">
        <f t="shared" si="0"/>
        <v>0</v>
      </c>
      <c r="P26" s="29">
        <f t="shared" si="0"/>
        <v>744</v>
      </c>
      <c r="Q26" s="24">
        <f t="shared" si="0"/>
        <v>1229</v>
      </c>
      <c r="R26" s="33">
        <f t="shared" si="0"/>
        <v>540</v>
      </c>
      <c r="S26" s="22">
        <f>SUM(S4:S10)-SUM(S11:S25)</f>
        <v>1068</v>
      </c>
      <c r="T26" s="22">
        <f t="shared" si="0"/>
        <v>500</v>
      </c>
      <c r="U26" s="33">
        <f t="shared" si="0"/>
        <v>305</v>
      </c>
      <c r="V26" s="22">
        <f t="shared" si="0"/>
        <v>4229</v>
      </c>
      <c r="W26" s="33">
        <f t="shared" si="0"/>
        <v>2870</v>
      </c>
      <c r="X26" s="22">
        <f t="shared" si="0"/>
        <v>261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D26*0.31</f>
        <v>923.8</v>
      </c>
      <c r="E28">
        <f>+E26*0.35</f>
        <v>247.79999999999998</v>
      </c>
      <c r="F28">
        <f>+F26*0.28</f>
        <v>140</v>
      </c>
      <c r="G28">
        <f>+G26*0.34</f>
        <v>129.20000000000002</v>
      </c>
      <c r="H28">
        <f>+H26*0.38</f>
        <v>560.88</v>
      </c>
      <c r="I28">
        <f>+I26*0.54</f>
        <v>981.72</v>
      </c>
      <c r="J28">
        <f>+J26*0.6</f>
        <v>0</v>
      </c>
      <c r="K28" s="50">
        <f>+K26*0.79</f>
        <v>2287.0500000000002</v>
      </c>
      <c r="L28">
        <f>+L26*0.6+(2395*0.03)</f>
        <v>2708.85</v>
      </c>
      <c r="M28">
        <f>+M26*0.66</f>
        <v>0</v>
      </c>
      <c r="N28">
        <f>+N26*0.64</f>
        <v>0</v>
      </c>
      <c r="O28">
        <f>+O26*0.53</f>
        <v>0</v>
      </c>
      <c r="P28">
        <f>+P26*2.08</f>
        <v>1547.52</v>
      </c>
      <c r="Q28">
        <f>+Q26*1.65</f>
        <v>2027.85</v>
      </c>
      <c r="R28">
        <f>+R26*1.89</f>
        <v>1020.5999999999999</v>
      </c>
      <c r="S28">
        <f>+S26*1.7</f>
        <v>1815.6</v>
      </c>
      <c r="T28">
        <f>+T26*2.18</f>
        <v>1090</v>
      </c>
      <c r="U28">
        <f>+U26*1.97</f>
        <v>600.85</v>
      </c>
      <c r="V28">
        <f>+V26*0.42</f>
        <v>1776.1799999999998</v>
      </c>
      <c r="W28">
        <f>+W26*0.31</f>
        <v>889.7</v>
      </c>
      <c r="X28" s="50">
        <f>+X26*1.79</f>
        <v>467.19</v>
      </c>
      <c r="Y28">
        <f>+Y26*0.8</f>
        <v>224</v>
      </c>
      <c r="Z28">
        <f>+Z26*2</f>
        <v>86</v>
      </c>
    </row>
    <row r="30" spans="1:26" x14ac:dyDescent="0.25">
      <c r="X30" s="71"/>
      <c r="Z30" s="39">
        <f>SUM(D28:Z28)</f>
        <v>19524.79</v>
      </c>
    </row>
    <row r="31" spans="1:26" ht="15.75" thickBot="1" x14ac:dyDescent="0.3">
      <c r="X31" s="71"/>
      <c r="Z31" s="39"/>
    </row>
    <row r="32" spans="1:26" ht="21.75" thickBot="1" x14ac:dyDescent="0.3">
      <c r="A32" s="21" t="s">
        <v>23</v>
      </c>
      <c r="B32" s="22"/>
      <c r="C32" s="23"/>
      <c r="D32" s="29">
        <v>2980</v>
      </c>
      <c r="E32" s="22">
        <v>708</v>
      </c>
      <c r="F32" s="37">
        <v>500</v>
      </c>
      <c r="G32" s="24">
        <v>380</v>
      </c>
      <c r="H32" s="33">
        <v>1476</v>
      </c>
      <c r="I32" s="22">
        <v>1818</v>
      </c>
      <c r="J32" s="37">
        <v>0</v>
      </c>
      <c r="K32" s="24">
        <v>2895</v>
      </c>
      <c r="L32" s="37">
        <v>4395</v>
      </c>
      <c r="M32" s="24">
        <v>0</v>
      </c>
      <c r="N32" s="37">
        <v>0</v>
      </c>
      <c r="O32" s="23">
        <v>0</v>
      </c>
      <c r="P32" s="29">
        <v>744</v>
      </c>
      <c r="Q32" s="24">
        <v>1229</v>
      </c>
      <c r="R32" s="33">
        <v>540</v>
      </c>
      <c r="S32" s="22">
        <v>1068</v>
      </c>
      <c r="T32" s="22">
        <v>500</v>
      </c>
      <c r="U32" s="33">
        <v>305</v>
      </c>
      <c r="V32" s="22">
        <v>4229</v>
      </c>
      <c r="W32" s="33">
        <v>2870</v>
      </c>
      <c r="X32" s="22">
        <v>261</v>
      </c>
      <c r="Y32" s="33">
        <v>280</v>
      </c>
      <c r="Z32" s="25">
        <v>43</v>
      </c>
    </row>
    <row r="33" spans="3:26" x14ac:dyDescent="0.25">
      <c r="C33" t="s">
        <v>64</v>
      </c>
      <c r="D33">
        <v>3000</v>
      </c>
      <c r="E33">
        <v>660</v>
      </c>
      <c r="F33">
        <v>596</v>
      </c>
      <c r="H33">
        <v>1500</v>
      </c>
      <c r="I33">
        <f>778+1000</f>
        <v>1778</v>
      </c>
      <c r="K33">
        <v>3000</v>
      </c>
      <c r="L33">
        <f>3000+1395</f>
        <v>4395</v>
      </c>
      <c r="P33">
        <v>744</v>
      </c>
      <c r="Q33">
        <v>1228</v>
      </c>
      <c r="R33">
        <v>540</v>
      </c>
      <c r="S33">
        <v>1068</v>
      </c>
      <c r="T33">
        <v>500</v>
      </c>
      <c r="U33">
        <v>304</v>
      </c>
      <c r="V33">
        <v>4300</v>
      </c>
      <c r="W33">
        <v>2900</v>
      </c>
      <c r="X33">
        <v>255</v>
      </c>
      <c r="Y33">
        <v>280</v>
      </c>
      <c r="Z33">
        <v>43</v>
      </c>
    </row>
    <row r="35" spans="3:26" x14ac:dyDescent="0.25">
      <c r="C35" t="s">
        <v>36</v>
      </c>
      <c r="D35">
        <f>D33-D26</f>
        <v>20</v>
      </c>
      <c r="E35">
        <f t="shared" ref="E35:Z35" si="1">E33-E26</f>
        <v>-48</v>
      </c>
      <c r="F35">
        <f t="shared" si="1"/>
        <v>96</v>
      </c>
      <c r="G35">
        <f t="shared" si="1"/>
        <v>-380</v>
      </c>
      <c r="H35">
        <f t="shared" si="1"/>
        <v>24</v>
      </c>
      <c r="I35">
        <f t="shared" si="1"/>
        <v>-40</v>
      </c>
      <c r="J35">
        <f t="shared" si="1"/>
        <v>0</v>
      </c>
      <c r="K35">
        <f t="shared" si="1"/>
        <v>105</v>
      </c>
      <c r="L35">
        <f t="shared" si="1"/>
        <v>0</v>
      </c>
      <c r="M35">
        <f t="shared" si="1"/>
        <v>0</v>
      </c>
      <c r="N35">
        <f t="shared" si="1"/>
        <v>0</v>
      </c>
      <c r="O35">
        <f t="shared" si="1"/>
        <v>0</v>
      </c>
      <c r="P35">
        <f t="shared" si="1"/>
        <v>0</v>
      </c>
      <c r="Q35">
        <f t="shared" si="1"/>
        <v>-1</v>
      </c>
      <c r="R35">
        <f t="shared" si="1"/>
        <v>0</v>
      </c>
      <c r="S35">
        <f t="shared" si="1"/>
        <v>0</v>
      </c>
      <c r="T35">
        <f t="shared" si="1"/>
        <v>0</v>
      </c>
      <c r="U35">
        <f t="shared" si="1"/>
        <v>-1</v>
      </c>
      <c r="V35">
        <f t="shared" si="1"/>
        <v>71</v>
      </c>
      <c r="W35">
        <f t="shared" si="1"/>
        <v>30</v>
      </c>
      <c r="X35">
        <f t="shared" si="1"/>
        <v>-6</v>
      </c>
      <c r="Y35">
        <f t="shared" si="1"/>
        <v>0</v>
      </c>
      <c r="Z35">
        <f t="shared" si="1"/>
        <v>0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D603-0F5C-4D1E-A5F9-2A4ABEBDE29C}">
  <dimension ref="A1:Z31"/>
  <sheetViews>
    <sheetView view="pageBreakPreview"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5" sqref="G15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26 a 01'!D26</f>
        <v>2980</v>
      </c>
      <c r="E4" s="42">
        <f>'STOCK 26 a 01'!E26</f>
        <v>708</v>
      </c>
      <c r="F4" s="42">
        <f>'STOCK 26 a 01'!F26</f>
        <v>500</v>
      </c>
      <c r="G4" s="42">
        <f>'STOCK 26 a 01'!G26</f>
        <v>380</v>
      </c>
      <c r="H4" s="42">
        <f>'STOCK 26 a 01'!H26</f>
        <v>1476</v>
      </c>
      <c r="I4" s="42">
        <f>'STOCK 26 a 01'!I26</f>
        <v>1818</v>
      </c>
      <c r="J4" s="42">
        <f>'STOCK 26 a 01'!J26</f>
        <v>0</v>
      </c>
      <c r="K4" s="42">
        <f>'STOCK 26 a 01'!K26</f>
        <v>2895</v>
      </c>
      <c r="L4" s="42">
        <f>'STOCK 26 a 01'!L26</f>
        <v>4395</v>
      </c>
      <c r="M4" s="42">
        <f>'STOCK 26 a 01'!M26</f>
        <v>0</v>
      </c>
      <c r="N4" s="42">
        <f>'STOCK 26 a 01'!N26</f>
        <v>0</v>
      </c>
      <c r="O4" s="42">
        <f>'STOCK 26 a 01'!O26</f>
        <v>0</v>
      </c>
      <c r="P4" s="42">
        <f>'STOCK 26 a 01'!P26</f>
        <v>744</v>
      </c>
      <c r="Q4" s="42">
        <f>'STOCK 26 a 01'!Q26</f>
        <v>1229</v>
      </c>
      <c r="R4" s="42">
        <f>'STOCK 26 a 01'!R26</f>
        <v>540</v>
      </c>
      <c r="S4" s="42">
        <f>'STOCK 26 a 01'!S26</f>
        <v>1068</v>
      </c>
      <c r="T4" s="42">
        <f>'STOCK 26 a 01'!T26</f>
        <v>500</v>
      </c>
      <c r="U4" s="42">
        <f>'STOCK 26 a 01'!U26</f>
        <v>305</v>
      </c>
      <c r="V4" s="42">
        <f>'STOCK 26 a 01'!V26</f>
        <v>4229</v>
      </c>
      <c r="W4" s="42">
        <f>'STOCK 26 a 01'!W26</f>
        <v>2870</v>
      </c>
      <c r="X4" s="42">
        <f>'STOCK 26 a 01'!X26</f>
        <v>261</v>
      </c>
      <c r="Y4" s="42">
        <f>'STOCK 26 a 01'!Y26</f>
        <v>280</v>
      </c>
      <c r="Z4" s="42">
        <f>'STOCK 26 a 01'!Z26</f>
        <v>43</v>
      </c>
    </row>
    <row r="5" spans="1:26" x14ac:dyDescent="0.25">
      <c r="A5" s="311"/>
      <c r="B5" s="20">
        <v>45449</v>
      </c>
      <c r="C5" s="14" t="s">
        <v>27</v>
      </c>
      <c r="D5" s="27"/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/>
      <c r="X5">
        <v>1000</v>
      </c>
      <c r="Y5" s="31"/>
      <c r="Z5" s="15"/>
    </row>
    <row r="6" spans="1:26" x14ac:dyDescent="0.25">
      <c r="A6" s="311"/>
      <c r="B6" s="20">
        <v>45450</v>
      </c>
      <c r="C6" s="14" t="s">
        <v>27</v>
      </c>
      <c r="D6" s="27"/>
      <c r="F6" s="35">
        <v>3000</v>
      </c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45445</v>
      </c>
      <c r="C11" s="14" t="s">
        <v>22</v>
      </c>
      <c r="D11" s="27"/>
      <c r="F11" s="35"/>
      <c r="H11" s="31"/>
      <c r="I11" s="13"/>
      <c r="J11" s="35"/>
      <c r="L11" s="35"/>
      <c r="N11" s="35"/>
      <c r="O11" s="14"/>
      <c r="P11" s="27"/>
      <c r="R11" s="31"/>
      <c r="S11" s="13"/>
      <c r="U11" s="31"/>
      <c r="V11" s="13"/>
      <c r="W11" s="31">
        <v>100</v>
      </c>
      <c r="Y11" s="31"/>
      <c r="Z11" s="15"/>
    </row>
    <row r="12" spans="1:26" x14ac:dyDescent="0.25">
      <c r="A12" s="311"/>
      <c r="B12" s="20">
        <v>45446</v>
      </c>
      <c r="C12" s="14" t="s">
        <v>22</v>
      </c>
      <c r="D12" s="27">
        <v>1000</v>
      </c>
      <c r="F12" s="35">
        <v>500</v>
      </c>
      <c r="H12" s="31"/>
      <c r="I12" s="13"/>
      <c r="J12" s="35"/>
      <c r="L12" s="35"/>
      <c r="N12" s="35"/>
      <c r="O12" s="14"/>
      <c r="P12" s="27"/>
      <c r="R12" s="31"/>
      <c r="S12" s="13">
        <v>50</v>
      </c>
      <c r="U12" s="31"/>
      <c r="V12" s="13"/>
      <c r="W12" s="31"/>
      <c r="Y12" s="31"/>
      <c r="Z12" s="15"/>
    </row>
    <row r="13" spans="1:26" x14ac:dyDescent="0.25">
      <c r="A13" s="311"/>
      <c r="B13" s="20">
        <v>45447</v>
      </c>
      <c r="C13" s="14" t="s">
        <v>22</v>
      </c>
      <c r="D13" s="27"/>
      <c r="F13" s="35"/>
      <c r="H13" s="31"/>
      <c r="I13" s="13"/>
      <c r="J13" s="35"/>
      <c r="L13" s="35"/>
      <c r="N13" s="35"/>
      <c r="O13" s="14"/>
      <c r="P13" s="27">
        <v>300</v>
      </c>
      <c r="Q13">
        <v>84</v>
      </c>
      <c r="R13" s="31"/>
      <c r="S13" s="13"/>
      <c r="U13" s="31"/>
      <c r="V13" s="13">
        <v>500</v>
      </c>
      <c r="W13" s="31"/>
      <c r="Y13" s="31"/>
      <c r="Z13" s="15"/>
    </row>
    <row r="14" spans="1:26" x14ac:dyDescent="0.25">
      <c r="A14" s="311"/>
      <c r="B14" s="20">
        <v>45449</v>
      </c>
      <c r="C14" s="14" t="s">
        <v>22</v>
      </c>
      <c r="D14" s="27"/>
      <c r="F14" s="35"/>
      <c r="H14" s="31"/>
      <c r="I14" s="13"/>
      <c r="J14" s="35"/>
      <c r="L14" s="35"/>
      <c r="N14" s="35"/>
      <c r="O14" s="14"/>
      <c r="P14" s="27"/>
      <c r="R14" s="31"/>
      <c r="S14" s="13"/>
      <c r="U14" s="31"/>
      <c r="V14" s="13"/>
      <c r="W14" s="31">
        <v>500</v>
      </c>
      <c r="Y14" s="31"/>
      <c r="Z14" s="15"/>
    </row>
    <row r="15" spans="1:26" x14ac:dyDescent="0.25">
      <c r="A15" s="311"/>
      <c r="B15" s="20">
        <v>45451</v>
      </c>
      <c r="C15" s="14" t="s">
        <v>22</v>
      </c>
      <c r="D15" s="27">
        <v>1000</v>
      </c>
      <c r="F15" s="35">
        <v>500</v>
      </c>
      <c r="H15" s="31"/>
      <c r="I15" s="13"/>
      <c r="J15" s="35"/>
      <c r="L15" s="35"/>
      <c r="N15" s="35"/>
      <c r="O15" s="14"/>
      <c r="P15" s="27"/>
      <c r="R15" s="31"/>
      <c r="S15" s="13"/>
      <c r="U15" s="31"/>
      <c r="V15" s="13"/>
      <c r="W15" s="31">
        <v>250</v>
      </c>
      <c r="Y15" s="31"/>
      <c r="Z15" s="15"/>
    </row>
    <row r="16" spans="1:26" x14ac:dyDescent="0.25">
      <c r="A16" s="311"/>
      <c r="B16" s="20"/>
      <c r="C16" s="14"/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980</v>
      </c>
      <c r="E26" s="22">
        <f>SUM(E4:E10)-SUM(E11:E25)</f>
        <v>708</v>
      </c>
      <c r="F26" s="37">
        <f>SUM(F4:F10)-SUM(F11:F25)</f>
        <v>2500</v>
      </c>
      <c r="G26" s="24">
        <f t="shared" ref="G26:Z26" si="0">SUM(G4:G10)-SUM(G11:G25)</f>
        <v>380</v>
      </c>
      <c r="H26" s="33">
        <f t="shared" si="0"/>
        <v>1476</v>
      </c>
      <c r="I26" s="22">
        <f t="shared" si="0"/>
        <v>1818</v>
      </c>
      <c r="J26" s="37">
        <f t="shared" si="0"/>
        <v>0</v>
      </c>
      <c r="K26" s="24">
        <f t="shared" si="0"/>
        <v>2895</v>
      </c>
      <c r="L26" s="37">
        <f t="shared" si="0"/>
        <v>4395</v>
      </c>
      <c r="M26" s="24">
        <f t="shared" si="0"/>
        <v>0</v>
      </c>
      <c r="N26" s="37">
        <f t="shared" si="0"/>
        <v>0</v>
      </c>
      <c r="O26" s="23">
        <f t="shared" si="0"/>
        <v>0</v>
      </c>
      <c r="P26" s="29">
        <f t="shared" si="0"/>
        <v>444</v>
      </c>
      <c r="Q26" s="24">
        <f t="shared" si="0"/>
        <v>1145</v>
      </c>
      <c r="R26" s="33">
        <f t="shared" si="0"/>
        <v>540</v>
      </c>
      <c r="S26" s="22">
        <f>SUM(S4:S10)-SUM(S11:S25)</f>
        <v>1018</v>
      </c>
      <c r="T26" s="22">
        <f t="shared" si="0"/>
        <v>500</v>
      </c>
      <c r="U26" s="33">
        <f t="shared" si="0"/>
        <v>305</v>
      </c>
      <c r="V26" s="22">
        <f t="shared" si="0"/>
        <v>3729</v>
      </c>
      <c r="W26" s="33">
        <f t="shared" si="0"/>
        <v>2020</v>
      </c>
      <c r="X26" s="22">
        <f t="shared" si="0"/>
        <v>1261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D26*0.31</f>
        <v>303.8</v>
      </c>
      <c r="E28">
        <f>+E26*0.35</f>
        <v>247.79999999999998</v>
      </c>
      <c r="F28">
        <f>+F26*0.28</f>
        <v>700.00000000000011</v>
      </c>
      <c r="G28">
        <f>+G26*0.34</f>
        <v>129.20000000000002</v>
      </c>
      <c r="H28">
        <f>+H26*0.38</f>
        <v>560.88</v>
      </c>
      <c r="I28">
        <f>+I26*0.54</f>
        <v>981.72</v>
      </c>
      <c r="J28">
        <f>+J26*0.6</f>
        <v>0</v>
      </c>
      <c r="K28" s="50">
        <f>+K26*0.79</f>
        <v>2287.0500000000002</v>
      </c>
      <c r="L28">
        <f>+L26*0.6+(2395*0.03)</f>
        <v>2708.85</v>
      </c>
      <c r="M28">
        <f>+M26*0.66</f>
        <v>0</v>
      </c>
      <c r="N28">
        <f>+N26*0.64</f>
        <v>0</v>
      </c>
      <c r="O28">
        <f>+O26*0.53</f>
        <v>0</v>
      </c>
      <c r="P28">
        <f>+P26*2.08</f>
        <v>923.52</v>
      </c>
      <c r="Q28">
        <f>+Q26*1.65</f>
        <v>1889.25</v>
      </c>
      <c r="R28">
        <f>+R26*1.89</f>
        <v>1020.5999999999999</v>
      </c>
      <c r="S28">
        <f>+S26*1.7</f>
        <v>1730.6</v>
      </c>
      <c r="T28">
        <f>+T26*2.18</f>
        <v>1090</v>
      </c>
      <c r="U28">
        <f>+U26*1.97</f>
        <v>600.85</v>
      </c>
      <c r="V28">
        <f>+V26*0.42</f>
        <v>1566.1799999999998</v>
      </c>
      <c r="W28">
        <f>+W26*0.31</f>
        <v>626.20000000000005</v>
      </c>
      <c r="X28" s="50">
        <f>+X26*1.9-(261*0.11)</f>
        <v>2367.19</v>
      </c>
      <c r="Y28">
        <f>+Y26*0.8</f>
        <v>224</v>
      </c>
      <c r="Z28">
        <f>+Z26*2</f>
        <v>86</v>
      </c>
    </row>
    <row r="30" spans="1:26" x14ac:dyDescent="0.25">
      <c r="X30" s="71"/>
      <c r="Z30" s="39">
        <f>SUM(D28:Z28)</f>
        <v>20043.690000000002</v>
      </c>
    </row>
    <row r="31" spans="1:26" x14ac:dyDescent="0.25">
      <c r="X31" s="71"/>
      <c r="Z31" s="39"/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8F0B-2C47-4BF3-AA7B-2B2E51FC0497}">
  <dimension ref="A1:Z35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6" sqref="F26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02 a 08'!D26</f>
        <v>980</v>
      </c>
      <c r="E4" s="42">
        <f>'STOCK 02 a 08'!E26</f>
        <v>708</v>
      </c>
      <c r="F4" s="42">
        <f>'STOCK 02 a 08'!F26</f>
        <v>2500</v>
      </c>
      <c r="G4" s="42">
        <f>'STOCK 02 a 08'!G26</f>
        <v>380</v>
      </c>
      <c r="H4" s="42">
        <f>'STOCK 02 a 08'!H26</f>
        <v>1476</v>
      </c>
      <c r="I4" s="42">
        <f>'STOCK 02 a 08'!I26</f>
        <v>1818</v>
      </c>
      <c r="J4" s="42">
        <f>'STOCK 02 a 08'!J26</f>
        <v>0</v>
      </c>
      <c r="K4" s="42">
        <f>'STOCK 02 a 08'!K26</f>
        <v>2895</v>
      </c>
      <c r="L4" s="42">
        <f>'STOCK 02 a 08'!L26</f>
        <v>4395</v>
      </c>
      <c r="M4" s="42">
        <f>'STOCK 02 a 08'!M26</f>
        <v>0</v>
      </c>
      <c r="N4" s="42">
        <f>'STOCK 02 a 08'!N26</f>
        <v>0</v>
      </c>
      <c r="O4" s="42">
        <f>'STOCK 02 a 08'!O26</f>
        <v>0</v>
      </c>
      <c r="P4" s="42">
        <f>'STOCK 02 a 08'!P26</f>
        <v>444</v>
      </c>
      <c r="Q4" s="42">
        <f>'STOCK 02 a 08'!Q26</f>
        <v>1145</v>
      </c>
      <c r="R4" s="42">
        <f>'STOCK 02 a 08'!R26</f>
        <v>540</v>
      </c>
      <c r="S4" s="42">
        <f>'STOCK 02 a 08'!S26</f>
        <v>1018</v>
      </c>
      <c r="T4" s="42">
        <f>'STOCK 02 a 08'!T26</f>
        <v>500</v>
      </c>
      <c r="U4" s="42">
        <f>'STOCK 02 a 08'!U26</f>
        <v>305</v>
      </c>
      <c r="V4" s="42">
        <f>'STOCK 02 a 08'!V26</f>
        <v>3729</v>
      </c>
      <c r="W4" s="42">
        <f>'STOCK 02 a 08'!W26</f>
        <v>2020</v>
      </c>
      <c r="X4" s="42">
        <f>'STOCK 02 a 08'!X26</f>
        <v>1261</v>
      </c>
      <c r="Y4" s="42">
        <f>'STOCK 02 a 08'!Y26</f>
        <v>280</v>
      </c>
      <c r="Z4" s="42">
        <f>'STOCK 02 a 08'!Z26</f>
        <v>43</v>
      </c>
    </row>
    <row r="5" spans="1:26" x14ac:dyDescent="0.25">
      <c r="A5" s="311"/>
      <c r="B5" s="20">
        <v>45454</v>
      </c>
      <c r="C5" s="14" t="s">
        <v>46</v>
      </c>
      <c r="D5" s="27">
        <v>3000</v>
      </c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/>
      <c r="C6" s="14"/>
      <c r="D6" s="27"/>
      <c r="F6" s="35"/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45452</v>
      </c>
      <c r="C11" s="14" t="s">
        <v>22</v>
      </c>
      <c r="D11" s="27"/>
      <c r="F11" s="35"/>
      <c r="H11" s="31"/>
      <c r="I11" s="13"/>
      <c r="J11" s="35"/>
      <c r="K11">
        <v>1</v>
      </c>
      <c r="L11" s="35"/>
      <c r="N11" s="35"/>
      <c r="O11" s="14"/>
      <c r="P11" s="27"/>
      <c r="R11" s="31"/>
      <c r="S11" s="13"/>
      <c r="U11" s="31"/>
      <c r="V11" s="13"/>
      <c r="W11" s="31"/>
      <c r="Y11" s="31"/>
      <c r="Z11" s="15"/>
    </row>
    <row r="12" spans="1:26" x14ac:dyDescent="0.25">
      <c r="A12" s="311"/>
      <c r="B12" s="20">
        <v>45453</v>
      </c>
      <c r="C12" s="14" t="s">
        <v>22</v>
      </c>
      <c r="D12" s="27">
        <v>980</v>
      </c>
      <c r="E12">
        <v>500</v>
      </c>
      <c r="F12" s="35"/>
      <c r="H12" s="31"/>
      <c r="I12" s="13"/>
      <c r="J12" s="35"/>
      <c r="K12">
        <v>750</v>
      </c>
      <c r="L12" s="35">
        <v>1000</v>
      </c>
      <c r="N12" s="35"/>
      <c r="O12" s="14"/>
      <c r="P12" s="27"/>
      <c r="R12" s="31"/>
      <c r="S12" s="13"/>
      <c r="U12" s="31"/>
      <c r="V12" s="13"/>
      <c r="W12" s="31"/>
      <c r="Y12" s="31"/>
      <c r="Z12" s="15"/>
    </row>
    <row r="13" spans="1:26" x14ac:dyDescent="0.25">
      <c r="A13" s="311"/>
      <c r="B13" s="20">
        <v>45454</v>
      </c>
      <c r="C13" s="14" t="s">
        <v>22</v>
      </c>
      <c r="D13" s="27">
        <v>15</v>
      </c>
      <c r="F13" s="35"/>
      <c r="H13" s="31">
        <v>200</v>
      </c>
      <c r="I13" s="13"/>
      <c r="J13" s="35"/>
      <c r="K13">
        <f>1+300</f>
        <v>301</v>
      </c>
      <c r="L13" s="35"/>
      <c r="N13" s="35"/>
      <c r="O13" s="14"/>
      <c r="P13" s="27"/>
      <c r="Q13">
        <v>20</v>
      </c>
      <c r="R13" s="31"/>
      <c r="S13" s="13"/>
      <c r="U13" s="31"/>
      <c r="V13" s="13"/>
      <c r="W13" s="31">
        <v>400</v>
      </c>
      <c r="X13">
        <v>100</v>
      </c>
      <c r="Y13" s="31"/>
      <c r="Z13" s="15"/>
    </row>
    <row r="14" spans="1:26" x14ac:dyDescent="0.25">
      <c r="A14" s="311"/>
      <c r="B14" s="20">
        <v>45455</v>
      </c>
      <c r="C14" s="14" t="s">
        <v>22</v>
      </c>
      <c r="D14" s="27"/>
      <c r="F14" s="35"/>
      <c r="H14" s="31">
        <v>100</v>
      </c>
      <c r="I14" s="13"/>
      <c r="J14" s="35"/>
      <c r="L14" s="35">
        <v>150</v>
      </c>
      <c r="N14" s="35"/>
      <c r="O14" s="14"/>
      <c r="P14" s="27"/>
      <c r="R14" s="31"/>
      <c r="S14" s="13"/>
      <c r="U14" s="31"/>
      <c r="V14" s="13"/>
      <c r="W14" s="31"/>
      <c r="Y14" s="31"/>
      <c r="Z14" s="15"/>
    </row>
    <row r="15" spans="1:26" x14ac:dyDescent="0.25">
      <c r="A15" s="311"/>
      <c r="B15" s="20">
        <v>45456</v>
      </c>
      <c r="C15" s="14" t="s">
        <v>22</v>
      </c>
      <c r="D15" s="27"/>
      <c r="F15" s="35">
        <f>100+500</f>
        <v>600</v>
      </c>
      <c r="H15" s="31"/>
      <c r="I15" s="13"/>
      <c r="J15" s="35"/>
      <c r="K15">
        <v>200</v>
      </c>
      <c r="L15" s="35"/>
      <c r="N15" s="35"/>
      <c r="O15" s="14"/>
      <c r="P15" s="27"/>
      <c r="R15" s="31"/>
      <c r="S15" s="13"/>
      <c r="U15" s="31"/>
      <c r="V15" s="13"/>
      <c r="W15" s="31"/>
      <c r="Y15" s="31"/>
      <c r="Z15" s="15"/>
    </row>
    <row r="16" spans="1:26" x14ac:dyDescent="0.25">
      <c r="A16" s="311"/>
      <c r="B16" s="20">
        <v>45457</v>
      </c>
      <c r="C16" s="14" t="s">
        <v>22</v>
      </c>
      <c r="D16" s="27"/>
      <c r="F16" s="35">
        <v>500</v>
      </c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2985</v>
      </c>
      <c r="E26" s="22">
        <f>SUM(E4:E10)-SUM(E11:E25)</f>
        <v>208</v>
      </c>
      <c r="F26" s="37">
        <f>SUM(F4:F10)-SUM(F11:F25)</f>
        <v>1400</v>
      </c>
      <c r="G26" s="24">
        <f t="shared" ref="G26:Z26" si="0">SUM(G4:G10)-SUM(G11:G25)</f>
        <v>380</v>
      </c>
      <c r="H26" s="33">
        <f t="shared" si="0"/>
        <v>1176</v>
      </c>
      <c r="I26" s="22">
        <f t="shared" si="0"/>
        <v>1818</v>
      </c>
      <c r="J26" s="37">
        <f t="shared" si="0"/>
        <v>0</v>
      </c>
      <c r="K26" s="24">
        <f t="shared" si="0"/>
        <v>1643</v>
      </c>
      <c r="L26" s="37">
        <f t="shared" si="0"/>
        <v>3245</v>
      </c>
      <c r="M26" s="24">
        <f t="shared" si="0"/>
        <v>0</v>
      </c>
      <c r="N26" s="37">
        <f t="shared" si="0"/>
        <v>0</v>
      </c>
      <c r="O26" s="23">
        <f t="shared" si="0"/>
        <v>0</v>
      </c>
      <c r="P26" s="29">
        <f t="shared" si="0"/>
        <v>444</v>
      </c>
      <c r="Q26" s="24">
        <f t="shared" si="0"/>
        <v>1125</v>
      </c>
      <c r="R26" s="33">
        <f t="shared" si="0"/>
        <v>540</v>
      </c>
      <c r="S26" s="22">
        <f>SUM(S4:S10)-SUM(S11:S25)</f>
        <v>1018</v>
      </c>
      <c r="T26" s="22">
        <f t="shared" si="0"/>
        <v>500</v>
      </c>
      <c r="U26" s="33">
        <f t="shared" si="0"/>
        <v>305</v>
      </c>
      <c r="V26" s="22">
        <f t="shared" si="0"/>
        <v>3729</v>
      </c>
      <c r="W26" s="33">
        <f t="shared" si="0"/>
        <v>1620</v>
      </c>
      <c r="X26" s="22">
        <f t="shared" si="0"/>
        <v>1161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</f>
        <v>895.5</v>
      </c>
      <c r="E28">
        <f>+E26*0.35</f>
        <v>72.8</v>
      </c>
      <c r="F28">
        <f>+F26*0.28</f>
        <v>392.00000000000006</v>
      </c>
      <c r="G28">
        <f>+G26*0.34</f>
        <v>129.20000000000002</v>
      </c>
      <c r="H28">
        <f>+H26*0.38</f>
        <v>446.88</v>
      </c>
      <c r="I28">
        <f>+I26*0.54</f>
        <v>981.72</v>
      </c>
      <c r="J28">
        <f>+J26*0.6</f>
        <v>0</v>
      </c>
      <c r="K28" s="50">
        <f>+K26*0.79</f>
        <v>1297.97</v>
      </c>
      <c r="L28">
        <f>+L26*0.6+(1245*0.03)</f>
        <v>1984.35</v>
      </c>
      <c r="M28">
        <f>+M26*0.66</f>
        <v>0</v>
      </c>
      <c r="N28">
        <f>+N26*0.64</f>
        <v>0</v>
      </c>
      <c r="O28">
        <f>+O26*0.53</f>
        <v>0</v>
      </c>
      <c r="P28">
        <f>+P26*2.08</f>
        <v>923.52</v>
      </c>
      <c r="Q28">
        <f>+Q26*1.65</f>
        <v>1856.25</v>
      </c>
      <c r="R28">
        <f>+R26*1.89</f>
        <v>1020.5999999999999</v>
      </c>
      <c r="S28">
        <f>+S26*1.7</f>
        <v>1730.6</v>
      </c>
      <c r="T28">
        <f>+T26*2.18</f>
        <v>1090</v>
      </c>
      <c r="U28">
        <f>+U26*1.97</f>
        <v>600.85</v>
      </c>
      <c r="V28">
        <f>+V26*0.42</f>
        <v>1566.1799999999998</v>
      </c>
      <c r="W28">
        <f>+W26*0.31</f>
        <v>502.2</v>
      </c>
      <c r="X28" s="50">
        <f>+X26*1.9-(161*0.11)</f>
        <v>2188.19</v>
      </c>
      <c r="Y28">
        <f>+Y26*0.8</f>
        <v>224</v>
      </c>
      <c r="Z28">
        <f>+Z26*2</f>
        <v>86</v>
      </c>
    </row>
    <row r="30" spans="1:26" x14ac:dyDescent="0.25">
      <c r="X30" s="71"/>
      <c r="Z30" s="39">
        <f>SUM(D28:Z28)</f>
        <v>17988.810000000001</v>
      </c>
    </row>
    <row r="31" spans="1:26" x14ac:dyDescent="0.25">
      <c r="X31" s="71"/>
      <c r="Z31" s="39"/>
    </row>
    <row r="35" spans="18:18" x14ac:dyDescent="0.25">
      <c r="R35">
        <f>60000-25500</f>
        <v>34500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C462-DC0E-472B-9AAD-A662EF54F83F}">
  <dimension ref="A1:Z35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16" sqref="F16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09 a 15'!D26</f>
        <v>2985</v>
      </c>
      <c r="E4" s="42">
        <f>'STOCK 09 a 15'!E26</f>
        <v>208</v>
      </c>
      <c r="F4" s="42">
        <f>'STOCK 09 a 15'!F26</f>
        <v>1400</v>
      </c>
      <c r="G4" s="42">
        <f>'STOCK 09 a 15'!G26</f>
        <v>380</v>
      </c>
      <c r="H4" s="42">
        <f>'STOCK 09 a 15'!H26</f>
        <v>1176</v>
      </c>
      <c r="I4" s="42">
        <f>'STOCK 09 a 15'!I26</f>
        <v>1818</v>
      </c>
      <c r="J4" s="42">
        <f>'STOCK 09 a 15'!J26</f>
        <v>0</v>
      </c>
      <c r="K4" s="42">
        <f>'STOCK 09 a 15'!K26</f>
        <v>1643</v>
      </c>
      <c r="L4" s="42">
        <f>'STOCK 09 a 15'!L26</f>
        <v>3245</v>
      </c>
      <c r="M4" s="42">
        <f>'STOCK 09 a 15'!M26</f>
        <v>0</v>
      </c>
      <c r="N4" s="42">
        <f>'STOCK 09 a 15'!N26</f>
        <v>0</v>
      </c>
      <c r="O4" s="42">
        <f>'STOCK 09 a 15'!O26</f>
        <v>0</v>
      </c>
      <c r="P4" s="42">
        <f>'STOCK 09 a 15'!P26</f>
        <v>444</v>
      </c>
      <c r="Q4" s="42">
        <f>'STOCK 09 a 15'!Q26</f>
        <v>1125</v>
      </c>
      <c r="R4" s="42">
        <f>'STOCK 09 a 15'!R26</f>
        <v>540</v>
      </c>
      <c r="S4" s="42">
        <f>'STOCK 09 a 15'!S26</f>
        <v>1018</v>
      </c>
      <c r="T4" s="42">
        <f>'STOCK 09 a 15'!T26</f>
        <v>500</v>
      </c>
      <c r="U4" s="42">
        <f>'STOCK 09 a 15'!U26</f>
        <v>305</v>
      </c>
      <c r="V4" s="42">
        <f>'STOCK 09 a 15'!V26</f>
        <v>3729</v>
      </c>
      <c r="W4" s="42">
        <f>'STOCK 09 a 15'!W26</f>
        <v>1620</v>
      </c>
      <c r="X4" s="42">
        <f>'STOCK 09 a 15'!X26</f>
        <v>1161</v>
      </c>
      <c r="Y4" s="42">
        <f>'STOCK 09 a 15'!Y26</f>
        <v>280</v>
      </c>
      <c r="Z4" s="42">
        <f>'STOCK 09 a 15'!Z26</f>
        <v>43</v>
      </c>
    </row>
    <row r="5" spans="1:26" x14ac:dyDescent="0.25">
      <c r="A5" s="311"/>
      <c r="B5" s="20">
        <v>45462</v>
      </c>
      <c r="C5" s="14" t="s">
        <v>46</v>
      </c>
      <c r="D5" s="27">
        <v>1000</v>
      </c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>
        <v>45464</v>
      </c>
      <c r="C6" s="14" t="s">
        <v>27</v>
      </c>
      <c r="D6" s="27"/>
      <c r="F6" s="35">
        <v>500</v>
      </c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>
        <v>45464</v>
      </c>
      <c r="C7" s="14" t="s">
        <v>46</v>
      </c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>
        <v>5000</v>
      </c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45460</v>
      </c>
      <c r="C11" s="14" t="s">
        <v>22</v>
      </c>
      <c r="D11" s="27">
        <v>60</v>
      </c>
      <c r="F11" s="35"/>
      <c r="H11" s="31"/>
      <c r="I11" s="13"/>
      <c r="J11" s="35"/>
      <c r="L11" s="35"/>
      <c r="N11" s="35"/>
      <c r="O11" s="14"/>
      <c r="P11" s="27"/>
      <c r="R11" s="31"/>
      <c r="S11" s="13"/>
      <c r="U11" s="31"/>
      <c r="V11" s="13"/>
      <c r="W11" s="31"/>
      <c r="Y11" s="31"/>
      <c r="Z11" s="15"/>
    </row>
    <row r="12" spans="1:26" x14ac:dyDescent="0.25">
      <c r="A12" s="311"/>
      <c r="B12" s="20">
        <v>45461</v>
      </c>
      <c r="C12" s="14" t="s">
        <v>22</v>
      </c>
      <c r="D12" s="27"/>
      <c r="F12" s="35"/>
      <c r="H12" s="31"/>
      <c r="I12" s="13"/>
      <c r="J12" s="35"/>
      <c r="L12" s="35"/>
      <c r="N12" s="35"/>
      <c r="O12" s="14"/>
      <c r="P12" s="27"/>
      <c r="R12" s="31"/>
      <c r="S12" s="13">
        <f>600+140</f>
        <v>740</v>
      </c>
      <c r="U12" s="31"/>
      <c r="V12" s="13">
        <v>150</v>
      </c>
      <c r="W12" s="31"/>
      <c r="Y12" s="31"/>
      <c r="Z12" s="15"/>
    </row>
    <row r="13" spans="1:26" x14ac:dyDescent="0.25">
      <c r="A13" s="311"/>
      <c r="B13" s="20">
        <v>45462</v>
      </c>
      <c r="C13" s="14" t="s">
        <v>45</v>
      </c>
      <c r="D13" s="27">
        <v>2925</v>
      </c>
      <c r="F13" s="35"/>
      <c r="H13" s="31"/>
      <c r="I13" s="13"/>
      <c r="J13" s="35"/>
      <c r="L13" s="35"/>
      <c r="N13" s="35"/>
      <c r="O13" s="14"/>
      <c r="P13" s="27"/>
      <c r="R13" s="31"/>
      <c r="S13" s="13"/>
      <c r="U13" s="31"/>
      <c r="V13" s="13">
        <v>600</v>
      </c>
      <c r="W13" s="31"/>
      <c r="Y13" s="31"/>
      <c r="Z13" s="15"/>
    </row>
    <row r="14" spans="1:26" x14ac:dyDescent="0.25">
      <c r="A14" s="311"/>
      <c r="B14" s="20">
        <v>45462</v>
      </c>
      <c r="C14" s="14" t="s">
        <v>22</v>
      </c>
      <c r="D14" s="27"/>
      <c r="F14" s="35"/>
      <c r="H14" s="31"/>
      <c r="I14" s="13"/>
      <c r="J14" s="35"/>
      <c r="L14" s="35"/>
      <c r="N14" s="35"/>
      <c r="O14" s="14"/>
      <c r="P14" s="27"/>
      <c r="R14" s="31"/>
      <c r="S14" s="13"/>
      <c r="U14" s="31"/>
      <c r="V14" s="13"/>
      <c r="W14" s="31">
        <v>1000</v>
      </c>
      <c r="Y14" s="31"/>
      <c r="Z14" s="15"/>
    </row>
    <row r="15" spans="1:26" x14ac:dyDescent="0.25">
      <c r="A15" s="311"/>
      <c r="B15" s="20">
        <v>45463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/>
      <c r="Q15">
        <v>400</v>
      </c>
      <c r="R15" s="31"/>
      <c r="S15" s="13">
        <v>70</v>
      </c>
      <c r="U15" s="31"/>
      <c r="V15" s="13">
        <v>100</v>
      </c>
      <c r="W15" s="31">
        <v>252</v>
      </c>
      <c r="Y15" s="31"/>
      <c r="Z15" s="15"/>
    </row>
    <row r="16" spans="1:26" x14ac:dyDescent="0.25">
      <c r="A16" s="311"/>
      <c r="B16" s="20">
        <v>45464</v>
      </c>
      <c r="C16" s="14" t="s">
        <v>22</v>
      </c>
      <c r="D16" s="27"/>
      <c r="F16" s="35">
        <v>300</v>
      </c>
      <c r="H16" s="31"/>
      <c r="I16" s="13"/>
      <c r="J16" s="35"/>
      <c r="L16" s="35">
        <v>1100</v>
      </c>
      <c r="N16" s="35"/>
      <c r="O16" s="14"/>
      <c r="P16" s="27"/>
      <c r="R16" s="31"/>
      <c r="S16" s="13"/>
      <c r="U16" s="31"/>
      <c r="V16" s="13"/>
      <c r="W16" s="31">
        <v>650</v>
      </c>
      <c r="Y16" s="31"/>
      <c r="Z16" s="15"/>
    </row>
    <row r="17" spans="1:26" x14ac:dyDescent="0.25">
      <c r="A17" s="311"/>
      <c r="B17" s="20">
        <v>45465</v>
      </c>
      <c r="C17" s="14" t="s">
        <v>22</v>
      </c>
      <c r="D17" s="27"/>
      <c r="F17" s="35"/>
      <c r="H17" s="31">
        <v>1000</v>
      </c>
      <c r="I17" s="13">
        <v>200</v>
      </c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1000</v>
      </c>
      <c r="E26" s="22">
        <f>SUM(E4:E10)-SUM(E11:E25)</f>
        <v>208</v>
      </c>
      <c r="F26" s="37">
        <f>SUM(F4:F10)-SUM(F11:F25)</f>
        <v>1600</v>
      </c>
      <c r="G26" s="24">
        <f t="shared" ref="G26:Z26" si="0">SUM(G4:G10)-SUM(G11:G25)</f>
        <v>380</v>
      </c>
      <c r="H26" s="33">
        <f t="shared" si="0"/>
        <v>176</v>
      </c>
      <c r="I26" s="22">
        <f t="shared" si="0"/>
        <v>1618</v>
      </c>
      <c r="J26" s="37">
        <f t="shared" si="0"/>
        <v>0</v>
      </c>
      <c r="K26" s="24">
        <f t="shared" si="0"/>
        <v>1643</v>
      </c>
      <c r="L26" s="37">
        <f t="shared" si="0"/>
        <v>2145</v>
      </c>
      <c r="M26" s="24">
        <f t="shared" si="0"/>
        <v>0</v>
      </c>
      <c r="N26" s="37">
        <f t="shared" si="0"/>
        <v>0</v>
      </c>
      <c r="O26" s="23">
        <f t="shared" si="0"/>
        <v>0</v>
      </c>
      <c r="P26" s="29">
        <f t="shared" si="0"/>
        <v>444</v>
      </c>
      <c r="Q26" s="24">
        <f t="shared" si="0"/>
        <v>725</v>
      </c>
      <c r="R26" s="33">
        <f t="shared" si="0"/>
        <v>540</v>
      </c>
      <c r="S26" s="22">
        <f>SUM(S4:S10)-SUM(S11:S25)</f>
        <v>208</v>
      </c>
      <c r="T26" s="22">
        <f t="shared" si="0"/>
        <v>500</v>
      </c>
      <c r="U26" s="33">
        <f t="shared" si="0"/>
        <v>305</v>
      </c>
      <c r="V26" s="22">
        <f t="shared" si="0"/>
        <v>2879</v>
      </c>
      <c r="W26" s="33">
        <f t="shared" si="0"/>
        <v>4718</v>
      </c>
      <c r="X26" s="22">
        <f t="shared" si="0"/>
        <v>1161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</f>
        <v>300</v>
      </c>
      <c r="E28">
        <f>+E26*0.35</f>
        <v>72.8</v>
      </c>
      <c r="F28">
        <f>+F26*0.28</f>
        <v>448.00000000000006</v>
      </c>
      <c r="G28">
        <f>+G26*0.34</f>
        <v>129.20000000000002</v>
      </c>
      <c r="H28">
        <f>+H26*0.38</f>
        <v>66.88</v>
      </c>
      <c r="I28">
        <f>+I26*0.54</f>
        <v>873.72</v>
      </c>
      <c r="J28">
        <f>+J26*0.6</f>
        <v>0</v>
      </c>
      <c r="K28" s="50">
        <f>+K26*0.79</f>
        <v>1297.97</v>
      </c>
      <c r="L28">
        <f>+L26*0.6</f>
        <v>1287</v>
      </c>
      <c r="M28">
        <f>+M26*0.66</f>
        <v>0</v>
      </c>
      <c r="N28">
        <f>+N26*0.64</f>
        <v>0</v>
      </c>
      <c r="O28">
        <f>+O26*0.53</f>
        <v>0</v>
      </c>
      <c r="P28">
        <f>+P26*2.08</f>
        <v>923.52</v>
      </c>
      <c r="Q28">
        <f>+Q26*1.58</f>
        <v>1145.5</v>
      </c>
      <c r="R28">
        <f>+R26*1.89</f>
        <v>1020.5999999999999</v>
      </c>
      <c r="S28">
        <f>+S26*1.7</f>
        <v>353.59999999999997</v>
      </c>
      <c r="T28">
        <f>+T26*2.18</f>
        <v>1090</v>
      </c>
      <c r="U28">
        <f>+U26*1.97</f>
        <v>600.85</v>
      </c>
      <c r="V28">
        <f>+V26*0.42</f>
        <v>1209.18</v>
      </c>
      <c r="W28">
        <f>+W26*0.3</f>
        <v>1415.3999999999999</v>
      </c>
      <c r="X28" s="50">
        <f>+X26*1.9-(161*0.11)</f>
        <v>2188.19</v>
      </c>
      <c r="Y28">
        <f>+Y26*0.8</f>
        <v>224</v>
      </c>
      <c r="Z28">
        <f>+Z26*2</f>
        <v>86</v>
      </c>
    </row>
    <row r="30" spans="1:26" x14ac:dyDescent="0.25">
      <c r="L30">
        <v>0.03</v>
      </c>
      <c r="Q30">
        <f>1.65-1.58</f>
        <v>6.999999999999984E-2</v>
      </c>
      <c r="X30" s="71"/>
      <c r="Z30" s="39">
        <f>SUM(D28:Z28)</f>
        <v>14732.410000000002</v>
      </c>
    </row>
    <row r="31" spans="1:26" x14ac:dyDescent="0.25">
      <c r="L31">
        <f>+L30*1245</f>
        <v>37.35</v>
      </c>
      <c r="Q31">
        <f>+Q30*1125</f>
        <v>78.749999999999815</v>
      </c>
      <c r="W31">
        <f>368*0.01</f>
        <v>3.68</v>
      </c>
      <c r="X31" s="71"/>
      <c r="Z31" s="39"/>
    </row>
    <row r="35" spans="18:18" x14ac:dyDescent="0.25">
      <c r="R35">
        <f>60000-25500</f>
        <v>34500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5AA9-3F59-4CCB-A9F7-2B595506B1F2}">
  <dimension ref="A1:Z35"/>
  <sheetViews>
    <sheetView zoomScale="60" zoomScaleNormal="6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J20" sqref="J20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16 a 22'!D26</f>
        <v>1000</v>
      </c>
      <c r="E4" s="42">
        <f>'STOCK 16 a 22'!E26</f>
        <v>208</v>
      </c>
      <c r="F4" s="42">
        <f>'STOCK 16 a 22'!F26</f>
        <v>1600</v>
      </c>
      <c r="G4" s="42">
        <f>'STOCK 16 a 22'!G26</f>
        <v>380</v>
      </c>
      <c r="H4" s="42">
        <f>'STOCK 16 a 22'!H26</f>
        <v>176</v>
      </c>
      <c r="I4" s="42">
        <f>'STOCK 16 a 22'!I26</f>
        <v>1618</v>
      </c>
      <c r="J4" s="42">
        <f>'STOCK 16 a 22'!J26</f>
        <v>0</v>
      </c>
      <c r="K4" s="42">
        <f>'STOCK 16 a 22'!K26</f>
        <v>1643</v>
      </c>
      <c r="L4" s="42">
        <f>'STOCK 16 a 22'!L26</f>
        <v>2145</v>
      </c>
      <c r="M4" s="42">
        <f>'STOCK 16 a 22'!M26</f>
        <v>0</v>
      </c>
      <c r="N4" s="42">
        <f>'STOCK 16 a 22'!N26</f>
        <v>0</v>
      </c>
      <c r="O4" s="42">
        <f>'STOCK 16 a 22'!O26</f>
        <v>0</v>
      </c>
      <c r="P4" s="42">
        <f>'STOCK 16 a 22'!P26</f>
        <v>444</v>
      </c>
      <c r="Q4" s="42">
        <f>'STOCK 16 a 22'!Q26</f>
        <v>725</v>
      </c>
      <c r="R4" s="42">
        <f>'STOCK 16 a 22'!R26</f>
        <v>540</v>
      </c>
      <c r="S4" s="42">
        <f>'STOCK 16 a 22'!S26</f>
        <v>208</v>
      </c>
      <c r="T4" s="42">
        <f>'STOCK 16 a 22'!T26</f>
        <v>500</v>
      </c>
      <c r="U4" s="42">
        <f>'STOCK 16 a 22'!U26</f>
        <v>305</v>
      </c>
      <c r="V4" s="42">
        <f>'STOCK 16 a 22'!V26</f>
        <v>2879</v>
      </c>
      <c r="W4" s="42">
        <f>'STOCK 16 a 22'!W26</f>
        <v>4718</v>
      </c>
      <c r="X4" s="42">
        <f>'STOCK 16 a 22'!X26</f>
        <v>1161</v>
      </c>
      <c r="Y4" s="42">
        <f>'STOCK 16 a 22'!Y26</f>
        <v>280</v>
      </c>
      <c r="Z4" s="42">
        <f>'STOCK 16 a 22'!Z26</f>
        <v>43</v>
      </c>
    </row>
    <row r="5" spans="1:26" x14ac:dyDescent="0.25">
      <c r="A5" s="311"/>
      <c r="B5" s="20">
        <v>45467</v>
      </c>
      <c r="C5" s="14" t="s">
        <v>65</v>
      </c>
      <c r="D5" s="27"/>
      <c r="F5" s="35">
        <v>2500</v>
      </c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>
        <v>45468</v>
      </c>
      <c r="C6" s="14" t="s">
        <v>65</v>
      </c>
      <c r="D6" s="27"/>
      <c r="F6" s="35"/>
      <c r="H6" s="31"/>
      <c r="I6" s="13"/>
      <c r="J6" s="35"/>
      <c r="L6" s="35"/>
      <c r="N6" s="35"/>
      <c r="O6" s="14"/>
      <c r="P6" s="27"/>
      <c r="R6" s="31"/>
      <c r="S6" s="13">
        <v>500</v>
      </c>
      <c r="U6" s="31"/>
      <c r="V6" s="13"/>
      <c r="W6" s="31"/>
      <c r="Y6" s="31"/>
      <c r="Z6" s="15"/>
    </row>
    <row r="7" spans="1:26" x14ac:dyDescent="0.25">
      <c r="A7" s="311"/>
      <c r="B7" s="20">
        <v>45469</v>
      </c>
      <c r="C7" s="14" t="s">
        <v>65</v>
      </c>
      <c r="D7" s="27"/>
      <c r="F7" s="35"/>
      <c r="H7" s="31"/>
      <c r="I7" s="13"/>
      <c r="J7" s="35"/>
      <c r="L7" s="35"/>
      <c r="N7" s="35"/>
      <c r="O7" s="14">
        <v>3500</v>
      </c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>
        <v>45470</v>
      </c>
      <c r="C8" s="14" t="s">
        <v>46</v>
      </c>
      <c r="D8" s="27"/>
      <c r="F8" s="35">
        <v>2000</v>
      </c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>
        <v>45471</v>
      </c>
      <c r="C9" s="14" t="s">
        <v>46</v>
      </c>
      <c r="D9" s="27"/>
      <c r="F9" s="35"/>
      <c r="H9" s="31"/>
      <c r="I9" s="13"/>
      <c r="J9" s="35"/>
      <c r="L9" s="35"/>
      <c r="N9" s="35"/>
      <c r="O9" s="14"/>
      <c r="P9" s="27"/>
      <c r="Q9">
        <v>800</v>
      </c>
      <c r="R9" s="31"/>
      <c r="S9" s="13">
        <v>500</v>
      </c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45467</v>
      </c>
      <c r="C11" s="14" t="s">
        <v>22</v>
      </c>
      <c r="D11" s="27"/>
      <c r="F11" s="35">
        <v>500</v>
      </c>
      <c r="H11" s="31"/>
      <c r="I11" s="13"/>
      <c r="J11" s="35"/>
      <c r="K11">
        <v>250</v>
      </c>
      <c r="L11" s="35">
        <f>500+700</f>
        <v>1200</v>
      </c>
      <c r="N11" s="35"/>
      <c r="O11" s="14"/>
      <c r="P11" s="27">
        <v>12</v>
      </c>
      <c r="R11" s="31"/>
      <c r="S11" s="13"/>
      <c r="U11" s="31"/>
      <c r="V11" s="13"/>
      <c r="W11" s="31">
        <f>20+12</f>
        <v>32</v>
      </c>
      <c r="Y11" s="31"/>
      <c r="Z11" s="15"/>
    </row>
    <row r="12" spans="1:26" x14ac:dyDescent="0.25">
      <c r="A12" s="311"/>
      <c r="B12" s="20">
        <v>45468</v>
      </c>
      <c r="C12" s="14" t="s">
        <v>22</v>
      </c>
      <c r="D12" s="27"/>
      <c r="F12" s="35"/>
      <c r="H12" s="31"/>
      <c r="I12" s="13"/>
      <c r="J12" s="35"/>
      <c r="L12" s="35"/>
      <c r="N12" s="35"/>
      <c r="O12" s="14"/>
      <c r="P12" s="27"/>
      <c r="R12" s="31"/>
      <c r="S12" s="13">
        <v>204</v>
      </c>
      <c r="U12" s="31"/>
      <c r="V12" s="13"/>
      <c r="W12" s="31"/>
      <c r="Y12" s="31"/>
      <c r="Z12" s="15"/>
    </row>
    <row r="13" spans="1:26" x14ac:dyDescent="0.25">
      <c r="A13" s="311"/>
      <c r="B13" s="20">
        <v>45469</v>
      </c>
      <c r="C13" s="14" t="s">
        <v>22</v>
      </c>
      <c r="D13" s="27">
        <v>500</v>
      </c>
      <c r="F13" s="35">
        <v>70</v>
      </c>
      <c r="H13" s="31"/>
      <c r="I13" s="13"/>
      <c r="J13" s="35"/>
      <c r="L13" s="35"/>
      <c r="N13" s="35"/>
      <c r="O13" s="14"/>
      <c r="P13" s="27"/>
      <c r="R13" s="31"/>
      <c r="S13" s="13"/>
      <c r="U13" s="31"/>
      <c r="V13" s="13"/>
      <c r="W13" s="31"/>
      <c r="Y13" s="31"/>
      <c r="Z13" s="15"/>
    </row>
    <row r="14" spans="1:26" x14ac:dyDescent="0.25">
      <c r="A14" s="311"/>
      <c r="B14" s="20">
        <v>45470</v>
      </c>
      <c r="C14" s="14" t="s">
        <v>45</v>
      </c>
      <c r="D14" s="27"/>
      <c r="F14" s="35"/>
      <c r="H14" s="31"/>
      <c r="I14" s="13"/>
      <c r="J14" s="35"/>
      <c r="L14" s="35"/>
      <c r="N14" s="35"/>
      <c r="O14" s="14">
        <v>1500</v>
      </c>
      <c r="P14" s="27"/>
      <c r="Q14">
        <v>400</v>
      </c>
      <c r="R14" s="31"/>
      <c r="S14" s="13"/>
      <c r="U14" s="31"/>
      <c r="V14" s="13"/>
      <c r="W14" s="31"/>
      <c r="Y14" s="31"/>
      <c r="Z14" s="15"/>
    </row>
    <row r="15" spans="1:26" x14ac:dyDescent="0.25">
      <c r="A15" s="311"/>
      <c r="B15" s="20">
        <v>45470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/>
      <c r="R15" s="31"/>
      <c r="S15" s="13"/>
      <c r="U15" s="31"/>
      <c r="V15" s="13">
        <v>30</v>
      </c>
      <c r="W15" s="31"/>
      <c r="Y15" s="31"/>
      <c r="Z15" s="15"/>
    </row>
    <row r="16" spans="1:26" x14ac:dyDescent="0.25">
      <c r="A16" s="311"/>
      <c r="B16" s="20">
        <v>45471</v>
      </c>
      <c r="C16" s="14" t="s">
        <v>22</v>
      </c>
      <c r="D16" s="27"/>
      <c r="F16" s="35"/>
      <c r="H16" s="31"/>
      <c r="I16" s="13"/>
      <c r="J16" s="35"/>
      <c r="L16" s="35"/>
      <c r="N16" s="35"/>
      <c r="O16" s="14"/>
      <c r="P16" s="27"/>
      <c r="Q16">
        <v>350</v>
      </c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500</v>
      </c>
      <c r="E26" s="22">
        <f>SUM(E4:E10)-SUM(E11:E25)</f>
        <v>208</v>
      </c>
      <c r="F26" s="37">
        <f>SUM(F4:F10)-SUM(F11:F25)</f>
        <v>5530</v>
      </c>
      <c r="G26" s="24">
        <f t="shared" ref="G26:Z26" si="0">SUM(G4:G10)-SUM(G11:G25)</f>
        <v>380</v>
      </c>
      <c r="H26" s="33">
        <f t="shared" si="0"/>
        <v>176</v>
      </c>
      <c r="I26" s="22">
        <f t="shared" si="0"/>
        <v>1618</v>
      </c>
      <c r="J26" s="37">
        <f t="shared" si="0"/>
        <v>0</v>
      </c>
      <c r="K26" s="24">
        <f t="shared" si="0"/>
        <v>1393</v>
      </c>
      <c r="L26" s="37">
        <f t="shared" si="0"/>
        <v>945</v>
      </c>
      <c r="M26" s="24">
        <f t="shared" si="0"/>
        <v>0</v>
      </c>
      <c r="N26" s="37">
        <f t="shared" si="0"/>
        <v>0</v>
      </c>
      <c r="O26" s="23">
        <f t="shared" si="0"/>
        <v>2000</v>
      </c>
      <c r="P26" s="29">
        <f t="shared" si="0"/>
        <v>432</v>
      </c>
      <c r="Q26" s="24">
        <f t="shared" si="0"/>
        <v>775</v>
      </c>
      <c r="R26" s="33">
        <f t="shared" si="0"/>
        <v>540</v>
      </c>
      <c r="S26" s="22">
        <f>SUM(S4:S10)-SUM(S11:S25)</f>
        <v>1004</v>
      </c>
      <c r="T26" s="22">
        <f t="shared" si="0"/>
        <v>500</v>
      </c>
      <c r="U26" s="33">
        <f t="shared" si="0"/>
        <v>305</v>
      </c>
      <c r="V26" s="22">
        <f t="shared" si="0"/>
        <v>2849</v>
      </c>
      <c r="W26" s="33">
        <f t="shared" si="0"/>
        <v>4686</v>
      </c>
      <c r="X26" s="22">
        <f t="shared" si="0"/>
        <v>1161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</f>
        <v>150</v>
      </c>
      <c r="E28">
        <f>+E26*0.35</f>
        <v>72.8</v>
      </c>
      <c r="F28">
        <f>+F26*0.28</f>
        <v>1548.4</v>
      </c>
      <c r="G28">
        <f>+G26*0.34</f>
        <v>129.20000000000002</v>
      </c>
      <c r="H28">
        <f>+H26*0.38</f>
        <v>66.88</v>
      </c>
      <c r="I28">
        <f>+I26*0.54</f>
        <v>873.72</v>
      </c>
      <c r="J28">
        <f>+J26*0.6</f>
        <v>0</v>
      </c>
      <c r="K28" s="50">
        <f>+K26*0.79</f>
        <v>1100.47</v>
      </c>
      <c r="L28">
        <f>+L26*0.6</f>
        <v>567</v>
      </c>
      <c r="M28">
        <f>+M26*0.66</f>
        <v>0</v>
      </c>
      <c r="N28">
        <f>+N26*0.64</f>
        <v>0</v>
      </c>
      <c r="O28">
        <f>+O26*0.5</f>
        <v>1000</v>
      </c>
      <c r="P28">
        <f>+P26*2.08</f>
        <v>898.56000000000006</v>
      </c>
      <c r="Q28">
        <f>+Q26*1.58</f>
        <v>1224.5</v>
      </c>
      <c r="R28">
        <f>+R26*1.89</f>
        <v>1020.5999999999999</v>
      </c>
      <c r="S28">
        <f>+S26*1.63</f>
        <v>1636.52</v>
      </c>
      <c r="T28">
        <f>+T26*2.18</f>
        <v>1090</v>
      </c>
      <c r="U28">
        <f>+U26*1.97</f>
        <v>600.85</v>
      </c>
      <c r="V28">
        <f>+V26*0.42</f>
        <v>1196.58</v>
      </c>
      <c r="W28">
        <f>+W26*0.3</f>
        <v>1405.8</v>
      </c>
      <c r="X28" s="50">
        <f>+X26*1.9-(161*0.11)</f>
        <v>2188.19</v>
      </c>
      <c r="Y28">
        <f>+Y26*0.8</f>
        <v>224</v>
      </c>
      <c r="Z28">
        <f>+Z26*2</f>
        <v>86</v>
      </c>
    </row>
    <row r="30" spans="1:26" x14ac:dyDescent="0.25">
      <c r="S30">
        <v>7.0000000000000007E-2</v>
      </c>
      <c r="X30" s="71"/>
      <c r="Z30" s="39">
        <f>SUM(D28:Z28)</f>
        <v>17080.07</v>
      </c>
    </row>
    <row r="31" spans="1:26" x14ac:dyDescent="0.25">
      <c r="S31">
        <f>208*S30</f>
        <v>14.560000000000002</v>
      </c>
      <c r="X31" s="71"/>
      <c r="Z31" s="39"/>
    </row>
    <row r="35" spans="18:18" x14ac:dyDescent="0.25">
      <c r="R35">
        <f>60000-25500</f>
        <v>34500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1EE9-2EDE-438F-AE99-5A306D23813B}">
  <dimension ref="A1:Z35"/>
  <sheetViews>
    <sheetView zoomScale="60" zoomScaleNormal="6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M34" sqref="M34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23 a 29'!D26</f>
        <v>500</v>
      </c>
      <c r="E4" s="42">
        <f>'STOCK 23 a 29'!E26</f>
        <v>208</v>
      </c>
      <c r="F4" s="42">
        <f>'STOCK 23 a 29'!F26</f>
        <v>5530</v>
      </c>
      <c r="G4" s="42">
        <f>'STOCK 23 a 29'!G26</f>
        <v>380</v>
      </c>
      <c r="H4" s="42">
        <f>'STOCK 23 a 29'!H26</f>
        <v>176</v>
      </c>
      <c r="I4" s="42">
        <f>'STOCK 23 a 29'!I26</f>
        <v>1618</v>
      </c>
      <c r="J4" s="42">
        <f>'STOCK 23 a 29'!J26</f>
        <v>0</v>
      </c>
      <c r="K4" s="42">
        <f>'STOCK 23 a 29'!K26</f>
        <v>1393</v>
      </c>
      <c r="L4" s="42">
        <f>'STOCK 23 a 29'!L26</f>
        <v>945</v>
      </c>
      <c r="M4" s="42">
        <f>'STOCK 23 a 29'!M26</f>
        <v>0</v>
      </c>
      <c r="N4" s="42">
        <f>'STOCK 23 a 29'!N26</f>
        <v>0</v>
      </c>
      <c r="O4" s="42">
        <f>'STOCK 23 a 29'!O26</f>
        <v>2000</v>
      </c>
      <c r="P4" s="42">
        <f>'STOCK 23 a 29'!P26</f>
        <v>432</v>
      </c>
      <c r="Q4" s="42">
        <f>'STOCK 23 a 29'!Q26</f>
        <v>775</v>
      </c>
      <c r="R4" s="42">
        <f>'STOCK 23 a 29'!R26</f>
        <v>540</v>
      </c>
      <c r="S4" s="42">
        <f>'STOCK 23 a 29'!S26</f>
        <v>1004</v>
      </c>
      <c r="T4" s="42">
        <f>'STOCK 23 a 29'!T26</f>
        <v>500</v>
      </c>
      <c r="U4" s="42">
        <f>'STOCK 23 a 29'!U26</f>
        <v>305</v>
      </c>
      <c r="V4" s="42">
        <f>'STOCK 23 a 29'!V26</f>
        <v>2849</v>
      </c>
      <c r="W4" s="42">
        <f>'STOCK 23 a 29'!W26</f>
        <v>4686</v>
      </c>
      <c r="X4" s="42">
        <f>'STOCK 23 a 29'!X26</f>
        <v>1161</v>
      </c>
      <c r="Y4" s="42">
        <f>'STOCK 23 a 29'!Y26</f>
        <v>280</v>
      </c>
      <c r="Z4" s="42">
        <f>'STOCK 23 a 29'!Z26</f>
        <v>43</v>
      </c>
    </row>
    <row r="5" spans="1:26" x14ac:dyDescent="0.25">
      <c r="A5" s="311"/>
      <c r="B5" s="20">
        <v>45476</v>
      </c>
      <c r="C5" s="14" t="s">
        <v>46</v>
      </c>
      <c r="D5" s="27"/>
      <c r="E5">
        <v>1000</v>
      </c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>
        <v>45477</v>
      </c>
      <c r="C6" s="14" t="s">
        <v>46</v>
      </c>
      <c r="D6" s="27">
        <v>1000</v>
      </c>
      <c r="F6" s="35"/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>
        <v>45479</v>
      </c>
      <c r="C7" s="14" t="s">
        <v>46</v>
      </c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>
        <v>3000</v>
      </c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45473</v>
      </c>
      <c r="C11" s="14" t="s">
        <v>22</v>
      </c>
      <c r="D11" s="27"/>
      <c r="F11" s="35"/>
      <c r="H11" s="31"/>
      <c r="I11" s="13"/>
      <c r="J11" s="35"/>
      <c r="L11" s="35">
        <v>30</v>
      </c>
      <c r="N11" s="35"/>
      <c r="O11" s="14"/>
      <c r="P11" s="27"/>
      <c r="R11" s="31"/>
      <c r="S11" s="13"/>
      <c r="U11" s="31"/>
      <c r="V11" s="13">
        <v>20</v>
      </c>
      <c r="W11" s="31"/>
      <c r="Y11" s="31"/>
      <c r="Z11" s="15"/>
    </row>
    <row r="12" spans="1:26" x14ac:dyDescent="0.25">
      <c r="A12" s="311"/>
      <c r="B12" s="20">
        <v>45474</v>
      </c>
      <c r="C12" s="14" t="s">
        <v>22</v>
      </c>
      <c r="D12" s="27"/>
      <c r="F12" s="35">
        <v>1000</v>
      </c>
      <c r="H12" s="31"/>
      <c r="I12" s="13"/>
      <c r="J12" s="35"/>
      <c r="L12" s="35"/>
      <c r="N12" s="35"/>
      <c r="O12" s="14">
        <v>300</v>
      </c>
      <c r="P12" s="27"/>
      <c r="R12" s="31"/>
      <c r="S12" s="13">
        <v>250</v>
      </c>
      <c r="U12" s="31"/>
      <c r="V12" s="13"/>
      <c r="W12" s="31"/>
      <c r="Y12" s="31"/>
      <c r="Z12" s="15"/>
    </row>
    <row r="13" spans="1:26" x14ac:dyDescent="0.25">
      <c r="A13" s="311"/>
      <c r="B13" s="20">
        <v>45475</v>
      </c>
      <c r="C13" s="14" t="s">
        <v>22</v>
      </c>
      <c r="D13" s="27"/>
      <c r="F13" s="35"/>
      <c r="H13" s="31"/>
      <c r="I13" s="13"/>
      <c r="J13" s="35"/>
      <c r="L13" s="35"/>
      <c r="N13" s="35"/>
      <c r="O13" s="14">
        <v>500</v>
      </c>
      <c r="P13" s="27"/>
      <c r="R13" s="31"/>
      <c r="S13" s="13">
        <v>300</v>
      </c>
      <c r="U13" s="31"/>
      <c r="V13" s="13"/>
      <c r="W13" s="31">
        <f>150+30+200</f>
        <v>380</v>
      </c>
      <c r="Y13" s="31"/>
      <c r="Z13" s="15"/>
    </row>
    <row r="14" spans="1:26" x14ac:dyDescent="0.25">
      <c r="A14" s="311"/>
      <c r="B14" s="20">
        <v>45476</v>
      </c>
      <c r="C14" s="14" t="s">
        <v>22</v>
      </c>
      <c r="D14" s="27"/>
      <c r="F14" s="35">
        <v>290</v>
      </c>
      <c r="H14" s="31"/>
      <c r="I14" s="13"/>
      <c r="J14" s="35"/>
      <c r="L14" s="35"/>
      <c r="N14" s="35"/>
      <c r="O14" s="14"/>
      <c r="P14" s="27"/>
      <c r="R14" s="31"/>
      <c r="S14" s="13">
        <f>200+20</f>
        <v>220</v>
      </c>
      <c r="U14" s="31"/>
      <c r="V14" s="13">
        <v>2120</v>
      </c>
      <c r="W14" s="31">
        <v>60</v>
      </c>
      <c r="X14">
        <v>500</v>
      </c>
      <c r="Y14" s="31"/>
      <c r="Z14" s="15"/>
    </row>
    <row r="15" spans="1:26" x14ac:dyDescent="0.25">
      <c r="A15" s="311"/>
      <c r="B15" s="20">
        <v>45477</v>
      </c>
      <c r="C15" s="14" t="s">
        <v>22</v>
      </c>
      <c r="D15" s="27"/>
      <c r="E15">
        <f>1124+84</f>
        <v>1208</v>
      </c>
      <c r="F15" s="35"/>
      <c r="H15" s="31">
        <v>176</v>
      </c>
      <c r="I15" s="13"/>
      <c r="J15" s="35"/>
      <c r="L15" s="35"/>
      <c r="N15" s="35"/>
      <c r="O15" s="14">
        <v>400</v>
      </c>
      <c r="P15" s="27"/>
      <c r="R15" s="31"/>
      <c r="S15" s="13"/>
      <c r="U15" s="31"/>
      <c r="V15" s="13"/>
      <c r="W15" s="31"/>
      <c r="Y15" s="31"/>
      <c r="Z15" s="15"/>
    </row>
    <row r="16" spans="1:26" x14ac:dyDescent="0.25">
      <c r="A16" s="311"/>
      <c r="B16" s="20">
        <v>45478</v>
      </c>
      <c r="C16" s="14" t="s">
        <v>22</v>
      </c>
      <c r="D16" s="27"/>
      <c r="F16" s="35"/>
      <c r="H16" s="31"/>
      <c r="I16" s="13"/>
      <c r="J16" s="35"/>
      <c r="L16" s="35">
        <v>500</v>
      </c>
      <c r="N16" s="35"/>
      <c r="O16" s="14"/>
      <c r="P16" s="27"/>
      <c r="R16" s="31"/>
      <c r="S16" s="13">
        <v>50</v>
      </c>
      <c r="U16" s="31"/>
      <c r="V16" s="13"/>
      <c r="W16" s="31"/>
      <c r="Y16" s="31"/>
      <c r="Z16" s="15"/>
    </row>
    <row r="17" spans="1:26" x14ac:dyDescent="0.25">
      <c r="A17" s="311"/>
      <c r="B17" s="20">
        <v>45479</v>
      </c>
      <c r="C17" s="14" t="s">
        <v>22</v>
      </c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>
        <f>50+500</f>
        <v>550</v>
      </c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1500</v>
      </c>
      <c r="E26" s="22">
        <f>SUM(E4:E10)-SUM(E11:E25)</f>
        <v>0</v>
      </c>
      <c r="F26" s="37">
        <f>SUM(F4:F10)-SUM(F11:F25)</f>
        <v>4240</v>
      </c>
      <c r="G26" s="24">
        <f t="shared" ref="G26:Z26" si="0">SUM(G4:G10)-SUM(G11:G25)</f>
        <v>380</v>
      </c>
      <c r="H26" s="33">
        <f t="shared" si="0"/>
        <v>0</v>
      </c>
      <c r="I26" s="22">
        <f t="shared" si="0"/>
        <v>1618</v>
      </c>
      <c r="J26" s="37">
        <f t="shared" si="0"/>
        <v>0</v>
      </c>
      <c r="K26" s="24">
        <f t="shared" si="0"/>
        <v>1393</v>
      </c>
      <c r="L26" s="37">
        <f t="shared" si="0"/>
        <v>415</v>
      </c>
      <c r="M26" s="24">
        <f t="shared" si="0"/>
        <v>0</v>
      </c>
      <c r="N26" s="37">
        <f t="shared" si="0"/>
        <v>0</v>
      </c>
      <c r="O26" s="23">
        <f t="shared" si="0"/>
        <v>800</v>
      </c>
      <c r="P26" s="29">
        <f t="shared" si="0"/>
        <v>432</v>
      </c>
      <c r="Q26" s="24">
        <f t="shared" si="0"/>
        <v>775</v>
      </c>
      <c r="R26" s="33">
        <f t="shared" si="0"/>
        <v>540</v>
      </c>
      <c r="S26" s="22">
        <f>SUM(S4:S10)-SUM(S11:S25)</f>
        <v>184</v>
      </c>
      <c r="T26" s="22">
        <f t="shared" si="0"/>
        <v>500</v>
      </c>
      <c r="U26" s="33">
        <f t="shared" si="0"/>
        <v>305</v>
      </c>
      <c r="V26" s="22">
        <f t="shared" si="0"/>
        <v>3709</v>
      </c>
      <c r="W26" s="33">
        <f t="shared" si="0"/>
        <v>3696</v>
      </c>
      <c r="X26" s="22">
        <f t="shared" si="0"/>
        <v>661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</f>
        <v>450</v>
      </c>
      <c r="E28">
        <f>+E26*0.3</f>
        <v>0</v>
      </c>
      <c r="F28">
        <f>+F26*0.28</f>
        <v>1187.2</v>
      </c>
      <c r="G28">
        <f>+G26*0.34</f>
        <v>129.20000000000002</v>
      </c>
      <c r="H28">
        <f>+H26*0.38</f>
        <v>0</v>
      </c>
      <c r="I28">
        <f>+I26*0.54</f>
        <v>873.72</v>
      </c>
      <c r="J28">
        <f>+J26*0.6</f>
        <v>0</v>
      </c>
      <c r="K28" s="50">
        <f>+K26*0.79</f>
        <v>1100.47</v>
      </c>
      <c r="L28">
        <f>+L26*0.6</f>
        <v>249</v>
      </c>
      <c r="M28">
        <f>+M26*0.66</f>
        <v>0</v>
      </c>
      <c r="N28">
        <f>+N26*0.64</f>
        <v>0</v>
      </c>
      <c r="O28">
        <f>+O26*0.5</f>
        <v>400</v>
      </c>
      <c r="P28">
        <f>+P26*2.08</f>
        <v>898.56000000000006</v>
      </c>
      <c r="Q28">
        <f>+Q26*1.58</f>
        <v>1224.5</v>
      </c>
      <c r="R28">
        <f>+R26*1.89</f>
        <v>1020.5999999999999</v>
      </c>
      <c r="S28">
        <f>+S26*1.63</f>
        <v>299.91999999999996</v>
      </c>
      <c r="T28">
        <f>+T26*2.18</f>
        <v>1090</v>
      </c>
      <c r="U28">
        <f>+U26*1.97</f>
        <v>600.85</v>
      </c>
      <c r="V28">
        <f>+V26*0.39+(709*0.03)</f>
        <v>1467.78</v>
      </c>
      <c r="W28">
        <f>+W26*0.3</f>
        <v>1108.8</v>
      </c>
      <c r="X28" s="50">
        <f>+X26*1.9-(161*0.11)</f>
        <v>1238.1899999999998</v>
      </c>
      <c r="Y28">
        <f>+Y26*0.8</f>
        <v>224</v>
      </c>
      <c r="Z28">
        <f>+Z26*2</f>
        <v>86</v>
      </c>
    </row>
    <row r="30" spans="1:26" x14ac:dyDescent="0.25">
      <c r="E30">
        <f>0.35-0.3</f>
        <v>4.9999999999999989E-2</v>
      </c>
      <c r="X30" s="71"/>
      <c r="Z30" s="39">
        <f>SUM(D28:Z28)</f>
        <v>13648.79</v>
      </c>
    </row>
    <row r="31" spans="1:26" x14ac:dyDescent="0.25">
      <c r="E31">
        <f>+E30*208+84*0.3</f>
        <v>35.599999999999994</v>
      </c>
      <c r="X31" s="71"/>
      <c r="Z31" s="39"/>
    </row>
    <row r="35" spans="18:18" x14ac:dyDescent="0.25">
      <c r="R35">
        <f>60000-25500</f>
        <v>34500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18AF-45B2-47BC-81E7-38FB197D421C}">
  <dimension ref="A1:Z31"/>
  <sheetViews>
    <sheetView zoomScale="60" zoomScaleNormal="60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K28" sqref="K28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30 a 06'!D26</f>
        <v>1500</v>
      </c>
      <c r="E4" s="42">
        <f>'STOCK 30 a 06'!E26</f>
        <v>0</v>
      </c>
      <c r="F4" s="42">
        <f>'STOCK 30 a 06'!F26</f>
        <v>4240</v>
      </c>
      <c r="G4" s="42">
        <f>'STOCK 30 a 06'!G26</f>
        <v>380</v>
      </c>
      <c r="H4" s="42">
        <f>'STOCK 30 a 06'!H26</f>
        <v>0</v>
      </c>
      <c r="I4" s="42">
        <f>'STOCK 30 a 06'!I26</f>
        <v>1618</v>
      </c>
      <c r="J4" s="42">
        <f>'STOCK 30 a 06'!J26</f>
        <v>0</v>
      </c>
      <c r="K4" s="42">
        <f>'STOCK 30 a 06'!K26</f>
        <v>1393</v>
      </c>
      <c r="L4" s="42">
        <f>'STOCK 30 a 06'!L26</f>
        <v>415</v>
      </c>
      <c r="M4" s="42">
        <f>'STOCK 30 a 06'!M26</f>
        <v>0</v>
      </c>
      <c r="N4" s="42">
        <f>'STOCK 30 a 06'!N26</f>
        <v>0</v>
      </c>
      <c r="O4" s="42">
        <f>'STOCK 30 a 06'!O26</f>
        <v>800</v>
      </c>
      <c r="P4" s="42">
        <f>'STOCK 30 a 06'!P26</f>
        <v>432</v>
      </c>
      <c r="Q4" s="42">
        <f>'STOCK 30 a 06'!Q26</f>
        <v>775</v>
      </c>
      <c r="R4" s="42">
        <f>'STOCK 30 a 06'!R26</f>
        <v>540</v>
      </c>
      <c r="S4" s="42">
        <f>'STOCK 30 a 06'!S26</f>
        <v>184</v>
      </c>
      <c r="T4" s="42">
        <f>'STOCK 30 a 06'!T26</f>
        <v>500</v>
      </c>
      <c r="U4" s="42">
        <f>'STOCK 30 a 06'!U26</f>
        <v>305</v>
      </c>
      <c r="V4" s="42">
        <f>'STOCK 30 a 06'!V26</f>
        <v>3709</v>
      </c>
      <c r="W4" s="42">
        <f>'STOCK 30 a 06'!W26</f>
        <v>3696</v>
      </c>
      <c r="X4" s="42">
        <f>'STOCK 30 a 06'!X26</f>
        <v>661</v>
      </c>
      <c r="Y4" s="42">
        <f>'STOCK 30 a 06'!Y26</f>
        <v>280</v>
      </c>
      <c r="Z4" s="42">
        <f>'STOCK 30 a 06'!Z26</f>
        <v>43</v>
      </c>
    </row>
    <row r="5" spans="1:26" x14ac:dyDescent="0.25">
      <c r="A5" s="311"/>
      <c r="B5" s="20">
        <v>45481</v>
      </c>
      <c r="C5" s="14" t="s">
        <v>46</v>
      </c>
      <c r="D5" s="27"/>
      <c r="F5" s="35"/>
      <c r="H5" s="31"/>
      <c r="I5" s="13"/>
      <c r="J5" s="35"/>
      <c r="K5">
        <v>3000</v>
      </c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>
        <v>45484</v>
      </c>
      <c r="C6" s="14" t="s">
        <v>46</v>
      </c>
      <c r="D6" s="27"/>
      <c r="F6" s="35"/>
      <c r="H6" s="31"/>
      <c r="I6" s="13"/>
      <c r="J6" s="35"/>
      <c r="L6" s="35"/>
      <c r="N6" s="35"/>
      <c r="O6" s="14">
        <v>2500</v>
      </c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>
        <v>45486</v>
      </c>
      <c r="C7" s="14" t="s">
        <v>27</v>
      </c>
      <c r="D7" s="27"/>
      <c r="F7" s="35"/>
      <c r="H7" s="31"/>
      <c r="I7" s="13"/>
      <c r="J7" s="35"/>
      <c r="L7" s="35"/>
      <c r="N7" s="35"/>
      <c r="O7" s="14"/>
      <c r="P7" s="27"/>
      <c r="R7" s="31"/>
      <c r="S7" s="13">
        <v>1000</v>
      </c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45480</v>
      </c>
      <c r="C11" s="14" t="s">
        <v>22</v>
      </c>
      <c r="D11" s="27"/>
      <c r="F11" s="35"/>
      <c r="H11" s="31"/>
      <c r="I11" s="13"/>
      <c r="J11" s="35"/>
      <c r="L11" s="35"/>
      <c r="N11" s="35"/>
      <c r="O11" s="14"/>
      <c r="P11" s="27"/>
      <c r="R11" s="31"/>
      <c r="S11" s="13">
        <v>15</v>
      </c>
      <c r="U11" s="31"/>
      <c r="V11" s="13"/>
      <c r="W11" s="31"/>
      <c r="Y11" s="31"/>
      <c r="Z11" s="15"/>
    </row>
    <row r="12" spans="1:26" x14ac:dyDescent="0.25">
      <c r="A12" s="311"/>
      <c r="B12" s="20">
        <v>45481</v>
      </c>
      <c r="C12" s="14" t="s">
        <v>45</v>
      </c>
      <c r="D12" s="27">
        <v>1000</v>
      </c>
      <c r="F12" s="35">
        <v>1000</v>
      </c>
      <c r="H12" s="31"/>
      <c r="I12" s="13"/>
      <c r="J12" s="35"/>
      <c r="L12" s="35"/>
      <c r="N12" s="35"/>
      <c r="O12" s="14"/>
      <c r="P12" s="27"/>
      <c r="R12" s="31"/>
      <c r="S12" s="13"/>
      <c r="U12" s="31"/>
      <c r="V12" s="13"/>
      <c r="W12" s="31"/>
      <c r="Y12" s="31"/>
      <c r="Z12" s="15"/>
    </row>
    <row r="13" spans="1:26" x14ac:dyDescent="0.25">
      <c r="A13" s="311"/>
      <c r="B13" s="20">
        <v>45482</v>
      </c>
      <c r="C13" s="14" t="s">
        <v>22</v>
      </c>
      <c r="D13" s="27"/>
      <c r="F13" s="35"/>
      <c r="H13" s="31"/>
      <c r="I13" s="13"/>
      <c r="J13" s="35"/>
      <c r="L13" s="35"/>
      <c r="N13" s="35"/>
      <c r="O13" s="14"/>
      <c r="P13" s="27"/>
      <c r="R13" s="31"/>
      <c r="S13" s="13"/>
      <c r="U13" s="31"/>
      <c r="V13" s="13"/>
      <c r="W13" s="31">
        <v>20</v>
      </c>
      <c r="Y13" s="31"/>
      <c r="Z13" s="15"/>
    </row>
    <row r="14" spans="1:26" x14ac:dyDescent="0.25">
      <c r="A14" s="311"/>
      <c r="B14" s="20">
        <v>45483</v>
      </c>
      <c r="C14" s="14" t="s">
        <v>22</v>
      </c>
      <c r="D14" s="27"/>
      <c r="F14" s="35"/>
      <c r="H14" s="31"/>
      <c r="I14" s="13"/>
      <c r="J14" s="35"/>
      <c r="L14" s="35"/>
      <c r="N14" s="35"/>
      <c r="O14" s="14">
        <f>500+20</f>
        <v>520</v>
      </c>
      <c r="P14" s="27"/>
      <c r="R14" s="31"/>
      <c r="S14" s="13"/>
      <c r="U14" s="31"/>
      <c r="V14" s="13">
        <v>15</v>
      </c>
      <c r="W14" s="31"/>
      <c r="Y14" s="31"/>
      <c r="Z14" s="15"/>
    </row>
    <row r="15" spans="1:26" x14ac:dyDescent="0.25">
      <c r="A15" s="311"/>
      <c r="B15" s="20">
        <v>45484</v>
      </c>
      <c r="C15" s="14" t="s">
        <v>22</v>
      </c>
      <c r="D15" s="27"/>
      <c r="F15" s="35">
        <v>2000</v>
      </c>
      <c r="H15" s="31"/>
      <c r="I15" s="13"/>
      <c r="J15" s="35"/>
      <c r="L15" s="35"/>
      <c r="N15" s="35"/>
      <c r="O15" s="14">
        <v>200</v>
      </c>
      <c r="P15" s="27"/>
      <c r="R15" s="31"/>
      <c r="S15" s="13"/>
      <c r="U15" s="31"/>
      <c r="V15" s="13"/>
      <c r="W15" s="31"/>
      <c r="X15">
        <v>40</v>
      </c>
      <c r="Y15" s="31"/>
      <c r="Z15" s="15"/>
    </row>
    <row r="16" spans="1:26" x14ac:dyDescent="0.25">
      <c r="A16" s="311"/>
      <c r="B16" s="20">
        <v>45486</v>
      </c>
      <c r="C16" s="14" t="s">
        <v>22</v>
      </c>
      <c r="D16" s="27">
        <v>500</v>
      </c>
      <c r="F16" s="35"/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X16">
        <f>30+18</f>
        <v>48</v>
      </c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0</v>
      </c>
      <c r="E26" s="22">
        <f>SUM(E4:E10)-SUM(E11:E25)</f>
        <v>0</v>
      </c>
      <c r="F26" s="37">
        <f>SUM(F4:F10)-SUM(F11:F25)</f>
        <v>1240</v>
      </c>
      <c r="G26" s="24">
        <f t="shared" ref="G26:Z26" si="0">SUM(G4:G10)-SUM(G11:G25)</f>
        <v>380</v>
      </c>
      <c r="H26" s="33">
        <f t="shared" si="0"/>
        <v>0</v>
      </c>
      <c r="I26" s="22">
        <f t="shared" si="0"/>
        <v>1618</v>
      </c>
      <c r="J26" s="37">
        <f t="shared" si="0"/>
        <v>0</v>
      </c>
      <c r="K26" s="24">
        <f t="shared" si="0"/>
        <v>4393</v>
      </c>
      <c r="L26" s="37">
        <f t="shared" si="0"/>
        <v>415</v>
      </c>
      <c r="M26" s="24">
        <f t="shared" si="0"/>
        <v>0</v>
      </c>
      <c r="N26" s="37">
        <f t="shared" si="0"/>
        <v>0</v>
      </c>
      <c r="O26" s="23">
        <f t="shared" si="0"/>
        <v>2580</v>
      </c>
      <c r="P26" s="29">
        <f t="shared" si="0"/>
        <v>432</v>
      </c>
      <c r="Q26" s="24">
        <f t="shared" si="0"/>
        <v>775</v>
      </c>
      <c r="R26" s="33">
        <f t="shared" si="0"/>
        <v>540</v>
      </c>
      <c r="S26" s="22">
        <f>SUM(S4:S10)-SUM(S11:S25)</f>
        <v>1169</v>
      </c>
      <c r="T26" s="22">
        <f t="shared" si="0"/>
        <v>500</v>
      </c>
      <c r="U26" s="33">
        <f t="shared" si="0"/>
        <v>305</v>
      </c>
      <c r="V26" s="22">
        <f t="shared" si="0"/>
        <v>3694</v>
      </c>
      <c r="W26" s="33">
        <f t="shared" si="0"/>
        <v>3676</v>
      </c>
      <c r="X26" s="22">
        <f t="shared" si="0"/>
        <v>573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</f>
        <v>0</v>
      </c>
      <c r="E28">
        <f>+E26*0.3</f>
        <v>0</v>
      </c>
      <c r="F28">
        <f>+F26*0.28</f>
        <v>347.20000000000005</v>
      </c>
      <c r="G28">
        <f>+G26*0.34</f>
        <v>129.20000000000002</v>
      </c>
      <c r="H28">
        <f>+H26*0.38</f>
        <v>0</v>
      </c>
      <c r="I28">
        <f>+I26*0.54</f>
        <v>873.72</v>
      </c>
      <c r="J28">
        <f>+J26*0.6</f>
        <v>0</v>
      </c>
      <c r="K28" s="50">
        <f>+K26*0.756</f>
        <v>3321.1080000000002</v>
      </c>
      <c r="L28">
        <f>+L26*0.6</f>
        <v>249</v>
      </c>
      <c r="M28">
        <f>+M26*0.66</f>
        <v>0</v>
      </c>
      <c r="N28">
        <f>+N26*0.64</f>
        <v>0</v>
      </c>
      <c r="O28">
        <f>+O26*0.5</f>
        <v>1290</v>
      </c>
      <c r="P28">
        <f>+P26*2.08</f>
        <v>898.56000000000006</v>
      </c>
      <c r="Q28">
        <f>+Q26*1.58</f>
        <v>1224.5</v>
      </c>
      <c r="R28">
        <f>+R26*1.89</f>
        <v>1020.5999999999999</v>
      </c>
      <c r="S28">
        <f>+S26*1.67-(169*0.04)</f>
        <v>1945.47</v>
      </c>
      <c r="T28">
        <f>+T26*2.18</f>
        <v>1090</v>
      </c>
      <c r="U28">
        <f>+U26*1.97</f>
        <v>600.85</v>
      </c>
      <c r="V28">
        <f>+V26*0.39+(694*0.03)</f>
        <v>1461.48</v>
      </c>
      <c r="W28">
        <f>+W26*0.3</f>
        <v>1102.8</v>
      </c>
      <c r="X28" s="50">
        <f>+X26*1.9-(161*0.11)</f>
        <v>1070.99</v>
      </c>
      <c r="Y28">
        <f>+Y26*0.8</f>
        <v>224</v>
      </c>
      <c r="Z28">
        <f>+Z26*2</f>
        <v>86</v>
      </c>
    </row>
    <row r="30" spans="1:26" x14ac:dyDescent="0.25">
      <c r="K30" s="50">
        <f>2220+1100.47</f>
        <v>3320.4700000000003</v>
      </c>
      <c r="X30" s="71"/>
      <c r="Z30" s="39">
        <f>SUM(D28:Z28)</f>
        <v>16935.477999999999</v>
      </c>
    </row>
    <row r="31" spans="1:26" x14ac:dyDescent="0.25">
      <c r="K31" s="50">
        <f>+K28-K30</f>
        <v>0.63799999999991996</v>
      </c>
      <c r="X31" s="71"/>
      <c r="Z31" s="39"/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0AB4-2482-4C66-8C07-89B78D2ADFB4}">
  <dimension ref="A1:Z31"/>
  <sheetViews>
    <sheetView zoomScale="60" zoomScaleNormal="6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N22" sqref="N22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 07 a 13'!D26</f>
        <v>0</v>
      </c>
      <c r="E4" s="42">
        <f>'STOCK  07 a 13'!E26</f>
        <v>0</v>
      </c>
      <c r="F4" s="42">
        <f>'STOCK  07 a 13'!F26</f>
        <v>1240</v>
      </c>
      <c r="G4" s="42">
        <f>'STOCK  07 a 13'!G26</f>
        <v>380</v>
      </c>
      <c r="H4" s="42">
        <f>'STOCK  07 a 13'!H26</f>
        <v>0</v>
      </c>
      <c r="I4" s="42">
        <f>'STOCK  07 a 13'!I26</f>
        <v>1618</v>
      </c>
      <c r="J4" s="42">
        <f>'STOCK  07 a 13'!J26</f>
        <v>0</v>
      </c>
      <c r="K4" s="42">
        <f>'STOCK  07 a 13'!K26</f>
        <v>4393</v>
      </c>
      <c r="L4" s="42">
        <f>'STOCK  07 a 13'!L26</f>
        <v>415</v>
      </c>
      <c r="M4" s="42">
        <f>'STOCK  07 a 13'!M26</f>
        <v>0</v>
      </c>
      <c r="N4" s="42">
        <f>'STOCK  07 a 13'!N26</f>
        <v>0</v>
      </c>
      <c r="O4" s="42">
        <f>'STOCK  07 a 13'!O26</f>
        <v>2580</v>
      </c>
      <c r="P4" s="42">
        <f>'STOCK  07 a 13'!P26</f>
        <v>432</v>
      </c>
      <c r="Q4" s="42">
        <f>'STOCK  07 a 13'!Q26</f>
        <v>775</v>
      </c>
      <c r="R4" s="42">
        <f>'STOCK  07 a 13'!R26</f>
        <v>540</v>
      </c>
      <c r="S4" s="42">
        <f>'STOCK  07 a 13'!S26</f>
        <v>1169</v>
      </c>
      <c r="T4" s="42">
        <f>'STOCK  07 a 13'!T26</f>
        <v>500</v>
      </c>
      <c r="U4" s="42">
        <f>'STOCK  07 a 13'!U26</f>
        <v>305</v>
      </c>
      <c r="V4" s="42">
        <f>'STOCK  07 a 13'!V26</f>
        <v>3694</v>
      </c>
      <c r="W4" s="42">
        <f>'STOCK  07 a 13'!W26</f>
        <v>3676</v>
      </c>
      <c r="X4" s="42">
        <f>'STOCK  07 a 13'!X26</f>
        <v>573</v>
      </c>
      <c r="Y4" s="42">
        <f>'STOCK  07 a 13'!Y26</f>
        <v>280</v>
      </c>
      <c r="Z4" s="42">
        <f>'STOCK  07 a 13'!Z26</f>
        <v>43</v>
      </c>
    </row>
    <row r="5" spans="1:26" x14ac:dyDescent="0.25">
      <c r="A5" s="311"/>
      <c r="B5" s="20">
        <v>45489</v>
      </c>
      <c r="C5" s="14" t="s">
        <v>46</v>
      </c>
      <c r="D5" s="27">
        <v>2000</v>
      </c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/>
      <c r="C6" s="14"/>
      <c r="D6" s="27"/>
      <c r="F6" s="35"/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45488</v>
      </c>
      <c r="C11" s="14" t="s">
        <v>22</v>
      </c>
      <c r="D11" s="27"/>
      <c r="F11" s="35"/>
      <c r="H11" s="31"/>
      <c r="I11" s="13"/>
      <c r="J11" s="35"/>
      <c r="L11" s="35"/>
      <c r="N11" s="35"/>
      <c r="O11" s="14">
        <f>1000+60</f>
        <v>1060</v>
      </c>
      <c r="P11" s="27"/>
      <c r="Q11">
        <v>340</v>
      </c>
      <c r="R11" s="31"/>
      <c r="S11" s="13">
        <v>100</v>
      </c>
      <c r="U11" s="31"/>
      <c r="V11" s="13"/>
      <c r="W11" s="31">
        <v>1000</v>
      </c>
      <c r="Y11" s="31"/>
      <c r="Z11" s="15"/>
    </row>
    <row r="12" spans="1:26" x14ac:dyDescent="0.25">
      <c r="A12" s="311"/>
      <c r="B12" s="20">
        <v>45489</v>
      </c>
      <c r="C12" s="14" t="s">
        <v>22</v>
      </c>
      <c r="D12" s="27"/>
      <c r="F12" s="35"/>
      <c r="G12">
        <v>50</v>
      </c>
      <c r="H12" s="31"/>
      <c r="I12" s="13"/>
      <c r="J12" s="35"/>
      <c r="L12" s="35"/>
      <c r="N12" s="35"/>
      <c r="O12" s="14"/>
      <c r="P12" s="27"/>
      <c r="R12" s="31"/>
      <c r="S12" s="13"/>
      <c r="U12" s="31">
        <v>250</v>
      </c>
      <c r="V12" s="13"/>
      <c r="W12" s="31">
        <f>8+15</f>
        <v>23</v>
      </c>
      <c r="Y12" s="31"/>
      <c r="Z12" s="15"/>
    </row>
    <row r="13" spans="1:26" x14ac:dyDescent="0.25">
      <c r="A13" s="311"/>
      <c r="B13" s="20">
        <v>45490</v>
      </c>
      <c r="C13" s="14" t="s">
        <v>22</v>
      </c>
      <c r="D13" s="27">
        <v>50</v>
      </c>
      <c r="F13" s="35"/>
      <c r="H13" s="31"/>
      <c r="I13" s="13"/>
      <c r="J13" s="35"/>
      <c r="L13" s="35"/>
      <c r="N13" s="35"/>
      <c r="O13" s="14"/>
      <c r="P13" s="27"/>
      <c r="R13" s="31"/>
      <c r="S13" s="13"/>
      <c r="U13" s="31"/>
      <c r="V13" s="13"/>
      <c r="W13" s="31">
        <f>15+200</f>
        <v>215</v>
      </c>
      <c r="Y13" s="31"/>
      <c r="Z13" s="15"/>
    </row>
    <row r="14" spans="1:26" x14ac:dyDescent="0.25">
      <c r="A14" s="311"/>
      <c r="B14" s="20">
        <v>45491</v>
      </c>
      <c r="C14" s="14" t="s">
        <v>22</v>
      </c>
      <c r="D14" s="27"/>
      <c r="F14" s="35"/>
      <c r="H14" s="31"/>
      <c r="I14" s="13">
        <v>500</v>
      </c>
      <c r="J14" s="35"/>
      <c r="L14" s="35"/>
      <c r="N14" s="35"/>
      <c r="O14" s="14"/>
      <c r="P14" s="27"/>
      <c r="R14" s="31"/>
      <c r="S14" s="13"/>
      <c r="U14" s="31"/>
      <c r="V14" s="13"/>
      <c r="W14" s="31"/>
      <c r="Y14" s="31"/>
      <c r="Z14" s="15"/>
    </row>
    <row r="15" spans="1:26" x14ac:dyDescent="0.25">
      <c r="A15" s="311"/>
      <c r="B15" s="20">
        <v>45492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>
        <v>1000</v>
      </c>
      <c r="P15" s="27"/>
      <c r="R15" s="31"/>
      <c r="S15" s="13"/>
      <c r="U15" s="31"/>
      <c r="V15" s="13"/>
      <c r="W15" s="31"/>
      <c r="Y15" s="31"/>
      <c r="Z15" s="15"/>
    </row>
    <row r="16" spans="1:26" x14ac:dyDescent="0.25">
      <c r="A16" s="311"/>
      <c r="B16" s="20">
        <v>45492</v>
      </c>
      <c r="C16" s="14" t="s">
        <v>45</v>
      </c>
      <c r="D16" s="27"/>
      <c r="F16" s="35"/>
      <c r="H16" s="31"/>
      <c r="I16" s="13"/>
      <c r="J16" s="35"/>
      <c r="K16">
        <v>2000</v>
      </c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>
        <v>45493</v>
      </c>
      <c r="C17" s="14" t="s">
        <v>22</v>
      </c>
      <c r="D17" s="27"/>
      <c r="F17" s="35"/>
      <c r="H17" s="31"/>
      <c r="I17" s="13"/>
      <c r="J17" s="35"/>
      <c r="K17">
        <v>50</v>
      </c>
      <c r="L17" s="35"/>
      <c r="N17" s="35"/>
      <c r="O17" s="14"/>
      <c r="P17" s="27"/>
      <c r="R17" s="31"/>
      <c r="S17" s="13"/>
      <c r="U17" s="31"/>
      <c r="V17" s="13"/>
      <c r="W17" s="31">
        <v>210</v>
      </c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1950</v>
      </c>
      <c r="E26" s="22">
        <f>SUM(E4:E10)-SUM(E11:E25)</f>
        <v>0</v>
      </c>
      <c r="F26" s="37">
        <f>SUM(F4:F10)-SUM(F11:F25)</f>
        <v>1240</v>
      </c>
      <c r="G26" s="24">
        <f t="shared" ref="G26:Z26" si="0">SUM(G4:G10)-SUM(G11:G25)</f>
        <v>330</v>
      </c>
      <c r="H26" s="33">
        <f t="shared" si="0"/>
        <v>0</v>
      </c>
      <c r="I26" s="22">
        <f t="shared" si="0"/>
        <v>1118</v>
      </c>
      <c r="J26" s="37">
        <f t="shared" si="0"/>
        <v>0</v>
      </c>
      <c r="K26" s="24">
        <f t="shared" si="0"/>
        <v>2343</v>
      </c>
      <c r="L26" s="37">
        <f t="shared" si="0"/>
        <v>415</v>
      </c>
      <c r="M26" s="24">
        <f t="shared" si="0"/>
        <v>0</v>
      </c>
      <c r="N26" s="37">
        <f t="shared" si="0"/>
        <v>0</v>
      </c>
      <c r="O26" s="23">
        <f t="shared" si="0"/>
        <v>520</v>
      </c>
      <c r="P26" s="29">
        <f t="shared" si="0"/>
        <v>432</v>
      </c>
      <c r="Q26" s="24">
        <f t="shared" si="0"/>
        <v>435</v>
      </c>
      <c r="R26" s="33">
        <f t="shared" si="0"/>
        <v>540</v>
      </c>
      <c r="S26" s="22">
        <f>SUM(S4:S10)-SUM(S11:S25)</f>
        <v>1069</v>
      </c>
      <c r="T26" s="22">
        <f t="shared" si="0"/>
        <v>500</v>
      </c>
      <c r="U26" s="33">
        <f t="shared" si="0"/>
        <v>55</v>
      </c>
      <c r="V26" s="22">
        <f t="shared" si="0"/>
        <v>3694</v>
      </c>
      <c r="W26" s="33">
        <f t="shared" si="0"/>
        <v>2228</v>
      </c>
      <c r="X26" s="22">
        <f t="shared" si="0"/>
        <v>573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</f>
        <v>585</v>
      </c>
      <c r="E28">
        <f>+E26*0.3</f>
        <v>0</v>
      </c>
      <c r="F28">
        <f>+F26*0.28</f>
        <v>347.20000000000005</v>
      </c>
      <c r="G28">
        <f>+G26*0.34</f>
        <v>112.2</v>
      </c>
      <c r="H28">
        <f>+H26*0.38</f>
        <v>0</v>
      </c>
      <c r="I28">
        <f>+I26*0.54</f>
        <v>603.72</v>
      </c>
      <c r="J28">
        <f>+J26*0.6</f>
        <v>0</v>
      </c>
      <c r="K28" s="50">
        <f>+K26*0.756</f>
        <v>1771.308</v>
      </c>
      <c r="L28">
        <f>+L26*0.6</f>
        <v>249</v>
      </c>
      <c r="M28">
        <f>+M26*0.66</f>
        <v>0</v>
      </c>
      <c r="N28">
        <f>+N26*0.64</f>
        <v>0</v>
      </c>
      <c r="O28">
        <f>+O26*0.5</f>
        <v>260</v>
      </c>
      <c r="P28">
        <f>+P26*2.08</f>
        <v>898.56000000000006</v>
      </c>
      <c r="Q28">
        <f>+Q26*1.58</f>
        <v>687.30000000000007</v>
      </c>
      <c r="R28">
        <f>+R26*1.89</f>
        <v>1020.5999999999999</v>
      </c>
      <c r="S28">
        <f>+S26*1.67-(69*0.04)</f>
        <v>1782.47</v>
      </c>
      <c r="T28">
        <f>+T26*2.18</f>
        <v>1090</v>
      </c>
      <c r="U28">
        <f>+U26*1.97</f>
        <v>108.35</v>
      </c>
      <c r="V28">
        <f>+V26*0.39+(694*0.03)</f>
        <v>1461.48</v>
      </c>
      <c r="W28">
        <f>+W26*0.3</f>
        <v>668.4</v>
      </c>
      <c r="X28" s="50">
        <f>+X26*1.9-(161*0.11)</f>
        <v>1070.99</v>
      </c>
      <c r="Y28">
        <f>+Y26*0.8</f>
        <v>224</v>
      </c>
      <c r="Z28">
        <f>+Z26*2</f>
        <v>86</v>
      </c>
    </row>
    <row r="30" spans="1:26" x14ac:dyDescent="0.25">
      <c r="K30" s="50"/>
      <c r="X30" s="71"/>
      <c r="Z30" s="39">
        <f>SUM(D28:Z28)</f>
        <v>13026.578</v>
      </c>
    </row>
    <row r="31" spans="1:26" x14ac:dyDescent="0.25">
      <c r="K31" s="50"/>
      <c r="X31" s="71"/>
      <c r="Z31" s="39"/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38BD-0C93-4B2A-9727-5BCBEB28FF21}">
  <dimension ref="A1:Z37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31" sqref="K31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 14 a 20'!D26</f>
        <v>1950</v>
      </c>
      <c r="E4" s="42">
        <f>'STOCK  14 a 20'!E26</f>
        <v>0</v>
      </c>
      <c r="F4" s="42">
        <f>'STOCK  14 a 20'!F26</f>
        <v>1240</v>
      </c>
      <c r="G4" s="42">
        <f>'STOCK  14 a 20'!G26</f>
        <v>330</v>
      </c>
      <c r="H4" s="42">
        <f>'STOCK  14 a 20'!H26</f>
        <v>0</v>
      </c>
      <c r="I4" s="42">
        <f>'STOCK  14 a 20'!I26</f>
        <v>1118</v>
      </c>
      <c r="J4" s="42">
        <f>'STOCK  14 a 20'!J26</f>
        <v>0</v>
      </c>
      <c r="K4" s="42">
        <f>'STOCK  14 a 20'!K26</f>
        <v>2343</v>
      </c>
      <c r="L4" s="42">
        <f>'STOCK  14 a 20'!L26</f>
        <v>415</v>
      </c>
      <c r="M4" s="42">
        <f>'STOCK  14 a 20'!M26</f>
        <v>0</v>
      </c>
      <c r="N4" s="42">
        <f>'STOCK  14 a 20'!N26</f>
        <v>0</v>
      </c>
      <c r="O4" s="42">
        <f>'STOCK  14 a 20'!O26</f>
        <v>520</v>
      </c>
      <c r="P4" s="42">
        <f>'STOCK  14 a 20'!P26</f>
        <v>432</v>
      </c>
      <c r="Q4" s="42">
        <f>'STOCK  14 a 20'!Q26</f>
        <v>435</v>
      </c>
      <c r="R4" s="42">
        <f>'STOCK  14 a 20'!R26</f>
        <v>540</v>
      </c>
      <c r="S4" s="42">
        <f>'STOCK  14 a 20'!S26</f>
        <v>1069</v>
      </c>
      <c r="T4" s="42">
        <f>'STOCK  14 a 20'!T26</f>
        <v>500</v>
      </c>
      <c r="U4" s="42">
        <f>'STOCK  14 a 20'!U26</f>
        <v>55</v>
      </c>
      <c r="V4" s="42">
        <f>'STOCK  14 a 20'!V26</f>
        <v>3694</v>
      </c>
      <c r="W4" s="42">
        <f>'STOCK  14 a 20'!W26</f>
        <v>2228</v>
      </c>
      <c r="X4" s="42">
        <f>'STOCK  14 a 20'!X26</f>
        <v>573</v>
      </c>
      <c r="Y4" s="42">
        <f>'STOCK  14 a 20'!Y26</f>
        <v>280</v>
      </c>
      <c r="Z4" s="42">
        <f>'STOCK  14 a 20'!Z26</f>
        <v>43</v>
      </c>
    </row>
    <row r="5" spans="1:26" x14ac:dyDescent="0.25">
      <c r="A5" s="311"/>
      <c r="B5" s="20">
        <v>45468</v>
      </c>
      <c r="C5" s="14" t="s">
        <v>66</v>
      </c>
      <c r="D5" s="27"/>
      <c r="F5" s="35"/>
      <c r="H5" s="31"/>
      <c r="I5" s="13"/>
      <c r="J5" s="35"/>
      <c r="L5" s="35">
        <v>2000</v>
      </c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>
        <v>45496</v>
      </c>
      <c r="C6" s="14" t="s">
        <v>27</v>
      </c>
      <c r="D6" s="27"/>
      <c r="F6" s="35"/>
      <c r="H6" s="31"/>
      <c r="I6" s="13"/>
      <c r="J6" s="35"/>
      <c r="L6" s="35"/>
      <c r="N6" s="35"/>
      <c r="O6" s="14"/>
      <c r="P6" s="27"/>
      <c r="Q6">
        <v>900</v>
      </c>
      <c r="R6" s="31"/>
      <c r="S6" s="13">
        <v>300</v>
      </c>
      <c r="U6" s="31"/>
      <c r="V6" s="13"/>
      <c r="W6" s="31"/>
      <c r="Y6" s="31"/>
      <c r="Z6" s="15"/>
    </row>
    <row r="7" spans="1:26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45493</v>
      </c>
      <c r="C11" s="14" t="s">
        <v>22</v>
      </c>
      <c r="D11" s="27"/>
      <c r="F11" s="35"/>
      <c r="H11" s="31"/>
      <c r="I11" s="13"/>
      <c r="J11" s="35"/>
      <c r="L11" s="35"/>
      <c r="N11" s="35"/>
      <c r="O11" s="14"/>
      <c r="P11" s="27"/>
      <c r="R11" s="31"/>
      <c r="S11" s="13"/>
      <c r="U11" s="31"/>
      <c r="V11" s="13">
        <v>20</v>
      </c>
      <c r="W11" s="31"/>
      <c r="Y11" s="31"/>
      <c r="Z11" s="15"/>
    </row>
    <row r="12" spans="1:26" x14ac:dyDescent="0.25">
      <c r="A12" s="311"/>
      <c r="B12" s="20">
        <v>45494</v>
      </c>
      <c r="C12" s="14" t="s">
        <v>22</v>
      </c>
      <c r="D12" s="27">
        <v>150</v>
      </c>
      <c r="F12" s="35"/>
      <c r="H12" s="31"/>
      <c r="I12" s="13"/>
      <c r="J12" s="35"/>
      <c r="L12" s="35"/>
      <c r="N12" s="35"/>
      <c r="O12" s="14"/>
      <c r="P12" s="27"/>
      <c r="R12" s="31"/>
      <c r="S12" s="13"/>
      <c r="U12" s="31"/>
      <c r="V12" s="13"/>
      <c r="W12" s="31"/>
      <c r="Y12" s="31"/>
      <c r="Z12" s="15"/>
    </row>
    <row r="13" spans="1:26" x14ac:dyDescent="0.25">
      <c r="A13" s="311"/>
      <c r="B13" s="20">
        <v>45495</v>
      </c>
      <c r="C13" s="14" t="s">
        <v>22</v>
      </c>
      <c r="D13" s="27">
        <v>200</v>
      </c>
      <c r="F13" s="35"/>
      <c r="H13" s="31"/>
      <c r="I13" s="13">
        <v>250</v>
      </c>
      <c r="J13" s="35"/>
      <c r="L13" s="35"/>
      <c r="N13" s="35"/>
      <c r="O13" s="14">
        <v>500</v>
      </c>
      <c r="P13" s="27"/>
      <c r="Q13" s="55">
        <v>500</v>
      </c>
      <c r="R13" s="31"/>
      <c r="S13" s="13"/>
      <c r="U13" s="31"/>
      <c r="V13" s="13">
        <v>500</v>
      </c>
      <c r="W13" s="31"/>
      <c r="Y13" s="31"/>
      <c r="Z13" s="15"/>
    </row>
    <row r="14" spans="1:26" x14ac:dyDescent="0.25">
      <c r="A14" s="311"/>
      <c r="B14" s="20">
        <v>45496</v>
      </c>
      <c r="C14" s="14" t="s">
        <v>22</v>
      </c>
      <c r="D14" s="27"/>
      <c r="F14" s="35"/>
      <c r="G14">
        <v>50</v>
      </c>
      <c r="H14" s="31"/>
      <c r="I14" s="13"/>
      <c r="J14" s="35"/>
      <c r="L14" s="35"/>
      <c r="N14" s="35"/>
      <c r="O14" s="14"/>
      <c r="P14" s="27"/>
      <c r="R14" s="31"/>
      <c r="S14" s="13"/>
      <c r="U14" s="31"/>
      <c r="V14" s="13">
        <v>20</v>
      </c>
      <c r="W14" s="31">
        <v>100</v>
      </c>
      <c r="Y14" s="31"/>
      <c r="Z14" s="15"/>
    </row>
    <row r="15" spans="1:26" x14ac:dyDescent="0.25">
      <c r="A15" s="311"/>
      <c r="B15" s="20"/>
      <c r="C15" s="14"/>
      <c r="D15" s="27"/>
      <c r="F15" s="35"/>
      <c r="H15" s="31"/>
      <c r="I15" s="13"/>
      <c r="J15" s="35"/>
      <c r="L15" s="35"/>
      <c r="N15" s="35"/>
      <c r="O15" s="14"/>
      <c r="P15" s="27"/>
      <c r="R15" s="31"/>
      <c r="S15" s="13"/>
      <c r="U15" s="31"/>
      <c r="V15" s="13"/>
      <c r="W15" s="31"/>
      <c r="Y15" s="31"/>
      <c r="Z15" s="15"/>
    </row>
    <row r="16" spans="1:26" x14ac:dyDescent="0.25">
      <c r="A16" s="311"/>
      <c r="B16" s="20"/>
      <c r="C16" s="14"/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1600</v>
      </c>
      <c r="E26" s="22">
        <f>SUM(E4:E10)-SUM(E11:E25)</f>
        <v>0</v>
      </c>
      <c r="F26" s="37">
        <f>SUM(F4:F10)-SUM(F11:F25)</f>
        <v>1240</v>
      </c>
      <c r="G26" s="24">
        <f t="shared" ref="G26:Z26" si="0">SUM(G4:G10)-SUM(G11:G25)</f>
        <v>280</v>
      </c>
      <c r="H26" s="33">
        <f t="shared" si="0"/>
        <v>0</v>
      </c>
      <c r="I26" s="22">
        <f t="shared" si="0"/>
        <v>868</v>
      </c>
      <c r="J26" s="37">
        <f t="shared" si="0"/>
        <v>0</v>
      </c>
      <c r="K26" s="24">
        <f t="shared" si="0"/>
        <v>2343</v>
      </c>
      <c r="L26" s="37">
        <f t="shared" si="0"/>
        <v>2415</v>
      </c>
      <c r="M26" s="24">
        <f t="shared" si="0"/>
        <v>0</v>
      </c>
      <c r="N26" s="37">
        <f t="shared" si="0"/>
        <v>0</v>
      </c>
      <c r="O26" s="23">
        <f t="shared" si="0"/>
        <v>20</v>
      </c>
      <c r="P26" s="29">
        <f t="shared" si="0"/>
        <v>432</v>
      </c>
      <c r="Q26" s="24">
        <f t="shared" si="0"/>
        <v>835</v>
      </c>
      <c r="R26" s="33">
        <f t="shared" si="0"/>
        <v>540</v>
      </c>
      <c r="S26" s="22">
        <f>SUM(S4:S10)-SUM(S11:S25)</f>
        <v>1369</v>
      </c>
      <c r="T26" s="22">
        <f t="shared" si="0"/>
        <v>500</v>
      </c>
      <c r="U26" s="33">
        <f t="shared" si="0"/>
        <v>55</v>
      </c>
      <c r="V26" s="22">
        <f t="shared" si="0"/>
        <v>3154</v>
      </c>
      <c r="W26" s="33">
        <f t="shared" si="0"/>
        <v>2128</v>
      </c>
      <c r="X26" s="22">
        <f t="shared" si="0"/>
        <v>573</v>
      </c>
      <c r="Y26" s="33">
        <f t="shared" si="0"/>
        <v>280</v>
      </c>
      <c r="Z26" s="25">
        <f t="shared" si="0"/>
        <v>43</v>
      </c>
    </row>
    <row r="28" spans="1:26" x14ac:dyDescent="0.25">
      <c r="D28">
        <f>D26*0.3</f>
        <v>480</v>
      </c>
      <c r="E28">
        <f>+E26*0.3</f>
        <v>0</v>
      </c>
      <c r="F28">
        <f>+F26*0.28</f>
        <v>347.20000000000005</v>
      </c>
      <c r="G28">
        <f>+G26*0.34</f>
        <v>95.2</v>
      </c>
      <c r="H28">
        <f>+H26*0.38</f>
        <v>0</v>
      </c>
      <c r="I28">
        <f>+I26*0.54</f>
        <v>468.72</v>
      </c>
      <c r="J28">
        <f>+J26*0.6</f>
        <v>0</v>
      </c>
      <c r="K28" s="50">
        <f>+K26*0.756</f>
        <v>1771.308</v>
      </c>
      <c r="L28">
        <f>+L26*0.59</f>
        <v>1424.85</v>
      </c>
      <c r="M28">
        <f>+M26*0.66</f>
        <v>0</v>
      </c>
      <c r="N28">
        <f>+N26*0.64</f>
        <v>0</v>
      </c>
      <c r="O28">
        <f>+O26*0.5</f>
        <v>10</v>
      </c>
      <c r="P28">
        <f>+P26*2.08</f>
        <v>898.56000000000006</v>
      </c>
      <c r="Q28">
        <f>+Q26*1.6</f>
        <v>1336</v>
      </c>
      <c r="R28">
        <f>+R26*1.89</f>
        <v>1020.5999999999999</v>
      </c>
      <c r="S28">
        <f>+S26*1.67-(69*0.04)</f>
        <v>2283.4699999999998</v>
      </c>
      <c r="T28">
        <f>+T26*2.18</f>
        <v>1090</v>
      </c>
      <c r="U28">
        <f>+U26*1.97</f>
        <v>108.35</v>
      </c>
      <c r="V28">
        <f>+V26*0.39+(154*0.03)</f>
        <v>1234.6799999999998</v>
      </c>
      <c r="W28">
        <f>+W26*0.3</f>
        <v>638.4</v>
      </c>
      <c r="X28" s="50">
        <f>+X26*1.9-(161*0.11)</f>
        <v>1070.99</v>
      </c>
      <c r="Y28">
        <f>+Y26*0.8</f>
        <v>224</v>
      </c>
      <c r="Z28">
        <f>+Z26*2</f>
        <v>86</v>
      </c>
    </row>
    <row r="30" spans="1:26" x14ac:dyDescent="0.25">
      <c r="K30" s="50"/>
      <c r="X30" s="71"/>
      <c r="Z30" s="39">
        <f>SUM(D28:Z28)</f>
        <v>14588.328</v>
      </c>
    </row>
    <row r="31" spans="1:26" x14ac:dyDescent="0.25">
      <c r="C31" s="55" t="s">
        <v>49</v>
      </c>
      <c r="D31" s="55">
        <v>1681</v>
      </c>
      <c r="E31" s="55"/>
      <c r="F31" s="55">
        <v>68</v>
      </c>
      <c r="G31" s="55">
        <v>275</v>
      </c>
      <c r="H31" s="55">
        <v>101</v>
      </c>
      <c r="I31" s="55"/>
      <c r="J31" s="55"/>
      <c r="K31" s="76">
        <v>2201</v>
      </c>
      <c r="L31" s="55">
        <v>2385</v>
      </c>
      <c r="M31" s="55"/>
      <c r="N31" s="55"/>
      <c r="O31" s="55">
        <v>0</v>
      </c>
      <c r="P31" s="55">
        <v>427</v>
      </c>
      <c r="Q31" s="55">
        <v>870</v>
      </c>
      <c r="R31" s="55">
        <v>540</v>
      </c>
      <c r="S31" s="55">
        <f>870+500</f>
        <v>1370</v>
      </c>
      <c r="T31" s="55">
        <v>500</v>
      </c>
      <c r="U31" s="55">
        <v>52</v>
      </c>
      <c r="V31" s="55">
        <v>3000</v>
      </c>
      <c r="W31" s="55">
        <v>2000</v>
      </c>
      <c r="X31" s="75">
        <v>524</v>
      </c>
      <c r="Y31" s="55">
        <v>0</v>
      </c>
      <c r="Z31" s="47">
        <v>0</v>
      </c>
    </row>
    <row r="32" spans="1:26" x14ac:dyDescent="0.25">
      <c r="C32" s="77" t="s">
        <v>36</v>
      </c>
      <c r="D32" s="77">
        <f>D31-D26</f>
        <v>81</v>
      </c>
      <c r="E32" s="77">
        <f t="shared" ref="E32:Z32" si="1">E31-E26</f>
        <v>0</v>
      </c>
      <c r="F32" s="77">
        <f t="shared" si="1"/>
        <v>-1172</v>
      </c>
      <c r="G32" s="77">
        <f t="shared" si="1"/>
        <v>-5</v>
      </c>
      <c r="H32" s="77">
        <f t="shared" si="1"/>
        <v>101</v>
      </c>
      <c r="I32" s="77">
        <f t="shared" si="1"/>
        <v>-868</v>
      </c>
      <c r="J32" s="77">
        <f t="shared" si="1"/>
        <v>0</v>
      </c>
      <c r="K32" s="77">
        <f t="shared" si="1"/>
        <v>-142</v>
      </c>
      <c r="L32" s="77">
        <f t="shared" si="1"/>
        <v>-30</v>
      </c>
      <c r="M32" s="77">
        <f t="shared" si="1"/>
        <v>0</v>
      </c>
      <c r="N32" s="77">
        <f t="shared" si="1"/>
        <v>0</v>
      </c>
      <c r="O32" s="77">
        <f t="shared" si="1"/>
        <v>-20</v>
      </c>
      <c r="P32" s="77">
        <f t="shared" si="1"/>
        <v>-5</v>
      </c>
      <c r="Q32" s="77">
        <f t="shared" si="1"/>
        <v>35</v>
      </c>
      <c r="R32" s="77">
        <f t="shared" si="1"/>
        <v>0</v>
      </c>
      <c r="S32" s="77">
        <f t="shared" si="1"/>
        <v>1</v>
      </c>
      <c r="T32" s="77">
        <f t="shared" si="1"/>
        <v>0</v>
      </c>
      <c r="U32" s="77">
        <f t="shared" si="1"/>
        <v>-3</v>
      </c>
      <c r="V32" s="77">
        <f t="shared" si="1"/>
        <v>-154</v>
      </c>
      <c r="W32" s="77">
        <f t="shared" si="1"/>
        <v>-128</v>
      </c>
      <c r="X32" s="77">
        <f>X31-X26</f>
        <v>-49</v>
      </c>
      <c r="Y32" s="77">
        <f t="shared" si="1"/>
        <v>-280</v>
      </c>
      <c r="Z32" s="77">
        <f t="shared" si="1"/>
        <v>-43</v>
      </c>
    </row>
    <row r="33" spans="3:26" x14ac:dyDescent="0.25">
      <c r="C33" t="s">
        <v>52</v>
      </c>
      <c r="D33">
        <v>0.3</v>
      </c>
      <c r="F33">
        <v>0.28000000000000003</v>
      </c>
      <c r="G33">
        <v>0.34</v>
      </c>
      <c r="H33">
        <v>0.35</v>
      </c>
      <c r="I33">
        <v>0.54</v>
      </c>
      <c r="K33">
        <v>0.75600000000000001</v>
      </c>
      <c r="L33">
        <v>0.59</v>
      </c>
      <c r="O33">
        <v>0.5</v>
      </c>
      <c r="P33">
        <v>2.08</v>
      </c>
      <c r="Q33">
        <v>1.6</v>
      </c>
      <c r="S33">
        <v>1.63</v>
      </c>
      <c r="T33">
        <v>2.1800000000000002</v>
      </c>
      <c r="U33">
        <v>1.97</v>
      </c>
      <c r="V33">
        <v>0.42</v>
      </c>
      <c r="W33">
        <v>0.3</v>
      </c>
      <c r="X33">
        <v>1.79</v>
      </c>
      <c r="Y33">
        <v>0.8</v>
      </c>
      <c r="Z33">
        <v>2</v>
      </c>
    </row>
    <row r="34" spans="3:26" x14ac:dyDescent="0.25">
      <c r="C34" s="56" t="s">
        <v>67</v>
      </c>
      <c r="D34" s="56">
        <f>D32*D33</f>
        <v>24.3</v>
      </c>
      <c r="E34" s="56">
        <f t="shared" ref="E34:Z34" si="2">E32*E33</f>
        <v>0</v>
      </c>
      <c r="F34" s="56">
        <f t="shared" si="2"/>
        <v>-328.16</v>
      </c>
      <c r="G34" s="56">
        <f t="shared" si="2"/>
        <v>-1.7000000000000002</v>
      </c>
      <c r="H34" s="56">
        <f t="shared" si="2"/>
        <v>35.349999999999994</v>
      </c>
      <c r="I34" s="56">
        <f t="shared" si="2"/>
        <v>-468.72</v>
      </c>
      <c r="J34" s="56">
        <f t="shared" si="2"/>
        <v>0</v>
      </c>
      <c r="K34" s="56">
        <f>K32*K33</f>
        <v>-107.352</v>
      </c>
      <c r="L34" s="56">
        <f t="shared" si="2"/>
        <v>-17.7</v>
      </c>
      <c r="M34" s="56">
        <f t="shared" si="2"/>
        <v>0</v>
      </c>
      <c r="N34" s="56">
        <f t="shared" si="2"/>
        <v>0</v>
      </c>
      <c r="O34" s="56">
        <f t="shared" si="2"/>
        <v>-10</v>
      </c>
      <c r="P34" s="56">
        <f t="shared" si="2"/>
        <v>-10.4</v>
      </c>
      <c r="Q34" s="56">
        <f t="shared" si="2"/>
        <v>56</v>
      </c>
      <c r="R34" s="56">
        <f t="shared" si="2"/>
        <v>0</v>
      </c>
      <c r="S34" s="56">
        <f t="shared" si="2"/>
        <v>1.63</v>
      </c>
      <c r="T34" s="56">
        <f t="shared" si="2"/>
        <v>0</v>
      </c>
      <c r="U34" s="56">
        <f t="shared" si="2"/>
        <v>-5.91</v>
      </c>
      <c r="V34" s="56">
        <f t="shared" si="2"/>
        <v>-64.679999999999993</v>
      </c>
      <c r="W34" s="56">
        <f t="shared" si="2"/>
        <v>-38.4</v>
      </c>
      <c r="X34" s="56">
        <f t="shared" si="2"/>
        <v>-87.710000000000008</v>
      </c>
      <c r="Y34" s="56">
        <f t="shared" si="2"/>
        <v>-224</v>
      </c>
      <c r="Z34" s="56">
        <f t="shared" si="2"/>
        <v>-86</v>
      </c>
    </row>
    <row r="35" spans="3:26" x14ac:dyDescent="0.25">
      <c r="Z35" s="39">
        <f>SUM(D34:Z34)</f>
        <v>-1333.452</v>
      </c>
    </row>
    <row r="37" spans="3:26" x14ac:dyDescent="0.25">
      <c r="Z37">
        <f>-Z30-Z35</f>
        <v>-13254.876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B7C9-B56E-47B6-9561-71DC3F92EAB5}">
  <dimension ref="A1:Z30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5" sqref="A15:XFD15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 21 a 27'!D31</f>
        <v>1681</v>
      </c>
      <c r="E4" s="42">
        <f>'STOCK  21 a 27'!E31</f>
        <v>0</v>
      </c>
      <c r="F4" s="42">
        <f>'STOCK  21 a 27'!F31</f>
        <v>68</v>
      </c>
      <c r="G4" s="42">
        <f>'STOCK  21 a 27'!G31</f>
        <v>275</v>
      </c>
      <c r="H4" s="42">
        <f>'STOCK  21 a 27'!H31</f>
        <v>101</v>
      </c>
      <c r="I4" s="42">
        <f>'STOCK  21 a 27'!I31</f>
        <v>0</v>
      </c>
      <c r="J4" s="42">
        <f>'STOCK  21 a 27'!J31</f>
        <v>0</v>
      </c>
      <c r="K4" s="42">
        <f>'STOCK  21 a 27'!K31</f>
        <v>2201</v>
      </c>
      <c r="L4" s="42">
        <f>'STOCK  21 a 27'!L31</f>
        <v>2385</v>
      </c>
      <c r="M4" s="42">
        <f>'STOCK  21 a 27'!M31</f>
        <v>0</v>
      </c>
      <c r="N4" s="42">
        <f>'STOCK  21 a 27'!N31</f>
        <v>0</v>
      </c>
      <c r="O4" s="42">
        <f>'STOCK  21 a 27'!O31</f>
        <v>0</v>
      </c>
      <c r="P4" s="42">
        <f>'STOCK  21 a 27'!P31</f>
        <v>427</v>
      </c>
      <c r="Q4" s="42">
        <f>'STOCK  21 a 27'!Q31</f>
        <v>870</v>
      </c>
      <c r="R4" s="42">
        <f>'STOCK  21 a 27'!R31</f>
        <v>540</v>
      </c>
      <c r="S4" s="42">
        <f>'STOCK  21 a 27'!S31</f>
        <v>1370</v>
      </c>
      <c r="T4" s="42">
        <f>'STOCK  21 a 27'!T31</f>
        <v>500</v>
      </c>
      <c r="U4" s="42">
        <f>'STOCK  21 a 27'!U31</f>
        <v>52</v>
      </c>
      <c r="V4" s="42">
        <f>'STOCK  21 a 27'!V31</f>
        <v>3000</v>
      </c>
      <c r="W4" s="42">
        <f>'STOCK  21 a 27'!W31</f>
        <v>2000</v>
      </c>
      <c r="X4" s="42">
        <f>'STOCK  21 a 27'!X31</f>
        <v>524</v>
      </c>
      <c r="Y4" s="42">
        <f>'STOCK  21 a 27'!Y31</f>
        <v>0</v>
      </c>
      <c r="Z4" s="42">
        <f>'STOCK  21 a 27'!Z31</f>
        <v>0</v>
      </c>
    </row>
    <row r="5" spans="1:26" x14ac:dyDescent="0.25">
      <c r="A5" s="311"/>
      <c r="B5" s="20">
        <v>45500</v>
      </c>
      <c r="C5" s="14" t="s">
        <v>27</v>
      </c>
      <c r="D5" s="27"/>
      <c r="F5" s="35"/>
      <c r="H5" s="31"/>
      <c r="I5" s="13"/>
      <c r="J5" s="35"/>
      <c r="L5" s="35"/>
      <c r="N5" s="35"/>
      <c r="O5" s="14"/>
      <c r="P5" s="27"/>
      <c r="R5" s="31"/>
      <c r="S5" s="13">
        <v>1000</v>
      </c>
      <c r="U5" s="31"/>
      <c r="V5" s="13"/>
      <c r="W5" s="31"/>
      <c r="Y5" s="31"/>
      <c r="Z5" s="15"/>
    </row>
    <row r="6" spans="1:26" x14ac:dyDescent="0.25">
      <c r="A6" s="311"/>
      <c r="B6" s="20"/>
      <c r="C6" s="14"/>
      <c r="D6" s="27"/>
      <c r="F6" s="35"/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45496</v>
      </c>
      <c r="C11" s="14" t="s">
        <v>22</v>
      </c>
      <c r="D11" s="27"/>
      <c r="F11" s="35"/>
      <c r="G11">
        <v>150</v>
      </c>
      <c r="H11" s="31"/>
      <c r="I11" s="13"/>
      <c r="J11" s="35"/>
      <c r="L11" s="35"/>
      <c r="N11" s="35"/>
      <c r="O11" s="14"/>
      <c r="P11" s="27"/>
      <c r="R11" s="31"/>
      <c r="S11" s="13"/>
      <c r="U11" s="31"/>
      <c r="V11" s="13">
        <v>300</v>
      </c>
      <c r="W11" s="31">
        <v>200</v>
      </c>
      <c r="Y11" s="31"/>
      <c r="Z11" s="15"/>
    </row>
    <row r="12" spans="1:26" x14ac:dyDescent="0.25">
      <c r="A12" s="311"/>
      <c r="B12" s="20">
        <v>45497</v>
      </c>
      <c r="C12" s="14" t="s">
        <v>22</v>
      </c>
      <c r="D12" s="27">
        <v>300</v>
      </c>
      <c r="F12" s="35"/>
      <c r="H12" s="31"/>
      <c r="I12" s="13"/>
      <c r="J12" s="35"/>
      <c r="L12" s="35"/>
      <c r="N12" s="35"/>
      <c r="O12" s="14"/>
      <c r="P12" s="27"/>
      <c r="R12" s="31"/>
      <c r="S12" s="13"/>
      <c r="U12" s="31"/>
      <c r="V12" s="13">
        <v>100</v>
      </c>
      <c r="W12" s="31"/>
      <c r="Y12" s="31"/>
      <c r="Z12" s="15"/>
    </row>
    <row r="13" spans="1:26" x14ac:dyDescent="0.25">
      <c r="A13" s="311"/>
      <c r="B13" s="20">
        <v>45498</v>
      </c>
      <c r="C13" s="14" t="s">
        <v>22</v>
      </c>
      <c r="D13" s="27">
        <v>500</v>
      </c>
      <c r="F13" s="35"/>
      <c r="H13" s="31"/>
      <c r="I13" s="13"/>
      <c r="J13" s="35"/>
      <c r="L13" s="35"/>
      <c r="N13" s="35"/>
      <c r="O13" s="14"/>
      <c r="P13" s="27"/>
      <c r="R13" s="31"/>
      <c r="S13" s="13">
        <v>500</v>
      </c>
      <c r="U13" s="31"/>
      <c r="V13" s="13"/>
      <c r="W13" s="31">
        <v>30</v>
      </c>
      <c r="Y13" s="31"/>
      <c r="Z13" s="15"/>
    </row>
    <row r="14" spans="1:26" x14ac:dyDescent="0.25">
      <c r="A14" s="311"/>
      <c r="B14" s="20">
        <v>45499</v>
      </c>
      <c r="C14" s="14" t="s">
        <v>22</v>
      </c>
      <c r="D14" s="27">
        <v>452</v>
      </c>
      <c r="F14" s="35"/>
      <c r="H14" s="31"/>
      <c r="I14" s="13"/>
      <c r="J14" s="35"/>
      <c r="L14" s="35"/>
      <c r="N14" s="35"/>
      <c r="O14" s="14"/>
      <c r="P14" s="27"/>
      <c r="R14" s="31"/>
      <c r="S14" s="13">
        <v>650</v>
      </c>
      <c r="U14" s="31"/>
      <c r="V14" s="13"/>
      <c r="W14" s="31">
        <f>50+50</f>
        <v>100</v>
      </c>
      <c r="Y14" s="31"/>
      <c r="Z14" s="15"/>
    </row>
    <row r="15" spans="1:26" x14ac:dyDescent="0.25">
      <c r="A15" s="311"/>
      <c r="B15" s="20">
        <v>45500</v>
      </c>
      <c r="C15" s="14" t="s">
        <v>22</v>
      </c>
      <c r="D15" s="27">
        <v>350</v>
      </c>
      <c r="F15" s="35"/>
      <c r="H15" s="31"/>
      <c r="I15" s="13"/>
      <c r="J15" s="35"/>
      <c r="L15" s="35"/>
      <c r="N15" s="35"/>
      <c r="O15" s="14"/>
      <c r="P15" s="27"/>
      <c r="R15" s="31"/>
      <c r="S15" s="13"/>
      <c r="U15" s="31"/>
      <c r="V15" s="13"/>
      <c r="W15" s="31"/>
      <c r="Y15" s="31"/>
      <c r="Z15" s="15"/>
    </row>
    <row r="16" spans="1:26" x14ac:dyDescent="0.25">
      <c r="A16" s="311"/>
      <c r="B16" s="20"/>
      <c r="C16" s="14"/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79</v>
      </c>
      <c r="E26" s="22">
        <f>SUM(E4:E10)-SUM(E11:E25)</f>
        <v>0</v>
      </c>
      <c r="F26" s="37">
        <f>SUM(F4:F10)-SUM(F11:F25)</f>
        <v>68</v>
      </c>
      <c r="G26" s="24">
        <f t="shared" ref="G26:Z26" si="0">SUM(G4:G10)-SUM(G11:G25)</f>
        <v>125</v>
      </c>
      <c r="H26" s="33">
        <f t="shared" si="0"/>
        <v>101</v>
      </c>
      <c r="I26" s="22">
        <f t="shared" si="0"/>
        <v>0</v>
      </c>
      <c r="J26" s="37">
        <f t="shared" si="0"/>
        <v>0</v>
      </c>
      <c r="K26" s="24">
        <f t="shared" si="0"/>
        <v>2201</v>
      </c>
      <c r="L26" s="37">
        <f t="shared" si="0"/>
        <v>2385</v>
      </c>
      <c r="M26" s="24">
        <f t="shared" si="0"/>
        <v>0</v>
      </c>
      <c r="N26" s="37">
        <f t="shared" si="0"/>
        <v>0</v>
      </c>
      <c r="O26" s="23">
        <f t="shared" si="0"/>
        <v>0</v>
      </c>
      <c r="P26" s="29">
        <f t="shared" si="0"/>
        <v>427</v>
      </c>
      <c r="Q26" s="24">
        <f t="shared" si="0"/>
        <v>870</v>
      </c>
      <c r="R26" s="33">
        <f t="shared" si="0"/>
        <v>540</v>
      </c>
      <c r="S26" s="22">
        <f>SUM(S4:S10)-SUM(S11:S25)</f>
        <v>1220</v>
      </c>
      <c r="T26" s="22">
        <f t="shared" si="0"/>
        <v>500</v>
      </c>
      <c r="U26" s="33">
        <f t="shared" si="0"/>
        <v>52</v>
      </c>
      <c r="V26" s="22">
        <f t="shared" si="0"/>
        <v>2600</v>
      </c>
      <c r="W26" s="33">
        <f t="shared" si="0"/>
        <v>1670</v>
      </c>
      <c r="X26" s="22">
        <f t="shared" si="0"/>
        <v>524</v>
      </c>
      <c r="Y26" s="33">
        <f t="shared" si="0"/>
        <v>0</v>
      </c>
      <c r="Z26" s="25">
        <f t="shared" si="0"/>
        <v>0</v>
      </c>
    </row>
    <row r="28" spans="1:26" x14ac:dyDescent="0.25">
      <c r="D28">
        <f>D26*0.3</f>
        <v>23.7</v>
      </c>
      <c r="E28">
        <f>+E26*0.3</f>
        <v>0</v>
      </c>
      <c r="F28">
        <f>+F26*0.28</f>
        <v>19.040000000000003</v>
      </c>
      <c r="G28">
        <f>+G26*0.34</f>
        <v>42.5</v>
      </c>
      <c r="H28">
        <f>+H26*0.35</f>
        <v>35.349999999999994</v>
      </c>
      <c r="I28">
        <f>+I26*0.54</f>
        <v>0</v>
      </c>
      <c r="J28">
        <f>+J26*0.6</f>
        <v>0</v>
      </c>
      <c r="K28" s="50">
        <f>+K26*0.756</f>
        <v>1663.9559999999999</v>
      </c>
      <c r="L28">
        <f>+L26*0.59</f>
        <v>1407.1499999999999</v>
      </c>
      <c r="M28">
        <f>+M26*0.66</f>
        <v>0</v>
      </c>
      <c r="N28">
        <f>+N26*0.64</f>
        <v>0</v>
      </c>
      <c r="O28">
        <f>+O26*0.5</f>
        <v>0</v>
      </c>
      <c r="P28">
        <f>+P26*2.08</f>
        <v>888.16000000000008</v>
      </c>
      <c r="Q28">
        <f>+Q26*1.6</f>
        <v>1392</v>
      </c>
      <c r="R28">
        <f>+R26*1.89</f>
        <v>1020.5999999999999</v>
      </c>
      <c r="S28">
        <f>+S26*1.67</f>
        <v>2037.3999999999999</v>
      </c>
      <c r="T28">
        <f>+T26*2.18</f>
        <v>1090</v>
      </c>
      <c r="U28">
        <f>+U26*1.97</f>
        <v>102.44</v>
      </c>
      <c r="V28">
        <f>+V26*0.39</f>
        <v>1014</v>
      </c>
      <c r="W28">
        <f>+W26*0.3</f>
        <v>501</v>
      </c>
      <c r="X28" s="50">
        <f>+X26*1.9-(112*0.11)</f>
        <v>983.27999999999986</v>
      </c>
      <c r="Y28">
        <f>+Y26*0.8</f>
        <v>0</v>
      </c>
      <c r="Z28">
        <f>+Z26*2</f>
        <v>0</v>
      </c>
    </row>
    <row r="30" spans="1:26" x14ac:dyDescent="0.25">
      <c r="K30" s="50"/>
      <c r="X30" s="71"/>
      <c r="Z30" s="39">
        <f>SUM(D28:Z28)</f>
        <v>12220.576000000001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7E3-DFC3-44FB-9486-461698357BD9}">
  <dimension ref="A1:Z30"/>
  <sheetViews>
    <sheetView view="pageBreakPreview"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12" sqref="Q12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 23 a 27'!D26</f>
        <v>79</v>
      </c>
      <c r="E4" s="42">
        <f>'STOCK  23 a 27'!E26</f>
        <v>0</v>
      </c>
      <c r="F4" s="42">
        <f>'STOCK  23 a 27'!F26</f>
        <v>68</v>
      </c>
      <c r="G4" s="42">
        <f>'STOCK  23 a 27'!G26</f>
        <v>125</v>
      </c>
      <c r="H4" s="42">
        <f>'STOCK  23 a 27'!H26</f>
        <v>101</v>
      </c>
      <c r="I4" s="42">
        <f>'STOCK  23 a 27'!I26</f>
        <v>0</v>
      </c>
      <c r="J4" s="42">
        <f>'STOCK  23 a 27'!J26</f>
        <v>0</v>
      </c>
      <c r="K4" s="42">
        <f>'STOCK  23 a 27'!K26</f>
        <v>2201</v>
      </c>
      <c r="L4" s="42">
        <f>'STOCK  23 a 27'!L26</f>
        <v>2385</v>
      </c>
      <c r="M4" s="42">
        <f>'STOCK  23 a 27'!M26</f>
        <v>0</v>
      </c>
      <c r="N4" s="42">
        <f>'STOCK  23 a 27'!N26</f>
        <v>0</v>
      </c>
      <c r="O4" s="42">
        <f>'STOCK  23 a 27'!O26</f>
        <v>0</v>
      </c>
      <c r="P4" s="42">
        <f>'STOCK  23 a 27'!P26</f>
        <v>427</v>
      </c>
      <c r="Q4" s="42">
        <f>'STOCK  23 a 27'!Q26</f>
        <v>870</v>
      </c>
      <c r="R4" s="42">
        <f>'STOCK  23 a 27'!R26</f>
        <v>540</v>
      </c>
      <c r="S4" s="42">
        <f>'STOCK  23 a 27'!S26</f>
        <v>1220</v>
      </c>
      <c r="T4" s="42">
        <f>'STOCK  23 a 27'!T26</f>
        <v>500</v>
      </c>
      <c r="U4" s="42">
        <f>'STOCK  23 a 27'!U26</f>
        <v>52</v>
      </c>
      <c r="V4" s="42">
        <f>'STOCK  23 a 27'!V26</f>
        <v>2600</v>
      </c>
      <c r="W4" s="42">
        <f>'STOCK  23 a 27'!W26</f>
        <v>1670</v>
      </c>
      <c r="X4" s="42">
        <f>'STOCK  23 a 27'!X26</f>
        <v>524</v>
      </c>
      <c r="Y4" s="42">
        <f>'STOCK  23 a 27'!Y26</f>
        <v>0</v>
      </c>
      <c r="Z4" s="42">
        <f>'STOCK  23 a 27'!Z26</f>
        <v>0</v>
      </c>
    </row>
    <row r="5" spans="1:26" x14ac:dyDescent="0.25">
      <c r="A5" s="311"/>
      <c r="B5" s="20">
        <v>45505</v>
      </c>
      <c r="C5" s="14" t="s">
        <v>27</v>
      </c>
      <c r="D5" s="27"/>
      <c r="F5" s="35"/>
      <c r="H5" s="31"/>
      <c r="I5" s="13"/>
      <c r="J5" s="35"/>
      <c r="L5" s="35"/>
      <c r="N5" s="35"/>
      <c r="O5" s="14">
        <v>3500</v>
      </c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>
        <v>45506</v>
      </c>
      <c r="C6" s="14" t="s">
        <v>27</v>
      </c>
      <c r="D6" s="27">
        <v>4500</v>
      </c>
      <c r="F6" s="35"/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45502</v>
      </c>
      <c r="C11" s="14" t="s">
        <v>22</v>
      </c>
      <c r="D11" s="27"/>
      <c r="F11" s="35"/>
      <c r="H11" s="31"/>
      <c r="I11" s="13"/>
      <c r="J11" s="35"/>
      <c r="L11" s="35">
        <v>60</v>
      </c>
      <c r="N11" s="35"/>
      <c r="O11" s="14"/>
      <c r="P11" s="27"/>
      <c r="Q11">
        <v>570</v>
      </c>
      <c r="R11" s="31"/>
      <c r="S11" s="13"/>
      <c r="U11" s="31"/>
      <c r="V11" s="13">
        <v>120</v>
      </c>
      <c r="W11" s="31">
        <f>50+150</f>
        <v>200</v>
      </c>
      <c r="Y11" s="31"/>
      <c r="Z11" s="15"/>
    </row>
    <row r="12" spans="1:26" x14ac:dyDescent="0.25">
      <c r="A12" s="311"/>
      <c r="B12" s="20">
        <v>45503</v>
      </c>
      <c r="C12" s="14" t="s">
        <v>22</v>
      </c>
      <c r="D12" s="27"/>
      <c r="F12" s="35"/>
      <c r="H12" s="31"/>
      <c r="I12" s="13"/>
      <c r="J12" s="35"/>
      <c r="L12" s="35">
        <v>130</v>
      </c>
      <c r="N12" s="35"/>
      <c r="O12" s="14"/>
      <c r="P12" s="27"/>
      <c r="R12" s="31"/>
      <c r="S12" s="13"/>
      <c r="U12" s="31"/>
      <c r="V12" s="13"/>
      <c r="W12" s="31"/>
      <c r="Y12" s="31"/>
      <c r="Z12" s="15"/>
    </row>
    <row r="13" spans="1:26" x14ac:dyDescent="0.25">
      <c r="A13" s="311"/>
      <c r="B13" s="20">
        <v>45504</v>
      </c>
      <c r="C13" s="14" t="s">
        <v>22</v>
      </c>
      <c r="D13" s="27"/>
      <c r="F13" s="35"/>
      <c r="H13" s="31">
        <v>60</v>
      </c>
      <c r="I13" s="13"/>
      <c r="J13" s="35"/>
      <c r="L13" s="35">
        <v>2000</v>
      </c>
      <c r="N13" s="35"/>
      <c r="O13" s="14"/>
      <c r="P13" s="27"/>
      <c r="R13" s="31"/>
      <c r="S13" s="13">
        <v>300</v>
      </c>
      <c r="U13" s="31"/>
      <c r="V13" s="13"/>
      <c r="W13" s="31">
        <v>20</v>
      </c>
      <c r="Y13" s="31"/>
      <c r="Z13" s="15"/>
    </row>
    <row r="14" spans="1:26" x14ac:dyDescent="0.25">
      <c r="A14" s="311"/>
      <c r="B14" s="20">
        <v>45505</v>
      </c>
      <c r="C14" s="14" t="s">
        <v>22</v>
      </c>
      <c r="D14" s="27"/>
      <c r="F14" s="35">
        <v>59</v>
      </c>
      <c r="H14" s="31">
        <v>41</v>
      </c>
      <c r="I14" s="13"/>
      <c r="J14" s="35"/>
      <c r="L14" s="35"/>
      <c r="N14" s="35"/>
      <c r="O14" s="14"/>
      <c r="P14" s="27">
        <v>420</v>
      </c>
      <c r="R14" s="31"/>
      <c r="S14" s="13"/>
      <c r="U14" s="31"/>
      <c r="V14" s="13">
        <v>300</v>
      </c>
      <c r="W14" s="31"/>
      <c r="Y14" s="31"/>
      <c r="Z14" s="15"/>
    </row>
    <row r="15" spans="1:26" x14ac:dyDescent="0.25">
      <c r="A15" s="311"/>
      <c r="B15" s="20">
        <v>45506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/>
      <c r="Q15">
        <v>200</v>
      </c>
      <c r="R15" s="31"/>
      <c r="S15" s="13"/>
      <c r="U15" s="31"/>
      <c r="V15" s="13"/>
      <c r="W15" s="31"/>
      <c r="Y15" s="31"/>
      <c r="Z15" s="15"/>
    </row>
    <row r="16" spans="1:26" x14ac:dyDescent="0.25">
      <c r="A16" s="311"/>
      <c r="B16" s="20">
        <v>45507</v>
      </c>
      <c r="C16" s="14" t="s">
        <v>22</v>
      </c>
      <c r="D16" s="27"/>
      <c r="F16" s="35"/>
      <c r="H16" s="31"/>
      <c r="I16" s="13"/>
      <c r="J16" s="35"/>
      <c r="L16" s="35"/>
      <c r="N16" s="35"/>
      <c r="O16" s="14"/>
      <c r="P16" s="27"/>
      <c r="Q16">
        <v>30</v>
      </c>
      <c r="R16" s="31"/>
      <c r="S16" s="13"/>
      <c r="U16" s="31"/>
      <c r="V16" s="13">
        <v>500</v>
      </c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4579</v>
      </c>
      <c r="E26" s="22">
        <f>SUM(E4:E10)-SUM(E11:E25)</f>
        <v>0</v>
      </c>
      <c r="F26" s="37">
        <f>SUM(F4:F10)-SUM(F11:F25)</f>
        <v>9</v>
      </c>
      <c r="G26" s="24">
        <f t="shared" ref="G26:Z26" si="0">SUM(G4:G10)-SUM(G11:G25)</f>
        <v>125</v>
      </c>
      <c r="H26" s="33">
        <f t="shared" si="0"/>
        <v>0</v>
      </c>
      <c r="I26" s="22">
        <f t="shared" si="0"/>
        <v>0</v>
      </c>
      <c r="J26" s="37">
        <f t="shared" si="0"/>
        <v>0</v>
      </c>
      <c r="K26" s="24">
        <f t="shared" si="0"/>
        <v>2201</v>
      </c>
      <c r="L26" s="37">
        <f t="shared" si="0"/>
        <v>195</v>
      </c>
      <c r="M26" s="24">
        <f t="shared" si="0"/>
        <v>0</v>
      </c>
      <c r="N26" s="37">
        <f t="shared" si="0"/>
        <v>0</v>
      </c>
      <c r="O26" s="23">
        <f t="shared" si="0"/>
        <v>3500</v>
      </c>
      <c r="P26" s="29">
        <f t="shared" si="0"/>
        <v>7</v>
      </c>
      <c r="Q26" s="24">
        <f t="shared" si="0"/>
        <v>70</v>
      </c>
      <c r="R26" s="33">
        <f t="shared" si="0"/>
        <v>540</v>
      </c>
      <c r="S26" s="22">
        <f>SUM(S4:S10)-SUM(S11:S25)</f>
        <v>920</v>
      </c>
      <c r="T26" s="22">
        <f t="shared" si="0"/>
        <v>500</v>
      </c>
      <c r="U26" s="33">
        <f t="shared" si="0"/>
        <v>52</v>
      </c>
      <c r="V26" s="22">
        <f t="shared" si="0"/>
        <v>1680</v>
      </c>
      <c r="W26" s="33">
        <f t="shared" si="0"/>
        <v>1450</v>
      </c>
      <c r="X26" s="22">
        <f t="shared" si="0"/>
        <v>524</v>
      </c>
      <c r="Y26" s="33">
        <f t="shared" si="0"/>
        <v>0</v>
      </c>
      <c r="Z26" s="25">
        <f t="shared" si="0"/>
        <v>0</v>
      </c>
    </row>
    <row r="28" spans="1:26" x14ac:dyDescent="0.25">
      <c r="D28">
        <f>D26*0.3</f>
        <v>1373.7</v>
      </c>
      <c r="E28">
        <f>+E26*0.3</f>
        <v>0</v>
      </c>
      <c r="F28">
        <f>+F26*0.28</f>
        <v>2.5200000000000005</v>
      </c>
      <c r="G28">
        <f>+G26*0.34</f>
        <v>42.5</v>
      </c>
      <c r="H28">
        <f>+H26*0.35</f>
        <v>0</v>
      </c>
      <c r="I28">
        <f>+I26*0.54</f>
        <v>0</v>
      </c>
      <c r="J28">
        <f>+J26*0.6</f>
        <v>0</v>
      </c>
      <c r="K28" s="50">
        <f>+K26*0.756</f>
        <v>1663.9559999999999</v>
      </c>
      <c r="L28">
        <f>+L26*0.59</f>
        <v>115.05</v>
      </c>
      <c r="M28">
        <f>+M26*0.66</f>
        <v>0</v>
      </c>
      <c r="N28">
        <f>+N26*0.64</f>
        <v>0</v>
      </c>
      <c r="O28">
        <f>+O26*0.5</f>
        <v>1750</v>
      </c>
      <c r="P28">
        <f>+P26*2.08</f>
        <v>14.56</v>
      </c>
      <c r="Q28">
        <f>+Q26*1.6</f>
        <v>112</v>
      </c>
      <c r="R28">
        <f>+R26*1.89</f>
        <v>1020.5999999999999</v>
      </c>
      <c r="S28">
        <f>+S26*1.67</f>
        <v>1536.3999999999999</v>
      </c>
      <c r="T28">
        <f>+T26*2.18</f>
        <v>1090</v>
      </c>
      <c r="U28">
        <f>+U26*1.97</f>
        <v>102.44</v>
      </c>
      <c r="V28">
        <f>+V26*0.39</f>
        <v>655.20000000000005</v>
      </c>
      <c r="W28">
        <f>+W26*0.3</f>
        <v>435</v>
      </c>
      <c r="X28" s="50">
        <f>+X26*1.9-(112*0.11)</f>
        <v>983.27999999999986</v>
      </c>
      <c r="Y28">
        <f>+Y26*0.8</f>
        <v>0</v>
      </c>
      <c r="Z28">
        <f>+Z26*2</f>
        <v>0</v>
      </c>
    </row>
    <row r="30" spans="1:26" x14ac:dyDescent="0.25">
      <c r="K30" s="50"/>
      <c r="X30" s="71"/>
      <c r="Z30" s="39">
        <f>SUM(D28:Z28)</f>
        <v>10897.206000000002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412B-6DBA-4FD3-8F66-E9AB7A97578D}">
  <dimension ref="A1:Z30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5" sqref="L15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 28 a 03'!D26</f>
        <v>4579</v>
      </c>
      <c r="E4" s="42">
        <f>'STOCK  28 a 03'!E26</f>
        <v>0</v>
      </c>
      <c r="F4" s="42">
        <f>'STOCK  28 a 03'!F26</f>
        <v>9</v>
      </c>
      <c r="G4" s="42">
        <f>'STOCK  28 a 03'!G26</f>
        <v>125</v>
      </c>
      <c r="H4" s="42">
        <f>'STOCK  28 a 03'!H26</f>
        <v>0</v>
      </c>
      <c r="I4" s="42">
        <f>'STOCK  28 a 03'!I26</f>
        <v>0</v>
      </c>
      <c r="J4" s="42">
        <f>'STOCK  28 a 03'!J26</f>
        <v>0</v>
      </c>
      <c r="K4" s="42">
        <f>'STOCK  28 a 03'!K26</f>
        <v>2201</v>
      </c>
      <c r="L4" s="42">
        <f>'STOCK  28 a 03'!L26</f>
        <v>195</v>
      </c>
      <c r="M4" s="42">
        <f>'STOCK  28 a 03'!M26</f>
        <v>0</v>
      </c>
      <c r="N4" s="42">
        <f>'STOCK  28 a 03'!N26</f>
        <v>0</v>
      </c>
      <c r="O4" s="42">
        <f>'STOCK  28 a 03'!O26</f>
        <v>3500</v>
      </c>
      <c r="P4" s="42">
        <f>'STOCK  28 a 03'!P26</f>
        <v>7</v>
      </c>
      <c r="Q4" s="42">
        <f>'STOCK  28 a 03'!Q26</f>
        <v>70</v>
      </c>
      <c r="R4" s="42">
        <f>'STOCK  28 a 03'!R26</f>
        <v>540</v>
      </c>
      <c r="S4" s="42">
        <f>'STOCK  28 a 03'!S26</f>
        <v>920</v>
      </c>
      <c r="T4" s="42">
        <f>'STOCK  28 a 03'!T26</f>
        <v>500</v>
      </c>
      <c r="U4" s="42">
        <f>'STOCK  28 a 03'!U26</f>
        <v>52</v>
      </c>
      <c r="V4" s="42">
        <f>'STOCK  28 a 03'!V26</f>
        <v>1680</v>
      </c>
      <c r="W4" s="42">
        <f>'STOCK  28 a 03'!W26</f>
        <v>1450</v>
      </c>
      <c r="X4" s="42">
        <f>'STOCK  28 a 03'!X26</f>
        <v>524</v>
      </c>
      <c r="Y4" s="42">
        <f>'STOCK  28 a 03'!Y26</f>
        <v>0</v>
      </c>
      <c r="Z4" s="42">
        <f>'STOCK  28 a 03'!Z26</f>
        <v>0</v>
      </c>
    </row>
    <row r="5" spans="1:26" x14ac:dyDescent="0.25">
      <c r="A5" s="311"/>
      <c r="B5" s="20">
        <v>45511</v>
      </c>
      <c r="C5" s="14" t="s">
        <v>46</v>
      </c>
      <c r="D5" s="27">
        <v>3500</v>
      </c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>
        <v>45511</v>
      </c>
      <c r="C6" s="14" t="s">
        <v>27</v>
      </c>
      <c r="D6" s="27"/>
      <c r="F6" s="35"/>
      <c r="H6" s="31"/>
      <c r="I6" s="13"/>
      <c r="J6" s="35"/>
      <c r="L6" s="35"/>
      <c r="N6" s="35"/>
      <c r="O6" s="14"/>
      <c r="P6" s="27"/>
      <c r="Q6">
        <v>1200</v>
      </c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>
        <v>45513</v>
      </c>
      <c r="C7" s="14" t="s">
        <v>27</v>
      </c>
      <c r="D7" s="27"/>
      <c r="F7" s="35"/>
      <c r="H7" s="31"/>
      <c r="I7" s="13"/>
      <c r="J7" s="35"/>
      <c r="L7" s="35">
        <v>3500</v>
      </c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45508</v>
      </c>
      <c r="C11" s="14" t="s">
        <v>22</v>
      </c>
      <c r="D11" s="27"/>
      <c r="F11" s="35"/>
      <c r="H11" s="31"/>
      <c r="I11" s="13"/>
      <c r="J11" s="35"/>
      <c r="L11" s="35">
        <v>70</v>
      </c>
      <c r="N11" s="35"/>
      <c r="O11" s="14"/>
      <c r="P11" s="27"/>
      <c r="R11" s="31"/>
      <c r="S11" s="13"/>
      <c r="U11" s="31"/>
      <c r="V11" s="13"/>
      <c r="W11" s="31"/>
      <c r="X11">
        <v>85</v>
      </c>
      <c r="Y11" s="31"/>
      <c r="Z11" s="15"/>
    </row>
    <row r="12" spans="1:26" x14ac:dyDescent="0.25">
      <c r="A12" s="311"/>
      <c r="B12" s="20">
        <v>45509</v>
      </c>
      <c r="C12" s="14" t="s">
        <v>22</v>
      </c>
      <c r="D12" s="27">
        <v>500</v>
      </c>
      <c r="F12" s="35"/>
      <c r="H12" s="31"/>
      <c r="I12" s="13"/>
      <c r="J12" s="35"/>
      <c r="L12" s="35"/>
      <c r="N12" s="35"/>
      <c r="O12" s="14"/>
      <c r="P12" s="27"/>
      <c r="Q12">
        <v>70</v>
      </c>
      <c r="R12" s="31"/>
      <c r="S12" s="13"/>
      <c r="U12" s="31"/>
      <c r="V12" s="13"/>
      <c r="W12" s="31"/>
      <c r="X12">
        <v>150</v>
      </c>
      <c r="Y12" s="31"/>
      <c r="Z12" s="15"/>
    </row>
    <row r="13" spans="1:26" x14ac:dyDescent="0.25">
      <c r="A13" s="311"/>
      <c r="B13" s="20">
        <v>45510</v>
      </c>
      <c r="C13" s="14" t="s">
        <v>22</v>
      </c>
      <c r="D13" s="27"/>
      <c r="F13" s="35"/>
      <c r="H13" s="31"/>
      <c r="I13" s="13"/>
      <c r="J13" s="35"/>
      <c r="L13" s="35"/>
      <c r="N13" s="35"/>
      <c r="O13" s="14">
        <v>100</v>
      </c>
      <c r="P13" s="27"/>
      <c r="R13" s="31"/>
      <c r="S13" s="13"/>
      <c r="U13" s="31"/>
      <c r="V13" s="13"/>
      <c r="W13" s="31"/>
      <c r="Y13" s="31"/>
      <c r="Z13" s="15"/>
    </row>
    <row r="14" spans="1:26" x14ac:dyDescent="0.25">
      <c r="A14" s="311"/>
      <c r="B14" s="20">
        <v>45512</v>
      </c>
      <c r="C14" s="14" t="s">
        <v>22</v>
      </c>
      <c r="D14" s="27"/>
      <c r="F14" s="35"/>
      <c r="H14" s="31"/>
      <c r="I14" s="13"/>
      <c r="J14" s="35"/>
      <c r="L14" s="35"/>
      <c r="N14" s="35"/>
      <c r="O14" s="14">
        <v>2000</v>
      </c>
      <c r="P14" s="27"/>
      <c r="R14" s="31"/>
      <c r="S14" s="13"/>
      <c r="U14" s="31"/>
      <c r="V14" s="13"/>
      <c r="W14" s="31">
        <v>150</v>
      </c>
      <c r="Y14" s="31"/>
      <c r="Z14" s="15"/>
    </row>
    <row r="15" spans="1:26" x14ac:dyDescent="0.25">
      <c r="A15" s="311"/>
      <c r="B15" s="20">
        <v>45513</v>
      </c>
      <c r="C15" s="14" t="s">
        <v>22</v>
      </c>
      <c r="D15" s="27">
        <v>500</v>
      </c>
      <c r="F15" s="35"/>
      <c r="H15" s="31"/>
      <c r="I15" s="13"/>
      <c r="J15" s="35"/>
      <c r="L15" s="35">
        <v>500</v>
      </c>
      <c r="N15" s="35"/>
      <c r="O15" s="14"/>
      <c r="P15" s="27"/>
      <c r="R15" s="31"/>
      <c r="S15" s="13"/>
      <c r="U15" s="31"/>
      <c r="V15" s="13"/>
      <c r="W15" s="31"/>
      <c r="Y15" s="31"/>
      <c r="Z15" s="15"/>
    </row>
    <row r="16" spans="1:26" x14ac:dyDescent="0.25">
      <c r="A16" s="311"/>
      <c r="B16" s="20"/>
      <c r="C16" s="14"/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U24" s="31"/>
      <c r="V24" s="13"/>
      <c r="W24" s="31"/>
      <c r="Y24" s="31"/>
      <c r="Z24" s="15"/>
    </row>
    <row r="25" spans="1:26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U25" s="31"/>
      <c r="V25" s="13"/>
      <c r="W25" s="31"/>
      <c r="Y25" s="31"/>
      <c r="Z25" s="15"/>
    </row>
    <row r="26" spans="1:26" ht="21.75" thickBot="1" x14ac:dyDescent="0.3">
      <c r="A26" s="21" t="s">
        <v>23</v>
      </c>
      <c r="B26" s="22"/>
      <c r="C26" s="23"/>
      <c r="D26" s="29">
        <f>SUM(D4:D10)-SUM(D11:D25)</f>
        <v>7079</v>
      </c>
      <c r="E26" s="22">
        <f>SUM(E4:E10)-SUM(E11:E25)</f>
        <v>0</v>
      </c>
      <c r="F26" s="37">
        <f>SUM(F4:F10)-SUM(F11:F25)</f>
        <v>9</v>
      </c>
      <c r="G26" s="24">
        <f t="shared" ref="G26:Z26" si="0">SUM(G4:G10)-SUM(G11:G25)</f>
        <v>125</v>
      </c>
      <c r="H26" s="33">
        <f t="shared" si="0"/>
        <v>0</v>
      </c>
      <c r="I26" s="22">
        <f t="shared" si="0"/>
        <v>0</v>
      </c>
      <c r="J26" s="37">
        <f t="shared" si="0"/>
        <v>0</v>
      </c>
      <c r="K26" s="24">
        <f t="shared" si="0"/>
        <v>2201</v>
      </c>
      <c r="L26" s="37">
        <f t="shared" si="0"/>
        <v>3125</v>
      </c>
      <c r="M26" s="24">
        <f t="shared" si="0"/>
        <v>0</v>
      </c>
      <c r="N26" s="37">
        <f t="shared" si="0"/>
        <v>0</v>
      </c>
      <c r="O26" s="23">
        <f t="shared" si="0"/>
        <v>1400</v>
      </c>
      <c r="P26" s="29">
        <f t="shared" si="0"/>
        <v>7</v>
      </c>
      <c r="Q26" s="24">
        <f t="shared" si="0"/>
        <v>1200</v>
      </c>
      <c r="R26" s="33">
        <f t="shared" si="0"/>
        <v>540</v>
      </c>
      <c r="S26" s="22">
        <f>SUM(S4:S10)-SUM(S11:S25)</f>
        <v>920</v>
      </c>
      <c r="T26" s="22">
        <f t="shared" si="0"/>
        <v>500</v>
      </c>
      <c r="U26" s="33">
        <f t="shared" si="0"/>
        <v>52</v>
      </c>
      <c r="V26" s="22">
        <f t="shared" si="0"/>
        <v>1680</v>
      </c>
      <c r="W26" s="33">
        <f t="shared" si="0"/>
        <v>1300</v>
      </c>
      <c r="X26" s="22">
        <f t="shared" si="0"/>
        <v>289</v>
      </c>
      <c r="Y26" s="33">
        <f t="shared" si="0"/>
        <v>0</v>
      </c>
      <c r="Z26" s="25">
        <f t="shared" si="0"/>
        <v>0</v>
      </c>
    </row>
    <row r="28" spans="1:26" x14ac:dyDescent="0.25">
      <c r="D28">
        <f>D26*0.3</f>
        <v>2123.6999999999998</v>
      </c>
      <c r="E28">
        <f>+E26*0.3</f>
        <v>0</v>
      </c>
      <c r="F28">
        <f>+F26*0.28</f>
        <v>2.5200000000000005</v>
      </c>
      <c r="G28">
        <f>+G26*0.34</f>
        <v>42.5</v>
      </c>
      <c r="H28">
        <f>+H26*0.35</f>
        <v>0</v>
      </c>
      <c r="I28">
        <f>+I26*0.54</f>
        <v>0</v>
      </c>
      <c r="J28">
        <f>+J26*0.6</f>
        <v>0</v>
      </c>
      <c r="K28" s="50">
        <f>+K26*0.756</f>
        <v>1663.9559999999999</v>
      </c>
      <c r="L28">
        <f>+L26*0.59</f>
        <v>1843.75</v>
      </c>
      <c r="M28">
        <f>+M26*0.66</f>
        <v>0</v>
      </c>
      <c r="N28">
        <f>+N26*0.64</f>
        <v>0</v>
      </c>
      <c r="O28">
        <f>+O26*0.5</f>
        <v>700</v>
      </c>
      <c r="P28">
        <f>+P26*2.08</f>
        <v>14.56</v>
      </c>
      <c r="Q28">
        <f>+Q26*1.6</f>
        <v>1920</v>
      </c>
      <c r="R28">
        <f>+R26*1.89</f>
        <v>1020.5999999999999</v>
      </c>
      <c r="S28">
        <f>+S26*1.67</f>
        <v>1536.3999999999999</v>
      </c>
      <c r="T28">
        <f>+T26*2.18</f>
        <v>1090</v>
      </c>
      <c r="U28">
        <f>+U26*1.97</f>
        <v>102.44</v>
      </c>
      <c r="V28">
        <f>+V26*0.39</f>
        <v>655.20000000000005</v>
      </c>
      <c r="W28">
        <f>+W26*0.3</f>
        <v>390</v>
      </c>
      <c r="X28" s="50">
        <f>+X26*1.9</f>
        <v>549.1</v>
      </c>
      <c r="Y28">
        <f>+Y26*0.8</f>
        <v>0</v>
      </c>
      <c r="Z28">
        <f>+Z26*2</f>
        <v>0</v>
      </c>
    </row>
    <row r="30" spans="1:26" x14ac:dyDescent="0.25">
      <c r="K30" s="50"/>
      <c r="X30" s="71"/>
      <c r="Z30" s="39">
        <f>SUM(D28:Z28)</f>
        <v>13654.726000000002</v>
      </c>
    </row>
  </sheetData>
  <mergeCells count="7">
    <mergeCell ref="V2:W2"/>
    <mergeCell ref="A4:A10"/>
    <mergeCell ref="A11:A25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19AB-B3D5-49CE-B891-83A8CF9BDA9B}">
  <dimension ref="A1:Z27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4" sqref="L14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 04 a 10'!D26</f>
        <v>7079</v>
      </c>
      <c r="E4" s="42">
        <f>'STOCK  04 a 10'!E26</f>
        <v>0</v>
      </c>
      <c r="F4" s="42">
        <f>'STOCK  04 a 10'!F26</f>
        <v>9</v>
      </c>
      <c r="G4" s="42">
        <f>'STOCK  04 a 10'!G26</f>
        <v>125</v>
      </c>
      <c r="H4" s="42">
        <f>'STOCK  04 a 10'!H26</f>
        <v>0</v>
      </c>
      <c r="I4" s="42">
        <f>'STOCK  04 a 10'!I26</f>
        <v>0</v>
      </c>
      <c r="J4" s="42">
        <f>'STOCK  04 a 10'!J26</f>
        <v>0</v>
      </c>
      <c r="K4" s="42">
        <f>'STOCK  04 a 10'!K26</f>
        <v>2201</v>
      </c>
      <c r="L4" s="42">
        <f>'STOCK  04 a 10'!L26</f>
        <v>3125</v>
      </c>
      <c r="M4" s="42">
        <f>'STOCK  04 a 10'!M26</f>
        <v>0</v>
      </c>
      <c r="N4" s="42">
        <f>'STOCK  04 a 10'!N26</f>
        <v>0</v>
      </c>
      <c r="O4" s="42">
        <f>'STOCK  04 a 10'!O26</f>
        <v>1400</v>
      </c>
      <c r="P4" s="42">
        <f>'STOCK  04 a 10'!P26</f>
        <v>7</v>
      </c>
      <c r="Q4" s="42">
        <f>'STOCK  04 a 10'!Q26</f>
        <v>1200</v>
      </c>
      <c r="R4" s="42">
        <f>'STOCK  04 a 10'!R26</f>
        <v>540</v>
      </c>
      <c r="S4" s="42">
        <f>'STOCK  04 a 10'!S26</f>
        <v>920</v>
      </c>
      <c r="T4" s="42">
        <f>'STOCK  04 a 10'!T26</f>
        <v>500</v>
      </c>
      <c r="U4" s="42">
        <f>'STOCK  04 a 10'!U26</f>
        <v>52</v>
      </c>
      <c r="V4" s="42">
        <f>'STOCK  04 a 10'!V26</f>
        <v>1680</v>
      </c>
      <c r="W4" s="42">
        <f>'STOCK  04 a 10'!W26</f>
        <v>1300</v>
      </c>
      <c r="X4" s="42">
        <f>'STOCK  04 a 10'!X26</f>
        <v>289</v>
      </c>
      <c r="Y4" s="42">
        <f>'STOCK  04 a 10'!Y26</f>
        <v>0</v>
      </c>
      <c r="Z4" s="42">
        <f>'STOCK  04 a 10'!Z26</f>
        <v>0</v>
      </c>
    </row>
    <row r="5" spans="1:26" x14ac:dyDescent="0.25">
      <c r="A5" s="311"/>
      <c r="B5" s="20">
        <v>45516</v>
      </c>
      <c r="C5" s="14" t="s">
        <v>27</v>
      </c>
      <c r="D5" s="27"/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>
        <v>2500</v>
      </c>
      <c r="Y5" s="31"/>
      <c r="Z5" s="15"/>
    </row>
    <row r="6" spans="1:26" x14ac:dyDescent="0.25">
      <c r="A6" s="311"/>
      <c r="B6" s="20">
        <v>45518</v>
      </c>
      <c r="C6" s="14" t="s">
        <v>27</v>
      </c>
      <c r="D6" s="27">
        <v>500</v>
      </c>
      <c r="F6" s="35"/>
      <c r="H6" s="31"/>
      <c r="I6" s="13"/>
      <c r="J6" s="35"/>
      <c r="L6" s="35"/>
      <c r="N6" s="35"/>
      <c r="O6" s="14"/>
      <c r="P6" s="27"/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>
        <v>45518</v>
      </c>
      <c r="C7" s="14" t="s">
        <v>46</v>
      </c>
      <c r="D7" s="27"/>
      <c r="F7" s="35"/>
      <c r="H7" s="31"/>
      <c r="I7" s="13"/>
      <c r="J7" s="35"/>
      <c r="L7" s="35"/>
      <c r="N7" s="35"/>
      <c r="O7" s="14">
        <v>2000</v>
      </c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>
        <v>45519</v>
      </c>
      <c r="C8" s="14" t="s">
        <v>27</v>
      </c>
      <c r="D8" s="27"/>
      <c r="F8" s="35"/>
      <c r="H8" s="31"/>
      <c r="I8" s="13"/>
      <c r="J8" s="35"/>
      <c r="L8" s="35"/>
      <c r="N8" s="35"/>
      <c r="O8" s="14">
        <v>3500</v>
      </c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>
        <v>45519</v>
      </c>
      <c r="C9" s="14" t="s">
        <v>46</v>
      </c>
      <c r="D9" s="27">
        <v>6000</v>
      </c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45516</v>
      </c>
      <c r="C11" s="14" t="s">
        <v>22</v>
      </c>
      <c r="D11" s="27">
        <v>1500</v>
      </c>
      <c r="F11" s="35"/>
      <c r="H11" s="31"/>
      <c r="I11" s="13"/>
      <c r="J11" s="35"/>
      <c r="L11" s="35"/>
      <c r="N11" s="35"/>
      <c r="O11" s="14"/>
      <c r="P11" s="27"/>
      <c r="R11" s="31"/>
      <c r="S11" s="13"/>
      <c r="U11" s="31"/>
      <c r="V11" s="13"/>
      <c r="W11" s="31">
        <v>500</v>
      </c>
      <c r="Y11" s="31"/>
      <c r="Z11" s="15"/>
    </row>
    <row r="12" spans="1:26" x14ac:dyDescent="0.25">
      <c r="A12" s="311"/>
      <c r="B12" s="20">
        <v>45517</v>
      </c>
      <c r="C12" s="14" t="s">
        <v>22</v>
      </c>
      <c r="D12" s="27"/>
      <c r="F12" s="35"/>
      <c r="H12" s="31"/>
      <c r="I12" s="13"/>
      <c r="J12" s="35"/>
      <c r="L12" s="35"/>
      <c r="N12" s="35"/>
      <c r="O12" s="14">
        <f>500+250+200</f>
        <v>950</v>
      </c>
      <c r="P12" s="27"/>
      <c r="R12" s="31"/>
      <c r="S12" s="13"/>
      <c r="U12" s="31"/>
      <c r="V12" s="13"/>
      <c r="W12" s="31"/>
      <c r="X12">
        <v>70</v>
      </c>
      <c r="Y12" s="31"/>
      <c r="Z12" s="15"/>
    </row>
    <row r="13" spans="1:26" x14ac:dyDescent="0.25">
      <c r="A13" s="311"/>
      <c r="B13" s="20">
        <v>45518</v>
      </c>
      <c r="C13" s="14" t="s">
        <v>22</v>
      </c>
      <c r="D13" s="27">
        <f>500+500</f>
        <v>1000</v>
      </c>
      <c r="F13" s="35"/>
      <c r="H13" s="31"/>
      <c r="I13" s="13"/>
      <c r="J13" s="35"/>
      <c r="L13" s="35"/>
      <c r="N13" s="35"/>
      <c r="O13" s="14"/>
      <c r="P13" s="27"/>
      <c r="R13" s="31"/>
      <c r="S13" s="13"/>
      <c r="U13" s="31"/>
      <c r="V13" s="13"/>
      <c r="W13" s="31"/>
      <c r="Y13" s="31"/>
      <c r="Z13" s="15"/>
    </row>
    <row r="14" spans="1:26" x14ac:dyDescent="0.25">
      <c r="A14" s="311"/>
      <c r="B14" s="20">
        <v>45519</v>
      </c>
      <c r="C14" s="14" t="s">
        <v>22</v>
      </c>
      <c r="D14" s="27">
        <v>1500</v>
      </c>
      <c r="F14" s="35"/>
      <c r="H14" s="31"/>
      <c r="I14" s="13"/>
      <c r="J14" s="35"/>
      <c r="L14" s="35">
        <v>1100</v>
      </c>
      <c r="N14" s="35"/>
      <c r="O14" s="14">
        <f>500+2000+1000</f>
        <v>3500</v>
      </c>
      <c r="P14" s="27"/>
      <c r="Q14">
        <v>500</v>
      </c>
      <c r="R14" s="31"/>
      <c r="S14" s="13"/>
      <c r="T14">
        <v>300</v>
      </c>
      <c r="U14" s="31"/>
      <c r="V14" s="13"/>
      <c r="W14" s="31"/>
      <c r="Y14" s="31"/>
      <c r="Z14" s="15"/>
    </row>
    <row r="15" spans="1:26" x14ac:dyDescent="0.25">
      <c r="A15" s="311"/>
      <c r="B15" s="20">
        <v>45520</v>
      </c>
      <c r="C15" s="14" t="s">
        <v>22</v>
      </c>
      <c r="D15" s="27">
        <v>1000</v>
      </c>
      <c r="F15" s="35"/>
      <c r="H15" s="31"/>
      <c r="I15" s="13"/>
      <c r="J15" s="35"/>
      <c r="L15" s="35"/>
      <c r="N15" s="35"/>
      <c r="O15" s="14"/>
      <c r="P15" s="27"/>
      <c r="R15" s="31"/>
      <c r="S15" s="13">
        <v>230</v>
      </c>
      <c r="U15" s="31"/>
      <c r="V15" s="13">
        <v>500</v>
      </c>
      <c r="W15" s="31"/>
      <c r="Y15" s="31"/>
      <c r="Z15" s="15"/>
    </row>
    <row r="16" spans="1:26" x14ac:dyDescent="0.25">
      <c r="A16" s="311"/>
      <c r="B16" s="20">
        <v>45521</v>
      </c>
      <c r="C16" s="14" t="s">
        <v>22</v>
      </c>
      <c r="D16" s="27"/>
      <c r="F16" s="35"/>
      <c r="H16" s="31"/>
      <c r="I16" s="13"/>
      <c r="J16" s="35"/>
      <c r="L16" s="35"/>
      <c r="N16" s="35"/>
      <c r="O16" s="14">
        <v>150</v>
      </c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ht="21.75" thickBot="1" x14ac:dyDescent="0.3">
      <c r="A23" s="21" t="s">
        <v>23</v>
      </c>
      <c r="B23" s="22"/>
      <c r="C23" s="23"/>
      <c r="D23" s="29">
        <f t="shared" ref="D23:Z23" si="0">SUM(D4:D10)-SUM(D11:D22)</f>
        <v>8579</v>
      </c>
      <c r="E23" s="22">
        <f t="shared" si="0"/>
        <v>0</v>
      </c>
      <c r="F23" s="37">
        <f t="shared" si="0"/>
        <v>9</v>
      </c>
      <c r="G23" s="24">
        <f t="shared" si="0"/>
        <v>125</v>
      </c>
      <c r="H23" s="33">
        <f t="shared" si="0"/>
        <v>0</v>
      </c>
      <c r="I23" s="22">
        <f t="shared" si="0"/>
        <v>0</v>
      </c>
      <c r="J23" s="37">
        <f t="shared" si="0"/>
        <v>0</v>
      </c>
      <c r="K23" s="24">
        <f t="shared" si="0"/>
        <v>2201</v>
      </c>
      <c r="L23" s="37">
        <f t="shared" si="0"/>
        <v>2025</v>
      </c>
      <c r="M23" s="24">
        <f t="shared" si="0"/>
        <v>0</v>
      </c>
      <c r="N23" s="37">
        <f t="shared" si="0"/>
        <v>0</v>
      </c>
      <c r="O23" s="23">
        <f t="shared" si="0"/>
        <v>2300</v>
      </c>
      <c r="P23" s="29">
        <f t="shared" si="0"/>
        <v>7</v>
      </c>
      <c r="Q23" s="24">
        <f t="shared" si="0"/>
        <v>700</v>
      </c>
      <c r="R23" s="33">
        <f t="shared" si="0"/>
        <v>540</v>
      </c>
      <c r="S23" s="22">
        <f t="shared" si="0"/>
        <v>690</v>
      </c>
      <c r="T23" s="22">
        <f t="shared" si="0"/>
        <v>200</v>
      </c>
      <c r="U23" s="33">
        <f t="shared" si="0"/>
        <v>52</v>
      </c>
      <c r="V23" s="22">
        <f t="shared" si="0"/>
        <v>1180</v>
      </c>
      <c r="W23" s="33">
        <f t="shared" si="0"/>
        <v>3300</v>
      </c>
      <c r="X23" s="22">
        <f t="shared" si="0"/>
        <v>219</v>
      </c>
      <c r="Y23" s="33">
        <f t="shared" si="0"/>
        <v>0</v>
      </c>
      <c r="Z23" s="25">
        <f t="shared" si="0"/>
        <v>0</v>
      </c>
    </row>
    <row r="25" spans="1:26" x14ac:dyDescent="0.25">
      <c r="D25">
        <f>D23*0.3</f>
        <v>2573.6999999999998</v>
      </c>
      <c r="E25">
        <f>+E23*0.3</f>
        <v>0</v>
      </c>
      <c r="F25">
        <f>+F23*0.28</f>
        <v>2.5200000000000005</v>
      </c>
      <c r="G25">
        <f>+G23*0.34</f>
        <v>42.5</v>
      </c>
      <c r="H25">
        <f>+H23*0.35</f>
        <v>0</v>
      </c>
      <c r="I25">
        <f>+I23*0.54</f>
        <v>0</v>
      </c>
      <c r="J25">
        <f>+J23*0.6</f>
        <v>0</v>
      </c>
      <c r="K25" s="50">
        <f>+K23*0.756</f>
        <v>1663.9559999999999</v>
      </c>
      <c r="L25">
        <f>+L23*0.59</f>
        <v>1194.75</v>
      </c>
      <c r="M25">
        <f>+M23*0.66</f>
        <v>0</v>
      </c>
      <c r="N25">
        <f>+N23*0.64</f>
        <v>0</v>
      </c>
      <c r="O25">
        <f>+O23*0.5</f>
        <v>1150</v>
      </c>
      <c r="P25">
        <f>+P23*2.08</f>
        <v>14.56</v>
      </c>
      <c r="Q25">
        <f>+Q23*1.6</f>
        <v>1120</v>
      </c>
      <c r="R25">
        <f>+R23*1.89</f>
        <v>1020.5999999999999</v>
      </c>
      <c r="S25">
        <f>+S23*1.67</f>
        <v>1152.3</v>
      </c>
      <c r="T25">
        <f>+T23*2.18</f>
        <v>436.00000000000006</v>
      </c>
      <c r="U25">
        <f>+U23*1.97</f>
        <v>102.44</v>
      </c>
      <c r="V25">
        <f>+V23*0.39</f>
        <v>460.2</v>
      </c>
      <c r="W25">
        <f>+W23*0.29+(800*0.01)</f>
        <v>964.99999999999989</v>
      </c>
      <c r="X25" s="50">
        <f>+X23*1.9</f>
        <v>416.09999999999997</v>
      </c>
      <c r="Y25">
        <f>+Y23*0.8</f>
        <v>0</v>
      </c>
      <c r="Z25">
        <f>+Z23*2</f>
        <v>0</v>
      </c>
    </row>
    <row r="27" spans="1:26" x14ac:dyDescent="0.25">
      <c r="K27" s="50"/>
      <c r="X27" s="71"/>
      <c r="Z27" s="39">
        <f>SUM(D25:Z25)</f>
        <v>12314.626</v>
      </c>
    </row>
  </sheetData>
  <mergeCells count="7">
    <mergeCell ref="V2:W2"/>
    <mergeCell ref="A4:A10"/>
    <mergeCell ref="A11:A22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02AD-2ABF-4441-8F36-E159BCEE805B}">
  <dimension ref="A1:Z31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7" sqref="L17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 11 a 17'!D23</f>
        <v>8579</v>
      </c>
      <c r="E4" s="42">
        <f>'STOCK  11 a 17'!E23</f>
        <v>0</v>
      </c>
      <c r="F4" s="42">
        <f>'STOCK  11 a 17'!F23</f>
        <v>9</v>
      </c>
      <c r="G4" s="42">
        <f>'STOCK  11 a 17'!G23</f>
        <v>125</v>
      </c>
      <c r="H4" s="42">
        <f>'STOCK  11 a 17'!H23</f>
        <v>0</v>
      </c>
      <c r="I4" s="42">
        <f>'STOCK  11 a 17'!I23</f>
        <v>0</v>
      </c>
      <c r="J4" s="42">
        <f>'STOCK  11 a 17'!J23</f>
        <v>0</v>
      </c>
      <c r="K4" s="42">
        <f>'STOCK  11 a 17'!K23</f>
        <v>2201</v>
      </c>
      <c r="L4" s="42">
        <f>'STOCK  11 a 17'!L23</f>
        <v>2025</v>
      </c>
      <c r="M4" s="42">
        <f>'STOCK  11 a 17'!M23</f>
        <v>0</v>
      </c>
      <c r="N4" s="42">
        <f>'STOCK  11 a 17'!N23</f>
        <v>0</v>
      </c>
      <c r="O4" s="42">
        <f>'STOCK  11 a 17'!O23</f>
        <v>2300</v>
      </c>
      <c r="P4" s="42">
        <f>'STOCK  11 a 17'!P23</f>
        <v>7</v>
      </c>
      <c r="Q4" s="42">
        <f>'STOCK  11 a 17'!Q23</f>
        <v>700</v>
      </c>
      <c r="R4" s="42">
        <f>'STOCK  11 a 17'!R23</f>
        <v>540</v>
      </c>
      <c r="S4" s="42">
        <f>'STOCK  11 a 17'!S23</f>
        <v>690</v>
      </c>
      <c r="T4" s="42">
        <f>'STOCK  11 a 17'!T23</f>
        <v>200</v>
      </c>
      <c r="U4" s="42">
        <f>'STOCK  11 a 17'!U23</f>
        <v>52</v>
      </c>
      <c r="V4" s="42">
        <f>'STOCK  11 a 17'!V23</f>
        <v>1180</v>
      </c>
      <c r="W4" s="42">
        <f>'STOCK  11 a 17'!W23</f>
        <v>3300</v>
      </c>
      <c r="X4" s="42">
        <f>'STOCK  11 a 17'!X23</f>
        <v>219</v>
      </c>
      <c r="Y4" s="42">
        <f>'STOCK  11 a 17'!Y23</f>
        <v>0</v>
      </c>
      <c r="Z4" s="42">
        <f>'STOCK  11 a 17'!Z23</f>
        <v>0</v>
      </c>
    </row>
    <row r="5" spans="1:26" x14ac:dyDescent="0.25">
      <c r="A5" s="311"/>
      <c r="B5" s="20">
        <v>45525</v>
      </c>
      <c r="C5" s="14" t="s">
        <v>27</v>
      </c>
      <c r="D5" s="27"/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>
        <v>3000</v>
      </c>
      <c r="W5" s="31"/>
      <c r="Y5" s="31"/>
      <c r="Z5" s="15"/>
    </row>
    <row r="6" spans="1:26" x14ac:dyDescent="0.25">
      <c r="A6" s="311"/>
      <c r="B6" s="20">
        <v>45526</v>
      </c>
      <c r="C6" s="14" t="s">
        <v>46</v>
      </c>
      <c r="D6" s="27"/>
      <c r="F6" s="35"/>
      <c r="H6" s="31"/>
      <c r="I6" s="13"/>
      <c r="J6" s="35"/>
      <c r="L6" s="35"/>
      <c r="N6" s="35"/>
      <c r="O6" s="14"/>
      <c r="P6" s="27"/>
      <c r="R6" s="31"/>
      <c r="S6" s="13">
        <v>1000</v>
      </c>
      <c r="U6" s="31"/>
      <c r="V6" s="13"/>
      <c r="W6" s="31"/>
      <c r="Y6" s="31"/>
      <c r="Z6" s="15"/>
    </row>
    <row r="7" spans="1:26" x14ac:dyDescent="0.25">
      <c r="A7" s="311"/>
      <c r="B7" s="20">
        <v>45528</v>
      </c>
      <c r="C7" s="14" t="s">
        <v>46</v>
      </c>
      <c r="D7" s="27"/>
      <c r="F7" s="35"/>
      <c r="H7" s="31"/>
      <c r="I7" s="13"/>
      <c r="J7" s="35"/>
      <c r="K7">
        <v>1500</v>
      </c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>
        <v>45528</v>
      </c>
      <c r="C8" s="14" t="s">
        <v>27</v>
      </c>
      <c r="D8" s="27"/>
      <c r="F8" s="35"/>
      <c r="H8" s="31"/>
      <c r="I8" s="13"/>
      <c r="J8" s="35"/>
      <c r="L8" s="35"/>
      <c r="N8" s="35"/>
      <c r="O8" s="14">
        <v>3500</v>
      </c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ht="15.75" thickBot="1" x14ac:dyDescent="0.3">
      <c r="A10" s="312"/>
      <c r="B10" s="72"/>
      <c r="C10" s="17"/>
      <c r="D10" s="28"/>
      <c r="E10" s="18"/>
      <c r="F10" s="36"/>
      <c r="G10" s="18"/>
      <c r="H10" s="32"/>
      <c r="I10" s="16"/>
      <c r="J10" s="36"/>
      <c r="K10" s="18"/>
      <c r="L10" s="36"/>
      <c r="M10" s="18"/>
      <c r="N10" s="36"/>
      <c r="O10" s="17"/>
      <c r="P10" s="28"/>
      <c r="Q10" s="18"/>
      <c r="R10" s="32"/>
      <c r="S10" s="16"/>
      <c r="T10" s="18"/>
      <c r="U10" s="32"/>
      <c r="V10" s="16"/>
      <c r="W10" s="32"/>
      <c r="X10" s="18"/>
      <c r="Y10" s="32"/>
      <c r="Z10" s="19"/>
    </row>
    <row r="11" spans="1:26" x14ac:dyDescent="0.25">
      <c r="A11" s="310" t="s">
        <v>62</v>
      </c>
      <c r="B11" s="20">
        <v>45523</v>
      </c>
      <c r="C11" s="14" t="s">
        <v>22</v>
      </c>
      <c r="D11" s="27"/>
      <c r="F11" s="35"/>
      <c r="H11" s="31"/>
      <c r="I11" s="13"/>
      <c r="J11" s="35"/>
      <c r="L11" s="35"/>
      <c r="N11" s="35"/>
      <c r="O11" s="14">
        <v>200</v>
      </c>
      <c r="P11" s="27"/>
      <c r="R11" s="31"/>
      <c r="S11" s="13">
        <v>443</v>
      </c>
      <c r="U11" s="31"/>
      <c r="V11" s="13">
        <v>500</v>
      </c>
      <c r="W11" s="31"/>
      <c r="Y11" s="31"/>
      <c r="Z11" s="15"/>
    </row>
    <row r="12" spans="1:26" x14ac:dyDescent="0.25">
      <c r="A12" s="311"/>
      <c r="B12" s="20">
        <v>45524</v>
      </c>
      <c r="C12" s="14" t="s">
        <v>22</v>
      </c>
      <c r="D12" s="27">
        <v>1000</v>
      </c>
      <c r="F12" s="35"/>
      <c r="H12" s="31"/>
      <c r="I12" s="13"/>
      <c r="J12" s="35"/>
      <c r="K12">
        <v>1400</v>
      </c>
      <c r="L12" s="35"/>
      <c r="N12" s="35"/>
      <c r="O12" s="14"/>
      <c r="P12" s="27"/>
      <c r="R12" s="31"/>
      <c r="S12" s="13"/>
      <c r="T12">
        <v>197</v>
      </c>
      <c r="U12" s="31"/>
      <c r="V12" s="13">
        <v>250</v>
      </c>
      <c r="W12" s="31"/>
      <c r="Y12" s="31"/>
      <c r="Z12" s="15"/>
    </row>
    <row r="13" spans="1:26" x14ac:dyDescent="0.25">
      <c r="A13" s="311"/>
      <c r="B13" s="20">
        <v>45525</v>
      </c>
      <c r="C13" s="14" t="s">
        <v>45</v>
      </c>
      <c r="D13" s="27">
        <v>4000</v>
      </c>
      <c r="F13" s="35"/>
      <c r="H13" s="31"/>
      <c r="I13" s="13"/>
      <c r="J13" s="35"/>
      <c r="L13" s="35"/>
      <c r="N13" s="35"/>
      <c r="O13" s="14"/>
      <c r="P13" s="27"/>
      <c r="R13" s="31"/>
      <c r="S13" s="13"/>
      <c r="U13" s="31"/>
      <c r="V13" s="13"/>
      <c r="W13" s="31"/>
      <c r="Y13" s="31"/>
      <c r="Z13" s="15"/>
    </row>
    <row r="14" spans="1:26" x14ac:dyDescent="0.25">
      <c r="A14" s="311"/>
      <c r="B14" s="20">
        <v>45525</v>
      </c>
      <c r="C14" s="14" t="s">
        <v>22</v>
      </c>
      <c r="D14" s="27"/>
      <c r="F14" s="35"/>
      <c r="H14" s="31"/>
      <c r="I14" s="13"/>
      <c r="J14" s="35"/>
      <c r="L14" s="35"/>
      <c r="N14" s="35"/>
      <c r="O14" s="14"/>
      <c r="P14" s="27"/>
      <c r="Q14">
        <v>400</v>
      </c>
      <c r="R14" s="31"/>
      <c r="S14" s="13"/>
      <c r="U14" s="31"/>
      <c r="V14" s="13"/>
      <c r="W14" s="31"/>
      <c r="Y14" s="31"/>
      <c r="Z14" s="15"/>
    </row>
    <row r="15" spans="1:26" x14ac:dyDescent="0.25">
      <c r="A15" s="311"/>
      <c r="B15" s="20">
        <v>45526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/>
      <c r="R15" s="31"/>
      <c r="S15" s="13"/>
      <c r="U15" s="31"/>
      <c r="V15" s="13"/>
      <c r="W15" s="31">
        <f>500+200</f>
        <v>700</v>
      </c>
      <c r="Y15" s="31"/>
      <c r="Z15" s="15"/>
    </row>
    <row r="16" spans="1:26" x14ac:dyDescent="0.25">
      <c r="A16" s="311"/>
      <c r="B16" s="20">
        <v>45527</v>
      </c>
      <c r="C16" s="14" t="s">
        <v>45</v>
      </c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>
        <v>45527</v>
      </c>
      <c r="C17" s="14" t="s">
        <v>22</v>
      </c>
      <c r="D17" s="27"/>
      <c r="F17" s="35"/>
      <c r="H17" s="31"/>
      <c r="I17" s="13"/>
      <c r="J17" s="35"/>
      <c r="L17" s="35">
        <v>300</v>
      </c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>
        <v>45528</v>
      </c>
      <c r="C18" s="14" t="s">
        <v>22</v>
      </c>
      <c r="D18" s="27"/>
      <c r="F18" s="35"/>
      <c r="H18" s="31"/>
      <c r="I18" s="13"/>
      <c r="J18" s="35"/>
      <c r="L18" s="35"/>
      <c r="N18" s="35"/>
      <c r="O18" s="14">
        <v>500</v>
      </c>
      <c r="P18" s="27"/>
      <c r="R18" s="31"/>
      <c r="S18" s="13"/>
      <c r="U18" s="31"/>
      <c r="V18" s="13">
        <v>50</v>
      </c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ht="21.75" thickBot="1" x14ac:dyDescent="0.3">
      <c r="A23" s="21" t="s">
        <v>23</v>
      </c>
      <c r="B23" s="22"/>
      <c r="C23" s="23"/>
      <c r="D23" s="29">
        <f t="shared" ref="D23:Z23" si="0">SUM(D4:D10)-SUM(D11:D22)</f>
        <v>3579</v>
      </c>
      <c r="E23" s="22">
        <f t="shared" si="0"/>
        <v>0</v>
      </c>
      <c r="F23" s="37">
        <f t="shared" si="0"/>
        <v>9</v>
      </c>
      <c r="G23" s="24">
        <f t="shared" si="0"/>
        <v>125</v>
      </c>
      <c r="H23" s="33">
        <f t="shared" si="0"/>
        <v>0</v>
      </c>
      <c r="I23" s="22">
        <f t="shared" si="0"/>
        <v>0</v>
      </c>
      <c r="J23" s="37">
        <f t="shared" si="0"/>
        <v>0</v>
      </c>
      <c r="K23" s="24">
        <f t="shared" si="0"/>
        <v>2301</v>
      </c>
      <c r="L23" s="37">
        <f t="shared" si="0"/>
        <v>1725</v>
      </c>
      <c r="M23" s="24">
        <f t="shared" si="0"/>
        <v>0</v>
      </c>
      <c r="N23" s="37">
        <f t="shared" si="0"/>
        <v>0</v>
      </c>
      <c r="O23" s="23">
        <f t="shared" si="0"/>
        <v>5100</v>
      </c>
      <c r="P23" s="29">
        <f t="shared" si="0"/>
        <v>7</v>
      </c>
      <c r="Q23" s="24">
        <f t="shared" si="0"/>
        <v>300</v>
      </c>
      <c r="R23" s="33">
        <f t="shared" si="0"/>
        <v>540</v>
      </c>
      <c r="S23" s="22">
        <f>SUM(S4:S10)-SUM(S11:S22)</f>
        <v>1247</v>
      </c>
      <c r="T23" s="22">
        <f t="shared" si="0"/>
        <v>3</v>
      </c>
      <c r="U23" s="33">
        <f t="shared" si="0"/>
        <v>52</v>
      </c>
      <c r="V23" s="22">
        <f t="shared" si="0"/>
        <v>3380</v>
      </c>
      <c r="W23" s="33">
        <f t="shared" si="0"/>
        <v>2600</v>
      </c>
      <c r="X23" s="22">
        <f t="shared" si="0"/>
        <v>219</v>
      </c>
      <c r="Y23" s="33">
        <f t="shared" si="0"/>
        <v>0</v>
      </c>
      <c r="Z23" s="25">
        <f t="shared" si="0"/>
        <v>0</v>
      </c>
    </row>
    <row r="25" spans="1:26" x14ac:dyDescent="0.25">
      <c r="D25">
        <f>D23*0.3</f>
        <v>1073.7</v>
      </c>
      <c r="E25">
        <f>+E23*0.3</f>
        <v>0</v>
      </c>
      <c r="F25">
        <f>+F23*0.28</f>
        <v>2.5200000000000005</v>
      </c>
      <c r="G25">
        <f>+G23*0.34</f>
        <v>42.5</v>
      </c>
      <c r="H25">
        <f>+H23*0.35</f>
        <v>0</v>
      </c>
      <c r="I25">
        <f>+I23*0.54</f>
        <v>0</v>
      </c>
      <c r="J25">
        <f>+J23*0.6</f>
        <v>0</v>
      </c>
      <c r="K25" s="50">
        <f>+K23*0.756</f>
        <v>1739.556</v>
      </c>
      <c r="L25">
        <f>+L23*0.59</f>
        <v>1017.75</v>
      </c>
      <c r="M25">
        <f>+M23*0.66</f>
        <v>0</v>
      </c>
      <c r="N25">
        <f>+N23*0.64</f>
        <v>0</v>
      </c>
      <c r="O25">
        <f>+O23*0.5</f>
        <v>2550</v>
      </c>
      <c r="P25">
        <f>+P23*2.08</f>
        <v>14.56</v>
      </c>
      <c r="Q25">
        <f>+Q23*1.6</f>
        <v>480</v>
      </c>
      <c r="R25">
        <f>+R23*1.89</f>
        <v>1020.5999999999999</v>
      </c>
      <c r="S25">
        <f>+S23*1.73-(247*0.06)</f>
        <v>2142.4899999999998</v>
      </c>
      <c r="T25">
        <f>+T23*2.18</f>
        <v>6.5400000000000009</v>
      </c>
      <c r="U25">
        <f>+U23*1.97</f>
        <v>102.44</v>
      </c>
      <c r="V25">
        <f>+V23*0.38+(380*0.01)</f>
        <v>1288.2</v>
      </c>
      <c r="W25">
        <f>+W23*0.29+(100*0.01)</f>
        <v>755</v>
      </c>
      <c r="X25" s="50">
        <f>+X23*1.9</f>
        <v>416.09999999999997</v>
      </c>
      <c r="Y25">
        <f>+Y23*0.8</f>
        <v>0</v>
      </c>
      <c r="Z25">
        <f>+Z23*2</f>
        <v>0</v>
      </c>
    </row>
    <row r="27" spans="1:26" x14ac:dyDescent="0.25">
      <c r="K27" s="50"/>
      <c r="X27" s="71"/>
      <c r="Z27" s="39">
        <f>SUM(D25:Z25)</f>
        <v>12651.956000000002</v>
      </c>
    </row>
    <row r="31" spans="1:26" x14ac:dyDescent="0.25">
      <c r="T31">
        <v>1680</v>
      </c>
    </row>
  </sheetData>
  <mergeCells count="7">
    <mergeCell ref="V2:W2"/>
    <mergeCell ref="A4:A10"/>
    <mergeCell ref="A11:A22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E1F8-4FD8-4415-B9BA-1B90B2EE656D}">
  <dimension ref="A1:Z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26" sqref="J26"/>
    </sheetView>
  </sheetViews>
  <sheetFormatPr baseColWidth="10" defaultRowHeight="15" x14ac:dyDescent="0.25"/>
  <cols>
    <col min="1" max="1" width="8.1406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3.85546875" customWidth="1"/>
    <col min="10" max="10" width="11.28515625" customWidth="1"/>
    <col min="11" max="11" width="10.140625" customWidth="1"/>
    <col min="12" max="12" width="15.140625" bestFit="1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5.140625" customWidth="1"/>
    <col min="19" max="20" width="10.7109375" customWidth="1"/>
    <col min="21" max="21" width="15.140625" customWidth="1"/>
    <col min="22" max="22" width="14.42578125" customWidth="1"/>
    <col min="23" max="23" width="12.28515625" bestFit="1" customWidth="1"/>
    <col min="24" max="24" width="18.85546875" bestFit="1" customWidth="1"/>
    <col min="25" max="25" width="12.28515625" customWidth="1"/>
    <col min="26" max="26" width="12.5703125" customWidth="1"/>
  </cols>
  <sheetData>
    <row r="1" spans="1:26" ht="33" customHeight="1" thickBot="1" x14ac:dyDescent="0.3"/>
    <row r="2" spans="1:26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09"/>
      <c r="V2" s="308" t="s">
        <v>4</v>
      </c>
      <c r="W2" s="309"/>
      <c r="X2" s="40" t="s">
        <v>47</v>
      </c>
      <c r="Y2" s="40" t="s">
        <v>31</v>
      </c>
      <c r="Z2" s="46" t="s">
        <v>5</v>
      </c>
    </row>
    <row r="3" spans="1:26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12</v>
      </c>
      <c r="U3" s="8" t="s">
        <v>13</v>
      </c>
      <c r="V3" s="6" t="s">
        <v>17</v>
      </c>
      <c r="W3" s="8" t="s">
        <v>18</v>
      </c>
      <c r="X3" s="7" t="s">
        <v>9</v>
      </c>
      <c r="Y3" s="7" t="s">
        <v>13</v>
      </c>
      <c r="Z3" s="10" t="s">
        <v>34</v>
      </c>
    </row>
    <row r="4" spans="1:26" x14ac:dyDescent="0.25">
      <c r="A4" s="310" t="s">
        <v>19</v>
      </c>
      <c r="B4" s="49"/>
      <c r="C4" s="2"/>
      <c r="D4" s="42">
        <f>'STOCK  18 a 24 '!D23</f>
        <v>3579</v>
      </c>
      <c r="E4" s="42">
        <f>'STOCK  18 a 24 '!E23</f>
        <v>0</v>
      </c>
      <c r="F4" s="42">
        <f>'STOCK  18 a 24 '!F23</f>
        <v>9</v>
      </c>
      <c r="G4" s="42">
        <f>'STOCK  18 a 24 '!G23</f>
        <v>125</v>
      </c>
      <c r="H4" s="42">
        <f>'STOCK  18 a 24 '!H23</f>
        <v>0</v>
      </c>
      <c r="I4" s="42">
        <f>'STOCK  18 a 24 '!I23</f>
        <v>0</v>
      </c>
      <c r="J4" s="42">
        <f>'STOCK  18 a 24 '!J23</f>
        <v>0</v>
      </c>
      <c r="K4" s="42">
        <f>'STOCK  18 a 24 '!K23</f>
        <v>2301</v>
      </c>
      <c r="L4" s="42">
        <f>'STOCK  18 a 24 '!L23</f>
        <v>1725</v>
      </c>
      <c r="M4" s="42">
        <f>'STOCK  18 a 24 '!M23</f>
        <v>0</v>
      </c>
      <c r="N4" s="42">
        <f>'STOCK  18 a 24 '!N23</f>
        <v>0</v>
      </c>
      <c r="O4" s="42">
        <f>'STOCK  18 a 24 '!O23</f>
        <v>5100</v>
      </c>
      <c r="P4" s="42">
        <f>'STOCK  18 a 24 '!P23</f>
        <v>7</v>
      </c>
      <c r="Q4" s="42">
        <f>'STOCK  18 a 24 '!Q23</f>
        <v>300</v>
      </c>
      <c r="R4" s="42">
        <f>'STOCK  18 a 24 '!R23</f>
        <v>540</v>
      </c>
      <c r="S4" s="42">
        <f>'STOCK  18 a 24 '!S23</f>
        <v>1247</v>
      </c>
      <c r="T4" s="42">
        <f>'STOCK  18 a 24 '!T23</f>
        <v>3</v>
      </c>
      <c r="U4" s="42">
        <f>'STOCK  18 a 24 '!U23</f>
        <v>52</v>
      </c>
      <c r="V4" s="42">
        <f>'STOCK  18 a 24 '!V23</f>
        <v>3380</v>
      </c>
      <c r="W4" s="42">
        <f>'STOCK  18 a 24 '!W23</f>
        <v>2600</v>
      </c>
      <c r="X4" s="42">
        <f>'STOCK  18 a 24 '!X23</f>
        <v>219</v>
      </c>
      <c r="Y4" s="42">
        <f>'STOCK  18 a 24 '!Y23</f>
        <v>0</v>
      </c>
      <c r="Z4" s="42">
        <f>'STOCK  18 a 24 '!Z23</f>
        <v>0</v>
      </c>
    </row>
    <row r="5" spans="1:26" x14ac:dyDescent="0.25">
      <c r="A5" s="311"/>
      <c r="B5" s="20">
        <v>45525</v>
      </c>
      <c r="C5" s="14" t="s">
        <v>68</v>
      </c>
      <c r="D5" s="27">
        <v>1000</v>
      </c>
      <c r="F5" s="35"/>
      <c r="H5" s="31"/>
      <c r="I5" s="13"/>
      <c r="J5" s="35"/>
      <c r="L5" s="35"/>
      <c r="N5" s="35"/>
      <c r="O5" s="14"/>
      <c r="P5" s="27"/>
      <c r="R5" s="31"/>
      <c r="S5" s="13"/>
      <c r="U5" s="31"/>
      <c r="V5" s="13"/>
      <c r="W5" s="31"/>
      <c r="Y5" s="31"/>
      <c r="Z5" s="15"/>
    </row>
    <row r="6" spans="1:26" x14ac:dyDescent="0.25">
      <c r="A6" s="311"/>
      <c r="B6" s="20">
        <v>45530</v>
      </c>
      <c r="C6" s="14" t="s">
        <v>27</v>
      </c>
      <c r="D6" s="27"/>
      <c r="F6" s="35"/>
      <c r="H6" s="31"/>
      <c r="I6" s="13"/>
      <c r="J6" s="35"/>
      <c r="L6" s="35"/>
      <c r="N6" s="35"/>
      <c r="O6" s="14"/>
      <c r="P6" s="27"/>
      <c r="Q6">
        <v>500</v>
      </c>
      <c r="R6" s="31"/>
      <c r="S6" s="13"/>
      <c r="U6" s="31"/>
      <c r="V6" s="13"/>
      <c r="W6" s="31"/>
      <c r="Y6" s="31"/>
      <c r="Z6" s="15"/>
    </row>
    <row r="7" spans="1:26" x14ac:dyDescent="0.25">
      <c r="A7" s="311"/>
      <c r="B7" s="20">
        <v>45531</v>
      </c>
      <c r="C7" s="14" t="s">
        <v>27</v>
      </c>
      <c r="D7" s="27"/>
      <c r="F7" s="35"/>
      <c r="H7" s="31"/>
      <c r="I7" s="13"/>
      <c r="J7" s="35">
        <v>2500</v>
      </c>
      <c r="L7" s="35"/>
      <c r="N7" s="35"/>
      <c r="O7" s="14"/>
      <c r="P7" s="27"/>
      <c r="R7" s="31"/>
      <c r="S7" s="13"/>
      <c r="U7" s="31"/>
      <c r="V7" s="13"/>
      <c r="W7" s="31"/>
      <c r="Y7" s="31"/>
      <c r="Z7" s="15"/>
    </row>
    <row r="8" spans="1:26" x14ac:dyDescent="0.25">
      <c r="A8" s="311"/>
      <c r="B8" s="20">
        <v>45531</v>
      </c>
      <c r="C8" s="14" t="s">
        <v>46</v>
      </c>
      <c r="D8" s="27"/>
      <c r="F8" s="35"/>
      <c r="H8" s="31"/>
      <c r="I8" s="13"/>
      <c r="J8" s="35">
        <v>2500</v>
      </c>
      <c r="L8" s="35"/>
      <c r="N8" s="35"/>
      <c r="O8" s="14"/>
      <c r="P8" s="27"/>
      <c r="R8" s="31"/>
      <c r="S8" s="13"/>
      <c r="U8" s="31"/>
      <c r="V8" s="13"/>
      <c r="W8" s="31"/>
      <c r="Y8" s="31"/>
      <c r="Z8" s="15"/>
    </row>
    <row r="9" spans="1:26" x14ac:dyDescent="0.25">
      <c r="A9" s="311"/>
      <c r="B9" s="20">
        <v>45533</v>
      </c>
      <c r="C9" s="14" t="s">
        <v>27</v>
      </c>
      <c r="D9" s="27"/>
      <c r="F9" s="35"/>
      <c r="G9">
        <v>6000</v>
      </c>
      <c r="H9" s="31"/>
      <c r="I9" s="13"/>
      <c r="J9" s="35"/>
      <c r="L9" s="35"/>
      <c r="N9" s="35"/>
      <c r="O9" s="14"/>
      <c r="P9" s="27"/>
      <c r="R9" s="31"/>
      <c r="S9" s="13"/>
      <c r="U9" s="31"/>
      <c r="V9" s="13"/>
      <c r="W9" s="31"/>
      <c r="Y9" s="31"/>
      <c r="Z9" s="15"/>
    </row>
    <row r="10" spans="1:26" x14ac:dyDescent="0.25">
      <c r="A10" s="311"/>
      <c r="B10" s="20">
        <v>45535</v>
      </c>
      <c r="C10" s="14" t="s">
        <v>27</v>
      </c>
      <c r="D10" s="27"/>
      <c r="F10" s="35"/>
      <c r="G10">
        <v>6000</v>
      </c>
      <c r="H10" s="31"/>
      <c r="I10" s="13"/>
      <c r="J10" s="35"/>
      <c r="L10" s="35"/>
      <c r="N10" s="35"/>
      <c r="O10" s="14"/>
      <c r="P10" s="27"/>
      <c r="R10" s="31"/>
      <c r="S10" s="13"/>
      <c r="U10" s="31"/>
      <c r="V10" s="13"/>
      <c r="W10" s="31"/>
      <c r="Y10" s="31"/>
      <c r="Z10" s="15"/>
    </row>
    <row r="11" spans="1:26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32"/>
      <c r="S11" s="16"/>
      <c r="T11" s="18"/>
      <c r="U11" s="32"/>
      <c r="V11" s="16"/>
      <c r="W11" s="32"/>
      <c r="X11" s="18"/>
      <c r="Y11" s="32"/>
      <c r="Z11" s="19"/>
    </row>
    <row r="12" spans="1:26" x14ac:dyDescent="0.25">
      <c r="A12" s="310" t="s">
        <v>62</v>
      </c>
      <c r="B12" s="20">
        <v>45529</v>
      </c>
      <c r="C12" s="14" t="s">
        <v>22</v>
      </c>
      <c r="D12" s="27"/>
      <c r="F12" s="35"/>
      <c r="H12" s="31"/>
      <c r="I12" s="13"/>
      <c r="J12" s="35"/>
      <c r="L12" s="35"/>
      <c r="N12" s="35"/>
      <c r="O12" s="14"/>
      <c r="P12" s="27"/>
      <c r="R12" s="31"/>
      <c r="S12" s="13"/>
      <c r="U12" s="31"/>
      <c r="V12" s="13"/>
      <c r="W12" s="31">
        <v>50</v>
      </c>
      <c r="Y12" s="31"/>
      <c r="Z12" s="15"/>
    </row>
    <row r="13" spans="1:26" x14ac:dyDescent="0.25">
      <c r="A13" s="311"/>
      <c r="B13" s="20">
        <v>45531</v>
      </c>
      <c r="C13" s="14" t="s">
        <v>22</v>
      </c>
      <c r="D13" s="27">
        <v>1000</v>
      </c>
      <c r="F13" s="35"/>
      <c r="H13" s="31"/>
      <c r="I13" s="13"/>
      <c r="J13" s="35"/>
      <c r="L13" s="35"/>
      <c r="N13" s="35"/>
      <c r="O13" s="14"/>
      <c r="P13" s="27"/>
      <c r="R13" s="31"/>
      <c r="S13" s="13"/>
      <c r="U13" s="31"/>
      <c r="V13" s="13"/>
      <c r="W13" s="31"/>
      <c r="Y13" s="31"/>
      <c r="Z13" s="15"/>
    </row>
    <row r="14" spans="1:26" x14ac:dyDescent="0.25">
      <c r="A14" s="311"/>
      <c r="B14" s="20">
        <v>45532</v>
      </c>
      <c r="C14" s="14" t="s">
        <v>22</v>
      </c>
      <c r="D14" s="27">
        <v>70</v>
      </c>
      <c r="F14" s="35"/>
      <c r="H14" s="31"/>
      <c r="I14" s="13"/>
      <c r="J14" s="35"/>
      <c r="L14" s="35"/>
      <c r="N14" s="35"/>
      <c r="O14" s="14"/>
      <c r="P14" s="27"/>
      <c r="R14" s="31"/>
      <c r="S14" s="13"/>
      <c r="U14" s="31">
        <v>30</v>
      </c>
      <c r="V14" s="13"/>
      <c r="W14" s="31"/>
      <c r="Y14" s="31"/>
      <c r="Z14" s="15"/>
    </row>
    <row r="15" spans="1:26" x14ac:dyDescent="0.25">
      <c r="A15" s="311"/>
      <c r="B15" s="20">
        <v>45533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/>
      <c r="R15" s="31"/>
      <c r="S15" s="13"/>
      <c r="U15" s="31"/>
      <c r="V15" s="13">
        <v>300</v>
      </c>
      <c r="W15" s="31"/>
      <c r="Y15" s="31"/>
      <c r="Z15" s="15"/>
    </row>
    <row r="16" spans="1:26" x14ac:dyDescent="0.25">
      <c r="A16" s="311"/>
      <c r="B16" s="20"/>
      <c r="C16" s="14"/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U16" s="31"/>
      <c r="V16" s="13"/>
      <c r="W16" s="31"/>
      <c r="Y16" s="31"/>
      <c r="Z16" s="15"/>
    </row>
    <row r="17" spans="1:26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U17" s="31"/>
      <c r="V17" s="13"/>
      <c r="W17" s="31"/>
      <c r="Y17" s="31"/>
      <c r="Z17" s="15"/>
    </row>
    <row r="18" spans="1:26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U18" s="31"/>
      <c r="V18" s="13"/>
      <c r="W18" s="31"/>
      <c r="Y18" s="31"/>
      <c r="Z18" s="15"/>
    </row>
    <row r="19" spans="1:26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U19" s="31"/>
      <c r="V19" s="13"/>
      <c r="W19" s="31"/>
      <c r="Y19" s="31"/>
      <c r="Z19" s="15"/>
    </row>
    <row r="20" spans="1:26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U20" s="31"/>
      <c r="V20" s="13"/>
      <c r="W20" s="31"/>
      <c r="Y20" s="31"/>
      <c r="Z20" s="15"/>
    </row>
    <row r="21" spans="1:26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U21" s="31"/>
      <c r="V21" s="13"/>
      <c r="W21" s="31"/>
      <c r="Y21" s="31"/>
      <c r="Z21" s="15"/>
    </row>
    <row r="22" spans="1:26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U22" s="31"/>
      <c r="V22" s="13"/>
      <c r="W22" s="31"/>
      <c r="Y22" s="31"/>
      <c r="Z22" s="15"/>
    </row>
    <row r="23" spans="1:26" ht="15.75" thickBot="1" x14ac:dyDescent="0.3">
      <c r="A23" s="312"/>
      <c r="B23" s="13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U23" s="31"/>
      <c r="V23" s="13"/>
      <c r="W23" s="31"/>
      <c r="Y23" s="31"/>
      <c r="Z23" s="15"/>
    </row>
    <row r="24" spans="1:26" ht="21.75" thickBot="1" x14ac:dyDescent="0.3">
      <c r="A24" s="21" t="s">
        <v>23</v>
      </c>
      <c r="B24" s="22"/>
      <c r="C24" s="23"/>
      <c r="D24" s="29">
        <f t="shared" ref="D24:Z24" si="0">SUM(D4:D11)-SUM(D12:D23)</f>
        <v>3509</v>
      </c>
      <c r="E24" s="22">
        <f t="shared" si="0"/>
        <v>0</v>
      </c>
      <c r="F24" s="37">
        <f t="shared" si="0"/>
        <v>9</v>
      </c>
      <c r="G24" s="24">
        <f t="shared" si="0"/>
        <v>12125</v>
      </c>
      <c r="H24" s="33">
        <f t="shared" si="0"/>
        <v>0</v>
      </c>
      <c r="I24" s="22">
        <f t="shared" si="0"/>
        <v>0</v>
      </c>
      <c r="J24" s="37">
        <f t="shared" si="0"/>
        <v>5000</v>
      </c>
      <c r="K24" s="24">
        <f t="shared" si="0"/>
        <v>2301</v>
      </c>
      <c r="L24" s="37">
        <f t="shared" si="0"/>
        <v>1725</v>
      </c>
      <c r="M24" s="24">
        <f t="shared" si="0"/>
        <v>0</v>
      </c>
      <c r="N24" s="37">
        <f t="shared" si="0"/>
        <v>0</v>
      </c>
      <c r="O24" s="23">
        <f t="shared" si="0"/>
        <v>5100</v>
      </c>
      <c r="P24" s="29">
        <f t="shared" si="0"/>
        <v>7</v>
      </c>
      <c r="Q24" s="24">
        <f t="shared" si="0"/>
        <v>800</v>
      </c>
      <c r="R24" s="33">
        <f t="shared" si="0"/>
        <v>540</v>
      </c>
      <c r="S24" s="22">
        <f>SUM(S4:S11)-SUM(S12:S23)</f>
        <v>1247</v>
      </c>
      <c r="T24" s="22">
        <f t="shared" si="0"/>
        <v>3</v>
      </c>
      <c r="U24" s="33">
        <f t="shared" si="0"/>
        <v>22</v>
      </c>
      <c r="V24" s="22">
        <f t="shared" si="0"/>
        <v>3080</v>
      </c>
      <c r="W24" s="33">
        <f t="shared" si="0"/>
        <v>2550</v>
      </c>
      <c r="X24" s="22">
        <f t="shared" si="0"/>
        <v>219</v>
      </c>
      <c r="Y24" s="33">
        <f t="shared" si="0"/>
        <v>0</v>
      </c>
      <c r="Z24" s="25">
        <f t="shared" si="0"/>
        <v>0</v>
      </c>
    </row>
    <row r="26" spans="1:26" x14ac:dyDescent="0.25">
      <c r="D26">
        <f>D24*0.3</f>
        <v>1052.7</v>
      </c>
      <c r="E26">
        <f>+E24*0.3</f>
        <v>0</v>
      </c>
      <c r="F26">
        <f>+F24*0.28</f>
        <v>2.5200000000000005</v>
      </c>
      <c r="G26">
        <f>+G24*0.3+(125*0.04)</f>
        <v>3642.5</v>
      </c>
      <c r="H26">
        <f>+H24*0.35</f>
        <v>0</v>
      </c>
      <c r="I26">
        <f>+I24*0.54</f>
        <v>0</v>
      </c>
      <c r="J26">
        <f>+J24*0.51</f>
        <v>2550</v>
      </c>
      <c r="K26" s="50">
        <f>+K24*0.756</f>
        <v>1739.556</v>
      </c>
      <c r="L26">
        <f>+L24*0.59</f>
        <v>1017.75</v>
      </c>
      <c r="M26">
        <f>+M24*0.66</f>
        <v>0</v>
      </c>
      <c r="N26">
        <f>+N24*0.64</f>
        <v>0</v>
      </c>
      <c r="O26">
        <f>+O24*0.5</f>
        <v>2550</v>
      </c>
      <c r="P26">
        <f>+P24*2.08</f>
        <v>14.56</v>
      </c>
      <c r="Q26">
        <f>+Q24*1.66-(300*0.06)</f>
        <v>1310</v>
      </c>
      <c r="R26">
        <f>+R24*1.89</f>
        <v>1020.5999999999999</v>
      </c>
      <c r="S26">
        <f>+S24*1.73-(247*0.06)</f>
        <v>2142.4899999999998</v>
      </c>
      <c r="T26">
        <f>+T24*2.18</f>
        <v>6.5400000000000009</v>
      </c>
      <c r="U26">
        <f>+U24*1.97</f>
        <v>43.339999999999996</v>
      </c>
      <c r="V26">
        <f>+V24*0.38+(80*0.01)</f>
        <v>1171.2</v>
      </c>
      <c r="W26">
        <f>+W24*0.29+(50*0.01)</f>
        <v>740</v>
      </c>
      <c r="X26" s="50">
        <f>+X24*1.9</f>
        <v>416.09999999999997</v>
      </c>
      <c r="Y26">
        <f>+Y24*0.8</f>
        <v>0</v>
      </c>
      <c r="Z26">
        <f>+Z24*2</f>
        <v>0</v>
      </c>
    </row>
    <row r="28" spans="1:26" x14ac:dyDescent="0.25">
      <c r="K28" s="50"/>
      <c r="X28" s="71"/>
      <c r="Z28" s="39">
        <f>SUM(D26:Z26)</f>
        <v>19419.856</v>
      </c>
    </row>
    <row r="29" spans="1:26" x14ac:dyDescent="0.25">
      <c r="L29">
        <f>20101+11592</f>
        <v>31693</v>
      </c>
    </row>
    <row r="30" spans="1:26" x14ac:dyDescent="0.25">
      <c r="L30">
        <v>891.5</v>
      </c>
    </row>
    <row r="32" spans="1:26" x14ac:dyDescent="0.25">
      <c r="L32">
        <f>L29/L30</f>
        <v>35.550196298373528</v>
      </c>
      <c r="T32">
        <v>1680</v>
      </c>
    </row>
    <row r="34" spans="12:12" x14ac:dyDescent="0.25">
      <c r="L34">
        <f>+L30*L32</f>
        <v>31693</v>
      </c>
    </row>
  </sheetData>
  <mergeCells count="7">
    <mergeCell ref="V2:W2"/>
    <mergeCell ref="A4:A11"/>
    <mergeCell ref="A12:A23"/>
    <mergeCell ref="D2:H2"/>
    <mergeCell ref="I2:O2"/>
    <mergeCell ref="P2:R2"/>
    <mergeCell ref="S2:U2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203" verticalDpi="203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C126-9561-424B-B190-EC028F8B9A9B}">
  <dimension ref="A1:AA2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7" sqref="L1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13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 25 a 31'!D24</f>
        <v>3509</v>
      </c>
      <c r="E4" s="42">
        <f>'STOCK  25 a 31'!E24</f>
        <v>0</v>
      </c>
      <c r="F4" s="42">
        <f>'STOCK  25 a 31'!F24</f>
        <v>9</v>
      </c>
      <c r="G4" s="42">
        <f>'STOCK  25 a 31'!G24</f>
        <v>12125</v>
      </c>
      <c r="H4" s="42">
        <f>'STOCK  25 a 31'!H24</f>
        <v>0</v>
      </c>
      <c r="I4" s="42">
        <f>'STOCK  25 a 31'!I24</f>
        <v>0</v>
      </c>
      <c r="J4" s="42">
        <f>'STOCK  25 a 31'!J24</f>
        <v>5000</v>
      </c>
      <c r="K4" s="42">
        <f>'STOCK  25 a 31'!K24</f>
        <v>2301</v>
      </c>
      <c r="L4" s="42">
        <f>'STOCK  25 a 31'!L24</f>
        <v>1725</v>
      </c>
      <c r="M4" s="42">
        <f>'STOCK  25 a 31'!M24</f>
        <v>0</v>
      </c>
      <c r="N4" s="42">
        <f>'STOCK  25 a 31'!N24</f>
        <v>0</v>
      </c>
      <c r="O4" s="42">
        <f>'STOCK  25 a 31'!O24</f>
        <v>5100</v>
      </c>
      <c r="P4" s="42">
        <f>'STOCK  25 a 31'!P24</f>
        <v>7</v>
      </c>
      <c r="Q4" s="42">
        <f>'STOCK  25 a 31'!Q24</f>
        <v>800</v>
      </c>
      <c r="R4" s="42">
        <f>'STOCK  25 a 31'!R24</f>
        <v>540</v>
      </c>
      <c r="S4" s="42">
        <f>'STOCK  25 a 31'!S24</f>
        <v>1247</v>
      </c>
      <c r="T4" s="42"/>
      <c r="U4" s="42">
        <f>'STOCK  25 a 31'!T24</f>
        <v>3</v>
      </c>
      <c r="V4" s="42">
        <f>'STOCK  25 a 31'!U24</f>
        <v>22</v>
      </c>
      <c r="W4" s="42">
        <f>'STOCK  25 a 31'!V24</f>
        <v>3080</v>
      </c>
      <c r="X4" s="42">
        <f>'STOCK  25 a 31'!W24</f>
        <v>2550</v>
      </c>
      <c r="Y4" s="42">
        <f>'STOCK  25 a 31'!X24</f>
        <v>219</v>
      </c>
      <c r="Z4" s="42">
        <f>'STOCK  25 a 31'!Y24</f>
        <v>0</v>
      </c>
      <c r="AA4" s="42">
        <f>'STOCK  25 a 31'!Z24</f>
        <v>0</v>
      </c>
    </row>
    <row r="5" spans="1:27" x14ac:dyDescent="0.25">
      <c r="A5" s="311"/>
      <c r="B5" s="20">
        <v>45539</v>
      </c>
      <c r="C5" s="14" t="s">
        <v>27</v>
      </c>
      <c r="D5" s="27"/>
      <c r="F5" s="35"/>
      <c r="G5">
        <v>2000</v>
      </c>
      <c r="H5" s="31"/>
      <c r="I5" s="13"/>
      <c r="J5" s="35"/>
      <c r="L5" s="35"/>
      <c r="N5" s="35"/>
      <c r="O5" s="14"/>
      <c r="P5" s="27"/>
      <c r="R5" s="31"/>
      <c r="S5" s="13"/>
      <c r="V5" s="31"/>
      <c r="W5" s="13"/>
      <c r="X5" s="31"/>
      <c r="Z5" s="31"/>
      <c r="AA5" s="15"/>
    </row>
    <row r="6" spans="1:27" x14ac:dyDescent="0.25">
      <c r="A6" s="311"/>
      <c r="B6" s="20">
        <v>45541</v>
      </c>
      <c r="C6" s="14" t="s">
        <v>46</v>
      </c>
      <c r="D6" s="27"/>
      <c r="F6" s="35"/>
      <c r="H6" s="31"/>
      <c r="I6" s="13"/>
      <c r="J6" s="35"/>
      <c r="L6" s="35"/>
      <c r="N6" s="35"/>
      <c r="O6" s="14">
        <v>3000</v>
      </c>
      <c r="P6" s="27"/>
      <c r="R6" s="31"/>
      <c r="S6" s="13"/>
      <c r="V6" s="31"/>
      <c r="W6" s="13"/>
      <c r="X6" s="31"/>
      <c r="Z6" s="31"/>
      <c r="AA6" s="15"/>
    </row>
    <row r="7" spans="1:27" x14ac:dyDescent="0.25">
      <c r="A7" s="311"/>
      <c r="B7" s="20">
        <v>45542</v>
      </c>
      <c r="C7" s="14" t="s">
        <v>27</v>
      </c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T7">
        <v>620</v>
      </c>
      <c r="V7" s="31"/>
      <c r="W7" s="13"/>
      <c r="X7" s="31"/>
      <c r="Z7" s="31"/>
      <c r="AA7" s="15"/>
    </row>
    <row r="8" spans="1:27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V9" s="31"/>
      <c r="W9" s="13"/>
      <c r="X9" s="31"/>
      <c r="Z9" s="31"/>
      <c r="AA9" s="15"/>
    </row>
    <row r="10" spans="1:27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/>
      <c r="AA10" s="15"/>
    </row>
    <row r="11" spans="1:27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32"/>
      <c r="S11" s="16"/>
      <c r="T11" s="18"/>
      <c r="U11" s="18"/>
      <c r="V11" s="32"/>
      <c r="W11" s="16"/>
      <c r="X11" s="32"/>
      <c r="Y11" s="18"/>
      <c r="Z11" s="32"/>
      <c r="AA11" s="19"/>
    </row>
    <row r="12" spans="1:27" x14ac:dyDescent="0.25">
      <c r="A12" s="310" t="s">
        <v>62</v>
      </c>
      <c r="B12" s="20">
        <v>45536</v>
      </c>
      <c r="C12" s="14" t="s">
        <v>22</v>
      </c>
      <c r="D12" s="27"/>
      <c r="F12" s="35"/>
      <c r="H12" s="31"/>
      <c r="I12" s="13"/>
      <c r="J12" s="35"/>
      <c r="L12" s="35"/>
      <c r="N12" s="35"/>
      <c r="O12" s="14"/>
      <c r="P12" s="27"/>
      <c r="R12" s="31"/>
      <c r="S12" s="13"/>
      <c r="V12" s="31"/>
      <c r="W12" s="13">
        <f>70+8</f>
        <v>78</v>
      </c>
      <c r="X12" s="31"/>
      <c r="Z12" s="31"/>
      <c r="AA12" s="15"/>
    </row>
    <row r="13" spans="1:27" x14ac:dyDescent="0.25">
      <c r="A13" s="311"/>
      <c r="B13" s="20">
        <v>45537</v>
      </c>
      <c r="C13" s="14" t="s">
        <v>22</v>
      </c>
      <c r="D13" s="27">
        <v>3000</v>
      </c>
      <c r="F13" s="35"/>
      <c r="G13">
        <v>3000</v>
      </c>
      <c r="H13" s="31"/>
      <c r="I13" s="13"/>
      <c r="J13" s="35"/>
      <c r="L13" s="35"/>
      <c r="N13" s="35"/>
      <c r="O13" s="14">
        <v>3200</v>
      </c>
      <c r="P13" s="27"/>
      <c r="R13" s="31"/>
      <c r="S13" s="13"/>
      <c r="V13" s="31"/>
      <c r="W13" s="13"/>
      <c r="X13" s="31"/>
      <c r="Z13" s="31"/>
      <c r="AA13" s="15"/>
    </row>
    <row r="14" spans="1:27" x14ac:dyDescent="0.25">
      <c r="A14" s="311"/>
      <c r="B14" s="20">
        <v>45537</v>
      </c>
      <c r="C14" s="14" t="s">
        <v>45</v>
      </c>
      <c r="D14" s="27"/>
      <c r="F14" s="35"/>
      <c r="H14" s="31"/>
      <c r="I14" s="13"/>
      <c r="J14" s="35">
        <v>1000</v>
      </c>
      <c r="L14" s="35"/>
      <c r="N14" s="35"/>
      <c r="O14" s="14"/>
      <c r="P14" s="27"/>
      <c r="R14" s="31"/>
      <c r="S14" s="13"/>
      <c r="V14" s="31"/>
      <c r="W14" s="13"/>
      <c r="X14" s="31"/>
      <c r="Z14" s="31"/>
      <c r="AA14" s="15"/>
    </row>
    <row r="15" spans="1:27" x14ac:dyDescent="0.25">
      <c r="A15" s="311"/>
      <c r="B15" s="20">
        <v>45538</v>
      </c>
      <c r="C15" s="14" t="s">
        <v>45</v>
      </c>
      <c r="D15" s="27"/>
      <c r="F15" s="35"/>
      <c r="G15">
        <v>5000</v>
      </c>
      <c r="H15" s="31"/>
      <c r="I15" s="13"/>
      <c r="J15" s="35"/>
      <c r="L15" s="35"/>
      <c r="N15" s="35"/>
      <c r="O15" s="14"/>
      <c r="P15" s="27"/>
      <c r="R15" s="31"/>
      <c r="S15" s="13"/>
      <c r="V15" s="31"/>
      <c r="W15" s="13"/>
      <c r="X15" s="31"/>
      <c r="Z15" s="31"/>
      <c r="AA15" s="15"/>
    </row>
    <row r="16" spans="1:27" x14ac:dyDescent="0.25">
      <c r="A16" s="311"/>
      <c r="B16" s="20">
        <v>45538</v>
      </c>
      <c r="C16" s="14" t="s">
        <v>22</v>
      </c>
      <c r="D16" s="27"/>
      <c r="F16" s="35"/>
      <c r="H16" s="31"/>
      <c r="I16" s="13"/>
      <c r="J16" s="35"/>
      <c r="L16" s="35"/>
      <c r="N16" s="35"/>
      <c r="O16" s="14">
        <v>200</v>
      </c>
      <c r="P16" s="27"/>
      <c r="R16" s="31"/>
      <c r="S16" s="13"/>
      <c r="V16" s="31"/>
      <c r="W16" s="13">
        <v>60</v>
      </c>
      <c r="X16" s="31">
        <v>250</v>
      </c>
      <c r="Z16" s="31"/>
      <c r="AA16" s="15"/>
    </row>
    <row r="17" spans="1:27" x14ac:dyDescent="0.25">
      <c r="A17" s="311"/>
      <c r="B17" s="20">
        <v>45539</v>
      </c>
      <c r="C17" s="14" t="s">
        <v>22</v>
      </c>
      <c r="D17" s="27"/>
      <c r="F17" s="35"/>
      <c r="G17">
        <v>1000</v>
      </c>
      <c r="H17" s="31"/>
      <c r="I17" s="13"/>
      <c r="J17" s="35"/>
      <c r="L17" s="35">
        <v>910</v>
      </c>
      <c r="N17" s="35"/>
      <c r="O17" s="14"/>
      <c r="P17" s="27"/>
      <c r="R17" s="31"/>
      <c r="S17" s="13"/>
      <c r="V17" s="31"/>
      <c r="W17" s="13"/>
      <c r="X17" s="31"/>
      <c r="Z17" s="31"/>
      <c r="AA17" s="15"/>
    </row>
    <row r="18" spans="1:27" x14ac:dyDescent="0.25">
      <c r="A18" s="311"/>
      <c r="B18" s="20">
        <v>45540</v>
      </c>
      <c r="C18" s="14" t="s">
        <v>22</v>
      </c>
      <c r="D18" s="27">
        <v>500</v>
      </c>
      <c r="F18" s="35"/>
      <c r="H18" s="31"/>
      <c r="I18" s="13"/>
      <c r="J18" s="35"/>
      <c r="L18" s="35"/>
      <c r="N18" s="35"/>
      <c r="O18" s="14"/>
      <c r="P18" s="27"/>
      <c r="R18" s="31"/>
      <c r="S18" s="13"/>
      <c r="V18" s="31"/>
      <c r="W18" s="13"/>
      <c r="X18" s="31">
        <v>150</v>
      </c>
      <c r="Z18" s="31"/>
      <c r="AA18" s="15"/>
    </row>
    <row r="19" spans="1:27" x14ac:dyDescent="0.25">
      <c r="A19" s="311"/>
      <c r="B19" s="20">
        <v>45542</v>
      </c>
      <c r="C19" s="14" t="s">
        <v>22</v>
      </c>
      <c r="D19" s="27"/>
      <c r="F19" s="35"/>
      <c r="G19">
        <v>300</v>
      </c>
      <c r="H19" s="31"/>
      <c r="I19" s="13"/>
      <c r="J19" s="35"/>
      <c r="L19" s="35"/>
      <c r="N19" s="35"/>
      <c r="O19" s="14"/>
      <c r="P19" s="27"/>
      <c r="Q19">
        <v>5</v>
      </c>
      <c r="R19" s="31"/>
      <c r="S19" s="13"/>
      <c r="V19" s="31"/>
      <c r="W19" s="13">
        <v>1500</v>
      </c>
      <c r="X19" s="31">
        <v>1000</v>
      </c>
      <c r="Z19" s="31"/>
      <c r="AA19" s="15"/>
    </row>
    <row r="20" spans="1:27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V20" s="31"/>
      <c r="W20" s="13"/>
      <c r="X20" s="31"/>
      <c r="Z20" s="31"/>
      <c r="AA20" s="15"/>
    </row>
    <row r="21" spans="1:27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V21" s="31"/>
      <c r="W21" s="13"/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ht="15.75" thickBot="1" x14ac:dyDescent="0.3">
      <c r="A23" s="312"/>
      <c r="B23" s="13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ht="21.75" thickBot="1" x14ac:dyDescent="0.3">
      <c r="A24" s="21" t="s">
        <v>23</v>
      </c>
      <c r="B24" s="22"/>
      <c r="C24" s="23"/>
      <c r="D24" s="29">
        <f t="shared" ref="D24:AA24" si="0">SUM(D4:D11)-SUM(D12:D23)</f>
        <v>9</v>
      </c>
      <c r="E24" s="22">
        <f t="shared" si="0"/>
        <v>0</v>
      </c>
      <c r="F24" s="37">
        <f t="shared" si="0"/>
        <v>9</v>
      </c>
      <c r="G24" s="24">
        <f t="shared" si="0"/>
        <v>4825</v>
      </c>
      <c r="H24" s="33">
        <f t="shared" si="0"/>
        <v>0</v>
      </c>
      <c r="I24" s="22">
        <f t="shared" si="0"/>
        <v>0</v>
      </c>
      <c r="J24" s="37">
        <f t="shared" si="0"/>
        <v>4000</v>
      </c>
      <c r="K24" s="24">
        <f t="shared" si="0"/>
        <v>2301</v>
      </c>
      <c r="L24" s="37">
        <f t="shared" si="0"/>
        <v>815</v>
      </c>
      <c r="M24" s="24">
        <f t="shared" si="0"/>
        <v>0</v>
      </c>
      <c r="N24" s="37">
        <f t="shared" si="0"/>
        <v>0</v>
      </c>
      <c r="O24" s="23">
        <f t="shared" si="0"/>
        <v>4700</v>
      </c>
      <c r="P24" s="29">
        <f t="shared" si="0"/>
        <v>7</v>
      </c>
      <c r="Q24" s="24">
        <f t="shared" si="0"/>
        <v>795</v>
      </c>
      <c r="R24" s="33">
        <f t="shared" si="0"/>
        <v>540</v>
      </c>
      <c r="S24" s="22">
        <f>SUM(S4:S11)-SUM(S12:S23)</f>
        <v>1247</v>
      </c>
      <c r="T24" s="22">
        <f>SUM(T4:T11)-SUM(T12:T23)</f>
        <v>620</v>
      </c>
      <c r="U24" s="22">
        <f t="shared" si="0"/>
        <v>3</v>
      </c>
      <c r="V24" s="33">
        <f t="shared" si="0"/>
        <v>22</v>
      </c>
      <c r="W24" s="22">
        <f t="shared" si="0"/>
        <v>1442</v>
      </c>
      <c r="X24" s="33">
        <f t="shared" si="0"/>
        <v>1150</v>
      </c>
      <c r="Y24" s="22">
        <f t="shared" si="0"/>
        <v>219</v>
      </c>
      <c r="Z24" s="33">
        <f t="shared" si="0"/>
        <v>0</v>
      </c>
      <c r="AA24" s="25">
        <f t="shared" si="0"/>
        <v>0</v>
      </c>
    </row>
    <row r="26" spans="1:27" x14ac:dyDescent="0.25">
      <c r="D26">
        <f>D24*0.3</f>
        <v>2.6999999999999997</v>
      </c>
      <c r="E26">
        <f>+E24*0.3</f>
        <v>0</v>
      </c>
      <c r="F26">
        <f>+F24*0.28</f>
        <v>2.5200000000000005</v>
      </c>
      <c r="G26">
        <f>+G24*0.3+(125*0.04)</f>
        <v>1452.5</v>
      </c>
      <c r="H26">
        <f>+H24*0.35</f>
        <v>0</v>
      </c>
      <c r="I26">
        <f>+I24*0.54</f>
        <v>0</v>
      </c>
      <c r="J26">
        <f>+J24*0.51</f>
        <v>2040</v>
      </c>
      <c r="K26" s="50">
        <f>+K24*0.756</f>
        <v>1739.556</v>
      </c>
      <c r="L26">
        <f>+L24*0.59</f>
        <v>480.84999999999997</v>
      </c>
      <c r="M26">
        <f>+M24*0.66</f>
        <v>0</v>
      </c>
      <c r="N26">
        <f>+N24*0.64</f>
        <v>0</v>
      </c>
      <c r="O26">
        <f>+O24*0.525-(1700*0.025)</f>
        <v>2425</v>
      </c>
      <c r="P26">
        <f>+P24*2.08</f>
        <v>14.56</v>
      </c>
      <c r="Q26">
        <f>+Q24*1.66-(295*0.06)</f>
        <v>1302</v>
      </c>
      <c r="R26">
        <f>+R24*1.89</f>
        <v>1020.5999999999999</v>
      </c>
      <c r="S26">
        <f>+S24*1.73-(247*0.06)</f>
        <v>2142.4899999999998</v>
      </c>
      <c r="T26">
        <f>+T24*1.85</f>
        <v>1147</v>
      </c>
      <c r="U26">
        <f>+U24*2.18</f>
        <v>6.5400000000000009</v>
      </c>
      <c r="V26">
        <f>+V24*1.97</f>
        <v>43.339999999999996</v>
      </c>
      <c r="W26">
        <f>+W24*0.38</f>
        <v>547.96</v>
      </c>
      <c r="X26">
        <f>+X24*0.29</f>
        <v>333.5</v>
      </c>
      <c r="Y26" s="50">
        <f>+Y24*1.9</f>
        <v>416.09999999999997</v>
      </c>
      <c r="Z26">
        <f>+Z24*0.8</f>
        <v>0</v>
      </c>
      <c r="AA26">
        <f>+AA24*2</f>
        <v>0</v>
      </c>
    </row>
    <row r="28" spans="1:27" x14ac:dyDescent="0.25">
      <c r="K28" s="50"/>
      <c r="Y28" s="71"/>
      <c r="AA28" s="39">
        <f>SUM(D26:AA26)</f>
        <v>15117.216000000002</v>
      </c>
    </row>
  </sheetData>
  <mergeCells count="7">
    <mergeCell ref="W2:X2"/>
    <mergeCell ref="A4:A11"/>
    <mergeCell ref="A12:A23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81A1-A1BA-40F8-9653-1FE0F990699E}">
  <dimension ref="A1:AA40"/>
  <sheetViews>
    <sheetView view="pageBreakPreview"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4" sqref="L1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13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 01 a 07'!D24</f>
        <v>9</v>
      </c>
      <c r="E4" s="42">
        <f>'STOCK  01 a 07'!E24</f>
        <v>0</v>
      </c>
      <c r="F4" s="42">
        <f>'STOCK  01 a 07'!F24</f>
        <v>9</v>
      </c>
      <c r="G4" s="42">
        <f>'STOCK  01 a 07'!G24</f>
        <v>4825</v>
      </c>
      <c r="H4" s="42">
        <f>'STOCK  01 a 07'!H24</f>
        <v>0</v>
      </c>
      <c r="I4" s="42">
        <f>'STOCK  01 a 07'!I24</f>
        <v>0</v>
      </c>
      <c r="J4" s="42">
        <f>'STOCK  01 a 07'!J24</f>
        <v>4000</v>
      </c>
      <c r="K4" s="42">
        <f>'STOCK  01 a 07'!K24</f>
        <v>2301</v>
      </c>
      <c r="L4" s="42">
        <f>'STOCK  01 a 07'!L24</f>
        <v>815</v>
      </c>
      <c r="M4" s="42">
        <f>'STOCK  01 a 07'!M24</f>
        <v>0</v>
      </c>
      <c r="N4" s="42">
        <f>'STOCK  01 a 07'!N24</f>
        <v>0</v>
      </c>
      <c r="O4" s="42">
        <f>'STOCK  01 a 07'!O24</f>
        <v>4700</v>
      </c>
      <c r="P4" s="42">
        <f>'STOCK  01 a 07'!P24</f>
        <v>7</v>
      </c>
      <c r="Q4" s="42">
        <f>'STOCK  01 a 07'!Q24</f>
        <v>795</v>
      </c>
      <c r="R4" s="42">
        <f>'STOCK  01 a 07'!R24</f>
        <v>540</v>
      </c>
      <c r="S4" s="42">
        <f>'STOCK  01 a 07'!S24</f>
        <v>1247</v>
      </c>
      <c r="T4" s="42">
        <f>'STOCK  01 a 07'!T24</f>
        <v>620</v>
      </c>
      <c r="U4" s="42">
        <f>'STOCK  01 a 07'!U24</f>
        <v>3</v>
      </c>
      <c r="V4" s="42">
        <f>'STOCK  01 a 07'!V24</f>
        <v>22</v>
      </c>
      <c r="W4" s="42">
        <f>'STOCK  01 a 07'!W24</f>
        <v>1442</v>
      </c>
      <c r="X4" s="42">
        <f>'STOCK  01 a 07'!X24</f>
        <v>1150</v>
      </c>
      <c r="Y4" s="42">
        <f>'STOCK  01 a 07'!Y24</f>
        <v>219</v>
      </c>
      <c r="Z4" s="42">
        <f>'STOCK  01 a 07'!Z24</f>
        <v>0</v>
      </c>
      <c r="AA4" s="42">
        <f>'STOCK  01 a 07'!AA24</f>
        <v>0</v>
      </c>
    </row>
    <row r="5" spans="1:27" x14ac:dyDescent="0.25">
      <c r="A5" s="311"/>
      <c r="B5" s="20">
        <v>45544</v>
      </c>
      <c r="C5" s="14" t="s">
        <v>46</v>
      </c>
      <c r="D5" s="27"/>
      <c r="F5" s="35"/>
      <c r="H5" s="31"/>
      <c r="I5" s="13"/>
      <c r="J5" s="35"/>
      <c r="L5" s="35"/>
      <c r="N5" s="35"/>
      <c r="O5" s="14"/>
      <c r="P5" s="27">
        <v>600</v>
      </c>
      <c r="R5" s="31"/>
      <c r="S5" s="13"/>
      <c r="V5" s="31"/>
      <c r="W5" s="13"/>
      <c r="X5" s="31"/>
      <c r="Z5" s="31"/>
      <c r="AA5" s="15"/>
    </row>
    <row r="6" spans="1:27" x14ac:dyDescent="0.25">
      <c r="A6" s="311"/>
      <c r="B6" s="20">
        <v>45544</v>
      </c>
      <c r="C6" s="14" t="s">
        <v>27</v>
      </c>
      <c r="D6" s="27"/>
      <c r="F6" s="35"/>
      <c r="H6" s="31"/>
      <c r="I6" s="13"/>
      <c r="J6" s="35"/>
      <c r="L6" s="35"/>
      <c r="N6" s="35"/>
      <c r="O6" s="14"/>
      <c r="P6" s="27"/>
      <c r="R6" s="31"/>
      <c r="S6" s="13"/>
      <c r="V6" s="31"/>
      <c r="W6" s="13"/>
      <c r="X6" s="31">
        <v>1500</v>
      </c>
      <c r="Z6" s="31"/>
      <c r="AA6" s="15"/>
    </row>
    <row r="7" spans="1:27" x14ac:dyDescent="0.25">
      <c r="A7" s="311"/>
      <c r="B7" s="20">
        <v>45546</v>
      </c>
      <c r="C7" s="14" t="s">
        <v>27</v>
      </c>
      <c r="D7" s="27"/>
      <c r="F7" s="35"/>
      <c r="G7">
        <v>3000</v>
      </c>
      <c r="H7" s="31"/>
      <c r="I7" s="13"/>
      <c r="J7" s="35"/>
      <c r="L7" s="35"/>
      <c r="N7" s="35"/>
      <c r="O7" s="14"/>
      <c r="P7" s="27"/>
      <c r="R7" s="31"/>
      <c r="S7" s="13"/>
      <c r="V7" s="31"/>
      <c r="W7" s="13"/>
      <c r="X7" s="31"/>
      <c r="Z7" s="31"/>
      <c r="AA7" s="15"/>
    </row>
    <row r="8" spans="1:27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V9" s="31"/>
      <c r="W9" s="13"/>
      <c r="X9" s="31"/>
      <c r="Z9" s="31"/>
      <c r="AA9" s="15"/>
    </row>
    <row r="10" spans="1:27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/>
      <c r="AA10" s="15"/>
    </row>
    <row r="11" spans="1:27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32"/>
      <c r="S11" s="16"/>
      <c r="T11" s="18"/>
      <c r="U11" s="18"/>
      <c r="V11" s="32"/>
      <c r="W11" s="16"/>
      <c r="X11" s="32"/>
      <c r="Y11" s="18"/>
      <c r="Z11" s="32"/>
      <c r="AA11" s="19"/>
    </row>
    <row r="12" spans="1:27" x14ac:dyDescent="0.25">
      <c r="A12" s="310" t="s">
        <v>62</v>
      </c>
      <c r="B12" s="20">
        <v>45544</v>
      </c>
      <c r="C12" s="14" t="s">
        <v>45</v>
      </c>
      <c r="D12" s="27"/>
      <c r="F12" s="35"/>
      <c r="G12">
        <v>4825</v>
      </c>
      <c r="H12" s="31"/>
      <c r="I12" s="13"/>
      <c r="J12" s="35"/>
      <c r="L12" s="35"/>
      <c r="N12" s="35"/>
      <c r="O12" s="14"/>
      <c r="P12" s="27"/>
      <c r="R12" s="31"/>
      <c r="S12" s="13"/>
      <c r="V12" s="31"/>
      <c r="W12" s="13"/>
      <c r="X12" s="31"/>
      <c r="Z12" s="31"/>
      <c r="AA12" s="15"/>
    </row>
    <row r="13" spans="1:27" x14ac:dyDescent="0.25">
      <c r="A13" s="311"/>
      <c r="B13" s="20">
        <v>45545</v>
      </c>
      <c r="C13" s="14" t="s">
        <v>22</v>
      </c>
      <c r="D13" s="27">
        <v>9</v>
      </c>
      <c r="F13" s="35">
        <v>9</v>
      </c>
      <c r="H13" s="31"/>
      <c r="I13" s="13"/>
      <c r="J13" s="35"/>
      <c r="L13" s="35"/>
      <c r="N13" s="35"/>
      <c r="O13" s="14"/>
      <c r="P13" s="27"/>
      <c r="R13" s="31"/>
      <c r="S13" s="13"/>
      <c r="V13" s="31"/>
      <c r="W13" s="13"/>
      <c r="X13" s="31"/>
      <c r="Z13" s="31"/>
      <c r="AA13" s="15"/>
    </row>
    <row r="14" spans="1:27" x14ac:dyDescent="0.25">
      <c r="A14" s="311"/>
      <c r="B14" s="20">
        <v>45546</v>
      </c>
      <c r="C14" s="14" t="s">
        <v>22</v>
      </c>
      <c r="D14" s="27"/>
      <c r="F14" s="35"/>
      <c r="G14">
        <v>300</v>
      </c>
      <c r="H14" s="31"/>
      <c r="I14" s="13"/>
      <c r="J14" s="35">
        <v>1000</v>
      </c>
      <c r="L14" s="35"/>
      <c r="N14" s="35"/>
      <c r="O14" s="14"/>
      <c r="P14" s="27"/>
      <c r="R14" s="31">
        <v>250</v>
      </c>
      <c r="S14" s="13">
        <v>160</v>
      </c>
      <c r="V14" s="31"/>
      <c r="W14" s="13"/>
      <c r="X14" s="31">
        <v>250</v>
      </c>
      <c r="Z14" s="31"/>
      <c r="AA14" s="15"/>
    </row>
    <row r="15" spans="1:27" x14ac:dyDescent="0.25">
      <c r="A15" s="311"/>
      <c r="B15" s="20">
        <v>45547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>
        <v>40</v>
      </c>
      <c r="P15" s="27"/>
      <c r="R15" s="31">
        <v>290</v>
      </c>
      <c r="S15" s="13"/>
      <c r="V15" s="31"/>
      <c r="W15" s="13"/>
      <c r="X15" s="31"/>
      <c r="Z15" s="31"/>
      <c r="AA15" s="15"/>
    </row>
    <row r="16" spans="1:27" x14ac:dyDescent="0.25">
      <c r="A16" s="311"/>
      <c r="B16" s="20">
        <v>45548</v>
      </c>
      <c r="C16" s="14" t="s">
        <v>22</v>
      </c>
      <c r="D16" s="27"/>
      <c r="F16" s="35"/>
      <c r="G16">
        <v>100</v>
      </c>
      <c r="H16" s="31"/>
      <c r="I16" s="13"/>
      <c r="J16" s="35"/>
      <c r="L16" s="35"/>
      <c r="N16" s="35"/>
      <c r="O16" s="14">
        <v>10</v>
      </c>
      <c r="P16" s="27"/>
      <c r="R16" s="31"/>
      <c r="S16" s="13"/>
      <c r="V16" s="31"/>
      <c r="W16" s="13"/>
      <c r="X16" s="31"/>
      <c r="Z16" s="31"/>
      <c r="AA16" s="15"/>
    </row>
    <row r="17" spans="1:27" x14ac:dyDescent="0.25">
      <c r="A17" s="311"/>
      <c r="B17" s="20">
        <v>45549</v>
      </c>
      <c r="C17" s="14" t="s">
        <v>45</v>
      </c>
      <c r="D17" s="27"/>
      <c r="F17" s="35"/>
      <c r="G17">
        <v>1500</v>
      </c>
      <c r="H17" s="31"/>
      <c r="I17" s="13"/>
      <c r="J17" s="35"/>
      <c r="L17" s="35"/>
      <c r="N17" s="35"/>
      <c r="O17" s="14"/>
      <c r="P17" s="27"/>
      <c r="R17" s="31"/>
      <c r="S17" s="13"/>
      <c r="V17" s="31"/>
      <c r="W17" s="13"/>
      <c r="X17" s="31"/>
      <c r="Z17" s="31"/>
      <c r="AA17" s="15"/>
    </row>
    <row r="18" spans="1:27" x14ac:dyDescent="0.25">
      <c r="A18" s="311"/>
      <c r="B18" s="20">
        <v>45549</v>
      </c>
      <c r="C18" s="14" t="s">
        <v>22</v>
      </c>
      <c r="D18" s="27"/>
      <c r="F18" s="35"/>
      <c r="G18">
        <v>50</v>
      </c>
      <c r="H18" s="31"/>
      <c r="I18" s="13"/>
      <c r="J18" s="35"/>
      <c r="L18" s="35"/>
      <c r="N18" s="35"/>
      <c r="O18" s="14"/>
      <c r="P18" s="27"/>
      <c r="R18" s="31"/>
      <c r="S18" s="13"/>
      <c r="V18" s="31"/>
      <c r="W18" s="13"/>
      <c r="X18" s="31"/>
      <c r="Z18" s="31"/>
      <c r="AA18" s="15"/>
    </row>
    <row r="19" spans="1:27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V19" s="31"/>
      <c r="W19" s="13"/>
      <c r="X19" s="31"/>
      <c r="Z19" s="31"/>
      <c r="AA19" s="15"/>
    </row>
    <row r="20" spans="1:27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V20" s="31"/>
      <c r="W20" s="13"/>
      <c r="X20" s="31"/>
      <c r="Z20" s="31"/>
      <c r="AA20" s="15"/>
    </row>
    <row r="21" spans="1:27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V21" s="31"/>
      <c r="W21" s="13"/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V24" s="31"/>
      <c r="W24" s="13"/>
      <c r="X24" s="31"/>
      <c r="Z24" s="31"/>
      <c r="AA24" s="15"/>
    </row>
    <row r="25" spans="1:27" ht="21.75" thickBot="1" x14ac:dyDescent="0.3">
      <c r="A25" s="21" t="s">
        <v>23</v>
      </c>
      <c r="B25" s="22"/>
      <c r="C25" s="23"/>
      <c r="D25" s="29">
        <f t="shared" ref="D25:AA25" si="0">SUM(D4:D11)-SUM(D12:D24)</f>
        <v>0</v>
      </c>
      <c r="E25" s="22">
        <f t="shared" si="0"/>
        <v>0</v>
      </c>
      <c r="F25" s="37">
        <f t="shared" si="0"/>
        <v>0</v>
      </c>
      <c r="G25" s="24">
        <f t="shared" si="0"/>
        <v>1050</v>
      </c>
      <c r="H25" s="33">
        <f t="shared" si="0"/>
        <v>0</v>
      </c>
      <c r="I25" s="22">
        <f t="shared" si="0"/>
        <v>0</v>
      </c>
      <c r="J25" s="37">
        <f t="shared" si="0"/>
        <v>3000</v>
      </c>
      <c r="K25" s="24">
        <f t="shared" si="0"/>
        <v>2301</v>
      </c>
      <c r="L25" s="37">
        <f t="shared" si="0"/>
        <v>815</v>
      </c>
      <c r="M25" s="24">
        <f t="shared" si="0"/>
        <v>0</v>
      </c>
      <c r="N25" s="37">
        <f t="shared" si="0"/>
        <v>0</v>
      </c>
      <c r="O25" s="23">
        <f t="shared" si="0"/>
        <v>4650</v>
      </c>
      <c r="P25" s="29">
        <f t="shared" si="0"/>
        <v>607</v>
      </c>
      <c r="Q25" s="24">
        <f t="shared" si="0"/>
        <v>795</v>
      </c>
      <c r="R25" s="33">
        <f t="shared" si="0"/>
        <v>0</v>
      </c>
      <c r="S25" s="22">
        <f>SUM(S4:S11)-SUM(S12:S24)</f>
        <v>1087</v>
      </c>
      <c r="T25" s="22">
        <f>SUM(T4:T11)-SUM(T12:T24)</f>
        <v>620</v>
      </c>
      <c r="U25" s="22">
        <f t="shared" si="0"/>
        <v>3</v>
      </c>
      <c r="V25" s="33">
        <f t="shared" si="0"/>
        <v>22</v>
      </c>
      <c r="W25" s="22">
        <f t="shared" si="0"/>
        <v>1442</v>
      </c>
      <c r="X25" s="33">
        <f t="shared" si="0"/>
        <v>2400</v>
      </c>
      <c r="Y25" s="22">
        <f t="shared" si="0"/>
        <v>219</v>
      </c>
      <c r="Z25" s="33">
        <f t="shared" si="0"/>
        <v>0</v>
      </c>
      <c r="AA25" s="25">
        <f t="shared" si="0"/>
        <v>0</v>
      </c>
    </row>
    <row r="27" spans="1:27" x14ac:dyDescent="0.25">
      <c r="D27">
        <f>D25*0.3</f>
        <v>0</v>
      </c>
      <c r="E27">
        <f>+E25*0.3</f>
        <v>0</v>
      </c>
      <c r="F27">
        <f>+F25*0.28</f>
        <v>0</v>
      </c>
      <c r="G27">
        <f>+G25*0.3</f>
        <v>315</v>
      </c>
      <c r="H27">
        <f>+H25*0.35</f>
        <v>0</v>
      </c>
      <c r="I27">
        <f>+I25*0.54</f>
        <v>0</v>
      </c>
      <c r="J27">
        <f>+J25*0.51</f>
        <v>1530</v>
      </c>
      <c r="K27" s="50">
        <f>+K25*0.756</f>
        <v>1739.556</v>
      </c>
      <c r="L27">
        <f>+L25*0.59</f>
        <v>480.84999999999997</v>
      </c>
      <c r="M27">
        <f>+M25*0.66</f>
        <v>0</v>
      </c>
      <c r="N27">
        <f>+N25*0.64</f>
        <v>0</v>
      </c>
      <c r="O27">
        <f>+O25*0.525-(1650*0.025)</f>
        <v>2400</v>
      </c>
      <c r="P27">
        <f>+P25*1.9515</f>
        <v>1184.5605</v>
      </c>
      <c r="Q27">
        <f>+Q25*1.66-(295*0.06)</f>
        <v>1302</v>
      </c>
      <c r="R27">
        <f>+R25*1.89</f>
        <v>0</v>
      </c>
      <c r="S27">
        <f>+S25*1.73-(87*0.06)</f>
        <v>1875.29</v>
      </c>
      <c r="T27">
        <f>+T25*1.85</f>
        <v>1147</v>
      </c>
      <c r="U27">
        <f>+U25*2.18</f>
        <v>6.5400000000000009</v>
      </c>
      <c r="V27">
        <f>+V25*1.97</f>
        <v>43.339999999999996</v>
      </c>
      <c r="W27">
        <f>+W25*0.38</f>
        <v>547.96</v>
      </c>
      <c r="X27">
        <f>+X25*0.29</f>
        <v>696</v>
      </c>
      <c r="Y27" s="50">
        <f>+Y25*1.9</f>
        <v>416.09999999999997</v>
      </c>
      <c r="Z27">
        <f>+Z25*0.8</f>
        <v>0</v>
      </c>
      <c r="AA27">
        <f>+AA25*2</f>
        <v>0</v>
      </c>
    </row>
    <row r="29" spans="1:27" x14ac:dyDescent="0.25">
      <c r="K29" s="50"/>
      <c r="Y29" s="71"/>
      <c r="AA29" s="39">
        <f>SUM(D27:AA27)</f>
        <v>13684.1965</v>
      </c>
    </row>
    <row r="31" spans="1:27" x14ac:dyDescent="0.25">
      <c r="P31">
        <f>7*2.08</f>
        <v>14.56</v>
      </c>
      <c r="R31">
        <f>290*1.95</f>
        <v>565.5</v>
      </c>
      <c r="S31" s="52" t="s">
        <v>70</v>
      </c>
    </row>
    <row r="32" spans="1:27" x14ac:dyDescent="0.25">
      <c r="P32">
        <f>600*1.95</f>
        <v>1170</v>
      </c>
      <c r="R32">
        <v>250</v>
      </c>
    </row>
    <row r="33" spans="16:21" x14ac:dyDescent="0.25">
      <c r="P33">
        <f>+P31+P32</f>
        <v>1184.56</v>
      </c>
    </row>
    <row r="34" spans="16:21" x14ac:dyDescent="0.25">
      <c r="P34">
        <f>+P33/P25</f>
        <v>1.9514991762767708</v>
      </c>
      <c r="S34">
        <f>290*1.89</f>
        <v>548.1</v>
      </c>
    </row>
    <row r="35" spans="16:21" x14ac:dyDescent="0.25">
      <c r="S35">
        <f>160*1.8</f>
        <v>288</v>
      </c>
    </row>
    <row r="36" spans="16:21" x14ac:dyDescent="0.25">
      <c r="S36">
        <f>SUM(S34:S35)</f>
        <v>836.1</v>
      </c>
    </row>
    <row r="38" spans="16:21" x14ac:dyDescent="0.25">
      <c r="S38">
        <f>450*1.95</f>
        <v>877.5</v>
      </c>
    </row>
    <row r="39" spans="16:21" x14ac:dyDescent="0.25">
      <c r="S39">
        <f>+S38-S36</f>
        <v>41.399999999999977</v>
      </c>
      <c r="U39">
        <v>80</v>
      </c>
    </row>
    <row r="40" spans="16:21" x14ac:dyDescent="0.25">
      <c r="U40" t="s">
        <v>71</v>
      </c>
    </row>
  </sheetData>
  <mergeCells count="7">
    <mergeCell ref="W2:X2"/>
    <mergeCell ref="A4:A11"/>
    <mergeCell ref="A12:A24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2478-9F0D-46F1-9A9A-F2F276A3CDF4}">
  <dimension ref="A1:AA33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7" sqref="L1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13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 08 a 14'!D25</f>
        <v>0</v>
      </c>
      <c r="E4" s="42">
        <f>'STOCK  08 a 14'!E25</f>
        <v>0</v>
      </c>
      <c r="F4" s="42">
        <f>'STOCK  08 a 14'!F25</f>
        <v>0</v>
      </c>
      <c r="G4" s="42">
        <f>'STOCK  08 a 14'!G25</f>
        <v>1050</v>
      </c>
      <c r="H4" s="42">
        <f>'STOCK  08 a 14'!H25</f>
        <v>0</v>
      </c>
      <c r="I4" s="42">
        <f>'STOCK  08 a 14'!I25</f>
        <v>0</v>
      </c>
      <c r="J4" s="42">
        <f>'STOCK  08 a 14'!J25</f>
        <v>3000</v>
      </c>
      <c r="K4" s="42">
        <f>'STOCK  08 a 14'!K25</f>
        <v>2301</v>
      </c>
      <c r="L4" s="42">
        <f>'STOCK  08 a 14'!L25</f>
        <v>815</v>
      </c>
      <c r="M4" s="42">
        <f>'STOCK  08 a 14'!M25</f>
        <v>0</v>
      </c>
      <c r="N4" s="42">
        <f>'STOCK  08 a 14'!N25</f>
        <v>0</v>
      </c>
      <c r="O4" s="42">
        <f>'STOCK  08 a 14'!O25</f>
        <v>4650</v>
      </c>
      <c r="P4" s="42">
        <f>'STOCK  08 a 14'!P25</f>
        <v>607</v>
      </c>
      <c r="Q4" s="42">
        <f>'STOCK  08 a 14'!Q25</f>
        <v>795</v>
      </c>
      <c r="R4" s="42">
        <f>'STOCK  08 a 14'!R25</f>
        <v>0</v>
      </c>
      <c r="S4" s="42">
        <f>'STOCK  08 a 14'!S25</f>
        <v>1087</v>
      </c>
      <c r="T4" s="42">
        <f>'STOCK  08 a 14'!T25</f>
        <v>620</v>
      </c>
      <c r="U4" s="42">
        <f>'STOCK  08 a 14'!U25</f>
        <v>3</v>
      </c>
      <c r="V4" s="42">
        <f>'STOCK  08 a 14'!V25</f>
        <v>22</v>
      </c>
      <c r="W4" s="42">
        <f>'STOCK  08 a 14'!W25</f>
        <v>1442</v>
      </c>
      <c r="X4" s="42">
        <f>'STOCK  08 a 14'!X25</f>
        <v>2400</v>
      </c>
      <c r="Y4" s="42">
        <f>'STOCK  08 a 14'!Y25</f>
        <v>219</v>
      </c>
      <c r="Z4" s="42">
        <f>'STOCK  08 a 14'!Z25</f>
        <v>0</v>
      </c>
      <c r="AA4" s="42">
        <f>'STOCK  08 a 14'!AA25</f>
        <v>0</v>
      </c>
    </row>
    <row r="5" spans="1:27" x14ac:dyDescent="0.25">
      <c r="A5" s="311"/>
      <c r="B5" s="20">
        <v>45551</v>
      </c>
      <c r="C5" s="14" t="s">
        <v>27</v>
      </c>
      <c r="D5" s="27">
        <v>4500</v>
      </c>
      <c r="F5" s="35"/>
      <c r="H5" s="31"/>
      <c r="I5" s="13"/>
      <c r="J5" s="35"/>
      <c r="L5" s="35"/>
      <c r="N5" s="35"/>
      <c r="O5" s="14"/>
      <c r="P5" s="27"/>
      <c r="R5" s="31"/>
      <c r="S5" s="13"/>
      <c r="V5" s="31"/>
      <c r="W5" s="13"/>
      <c r="X5" s="31"/>
      <c r="Z5" s="31"/>
      <c r="AA5" s="15"/>
    </row>
    <row r="6" spans="1:27" x14ac:dyDescent="0.25">
      <c r="A6" s="311"/>
      <c r="B6" s="20">
        <v>45555</v>
      </c>
      <c r="C6" s="14" t="s">
        <v>46</v>
      </c>
      <c r="D6" s="27"/>
      <c r="F6" s="35"/>
      <c r="H6" s="31">
        <v>2000</v>
      </c>
      <c r="I6" s="13"/>
      <c r="J6" s="35"/>
      <c r="L6" s="35">
        <v>2000</v>
      </c>
      <c r="N6" s="35"/>
      <c r="O6" s="14"/>
      <c r="P6" s="27"/>
      <c r="R6" s="31"/>
      <c r="S6" s="13"/>
      <c r="V6" s="31"/>
      <c r="W6" s="13"/>
      <c r="X6" s="31"/>
      <c r="Z6" s="31"/>
      <c r="AA6" s="15"/>
    </row>
    <row r="7" spans="1:27" x14ac:dyDescent="0.25">
      <c r="A7" s="311"/>
      <c r="B7" s="20">
        <v>45556</v>
      </c>
      <c r="C7" s="14" t="s">
        <v>46</v>
      </c>
      <c r="D7" s="27"/>
      <c r="F7" s="35"/>
      <c r="H7" s="31"/>
      <c r="I7" s="13"/>
      <c r="J7" s="35"/>
      <c r="L7" s="35"/>
      <c r="N7" s="35"/>
      <c r="O7" s="14"/>
      <c r="P7" s="27"/>
      <c r="Q7">
        <v>170</v>
      </c>
      <c r="R7" s="31"/>
      <c r="S7" s="13"/>
      <c r="V7" s="31"/>
      <c r="W7" s="13"/>
      <c r="X7" s="31"/>
      <c r="Z7" s="31"/>
      <c r="AA7" s="15"/>
    </row>
    <row r="8" spans="1:27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V9" s="31"/>
      <c r="W9" s="13"/>
      <c r="X9" s="31"/>
      <c r="Z9" s="31"/>
      <c r="AA9" s="15"/>
    </row>
    <row r="10" spans="1:27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/>
      <c r="AA10" s="15"/>
    </row>
    <row r="11" spans="1:27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32"/>
      <c r="S11" s="16"/>
      <c r="T11" s="18"/>
      <c r="U11" s="18"/>
      <c r="V11" s="32"/>
      <c r="W11" s="16"/>
      <c r="X11" s="32"/>
      <c r="Y11" s="18"/>
      <c r="Z11" s="32"/>
      <c r="AA11" s="19"/>
    </row>
    <row r="12" spans="1:27" x14ac:dyDescent="0.25">
      <c r="A12" s="310" t="s">
        <v>62</v>
      </c>
      <c r="B12" s="20">
        <v>45550</v>
      </c>
      <c r="C12" s="14" t="s">
        <v>22</v>
      </c>
      <c r="D12" s="27"/>
      <c r="F12" s="35"/>
      <c r="H12" s="31"/>
      <c r="I12" s="13"/>
      <c r="J12" s="35"/>
      <c r="L12" s="35"/>
      <c r="N12" s="35"/>
      <c r="O12" s="14">
        <v>28</v>
      </c>
      <c r="P12" s="27"/>
      <c r="R12" s="31"/>
      <c r="S12" s="13"/>
      <c r="V12" s="31"/>
      <c r="W12" s="13"/>
      <c r="X12" s="31"/>
      <c r="Z12" s="31"/>
      <c r="AA12" s="15"/>
    </row>
    <row r="13" spans="1:27" x14ac:dyDescent="0.25">
      <c r="A13" s="311"/>
      <c r="B13" s="20">
        <v>45551</v>
      </c>
      <c r="C13" s="14" t="s">
        <v>22</v>
      </c>
      <c r="D13" s="27">
        <v>1000</v>
      </c>
      <c r="F13" s="35"/>
      <c r="G13">
        <v>400</v>
      </c>
      <c r="H13" s="31"/>
      <c r="I13" s="13"/>
      <c r="J13" s="35"/>
      <c r="L13" s="35"/>
      <c r="N13" s="35"/>
      <c r="O13" s="14">
        <v>226</v>
      </c>
      <c r="P13" s="27"/>
      <c r="Q13">
        <v>300</v>
      </c>
      <c r="R13" s="31"/>
      <c r="S13" s="13"/>
      <c r="V13" s="31"/>
      <c r="W13" s="13"/>
      <c r="X13" s="31">
        <v>500</v>
      </c>
      <c r="Z13" s="31"/>
      <c r="AA13" s="15"/>
    </row>
    <row r="14" spans="1:27" x14ac:dyDescent="0.25">
      <c r="A14" s="311"/>
      <c r="B14" s="20">
        <v>45552</v>
      </c>
      <c r="C14" s="14" t="s">
        <v>22</v>
      </c>
      <c r="D14" s="27"/>
      <c r="F14" s="35"/>
      <c r="H14" s="31"/>
      <c r="I14" s="13"/>
      <c r="J14" s="35"/>
      <c r="K14">
        <f>1500+40</f>
        <v>1540</v>
      </c>
      <c r="L14" s="35"/>
      <c r="N14" s="35"/>
      <c r="O14" s="14"/>
      <c r="P14" s="27"/>
      <c r="R14" s="31"/>
      <c r="S14" s="13"/>
      <c r="V14" s="31"/>
      <c r="W14" s="13">
        <v>140</v>
      </c>
      <c r="X14" s="31">
        <v>300</v>
      </c>
      <c r="Z14" s="31"/>
      <c r="AA14" s="15"/>
    </row>
    <row r="15" spans="1:27" x14ac:dyDescent="0.25">
      <c r="A15" s="311"/>
      <c r="B15" s="20">
        <v>45553</v>
      </c>
      <c r="C15" s="14" t="s">
        <v>22</v>
      </c>
      <c r="D15" s="27">
        <v>500</v>
      </c>
      <c r="F15" s="35"/>
      <c r="H15" s="31"/>
      <c r="I15" s="13"/>
      <c r="J15" s="35"/>
      <c r="L15" s="35">
        <v>815</v>
      </c>
      <c r="N15" s="35"/>
      <c r="O15" s="14">
        <v>1500</v>
      </c>
      <c r="P15" s="27"/>
      <c r="R15" s="31"/>
      <c r="S15" s="13">
        <v>150</v>
      </c>
      <c r="V15" s="31"/>
      <c r="W15" s="13">
        <v>40</v>
      </c>
      <c r="X15" s="31"/>
      <c r="Z15" s="31"/>
      <c r="AA15" s="15"/>
    </row>
    <row r="16" spans="1:27" x14ac:dyDescent="0.25">
      <c r="A16" s="311"/>
      <c r="B16" s="20">
        <v>45554</v>
      </c>
      <c r="C16" s="14" t="s">
        <v>22</v>
      </c>
      <c r="D16" s="27">
        <v>500</v>
      </c>
      <c r="F16" s="35"/>
      <c r="H16" s="31"/>
      <c r="I16" s="13"/>
      <c r="J16" s="35"/>
      <c r="L16" s="35"/>
      <c r="N16" s="35"/>
      <c r="O16" s="14"/>
      <c r="P16" s="27"/>
      <c r="R16" s="31"/>
      <c r="S16" s="13">
        <v>35</v>
      </c>
      <c r="V16" s="31"/>
      <c r="W16" s="13">
        <v>20</v>
      </c>
      <c r="X16" s="31"/>
      <c r="Z16" s="31"/>
      <c r="AA16" s="15"/>
    </row>
    <row r="17" spans="1:27" x14ac:dyDescent="0.25">
      <c r="A17" s="311"/>
      <c r="B17" s="20">
        <v>45555</v>
      </c>
      <c r="C17" s="14" t="s">
        <v>22</v>
      </c>
      <c r="D17" s="27">
        <v>150</v>
      </c>
      <c r="F17" s="35"/>
      <c r="H17" s="31">
        <v>300</v>
      </c>
      <c r="I17" s="13"/>
      <c r="J17" s="35"/>
      <c r="L17" s="35">
        <v>1000</v>
      </c>
      <c r="N17" s="35"/>
      <c r="O17" s="14"/>
      <c r="P17" s="27"/>
      <c r="Q17">
        <v>495</v>
      </c>
      <c r="R17" s="31"/>
      <c r="S17" s="13"/>
      <c r="V17" s="31"/>
      <c r="W17" s="13"/>
      <c r="X17" s="31"/>
      <c r="Z17" s="31"/>
      <c r="AA17" s="15"/>
    </row>
    <row r="18" spans="1:27" x14ac:dyDescent="0.25">
      <c r="A18" s="311"/>
      <c r="B18" s="20">
        <v>45556</v>
      </c>
      <c r="C18" s="14" t="s">
        <v>22</v>
      </c>
      <c r="D18" s="27">
        <v>1000</v>
      </c>
      <c r="F18" s="35"/>
      <c r="H18" s="31"/>
      <c r="I18" s="13"/>
      <c r="J18" s="35"/>
      <c r="L18" s="35"/>
      <c r="N18" s="35"/>
      <c r="O18" s="14">
        <v>250</v>
      </c>
      <c r="P18" s="27"/>
      <c r="R18" s="31"/>
      <c r="S18" s="13"/>
      <c r="V18" s="31"/>
      <c r="W18" s="13"/>
      <c r="X18" s="31">
        <v>600</v>
      </c>
      <c r="Z18" s="31"/>
      <c r="AA18" s="15"/>
    </row>
    <row r="19" spans="1:27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V19" s="31"/>
      <c r="W19" s="13"/>
      <c r="X19" s="31"/>
      <c r="Z19" s="31"/>
      <c r="AA19" s="15"/>
    </row>
    <row r="20" spans="1:27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V20" s="31"/>
      <c r="W20" s="13"/>
      <c r="X20" s="31"/>
      <c r="Z20" s="31"/>
      <c r="AA20" s="15"/>
    </row>
    <row r="21" spans="1:27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V21" s="31"/>
      <c r="W21" s="13"/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ht="15.75" thickBot="1" x14ac:dyDescent="0.3">
      <c r="A23" s="312"/>
      <c r="B23" s="13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ht="21.75" thickBot="1" x14ac:dyDescent="0.3">
      <c r="A24" s="21" t="s">
        <v>23</v>
      </c>
      <c r="B24" s="22"/>
      <c r="C24" s="23"/>
      <c r="D24" s="29">
        <f t="shared" ref="D24:AA24" si="0">SUM(D4:D11)-SUM(D12:D23)</f>
        <v>1350</v>
      </c>
      <c r="E24" s="22">
        <f t="shared" si="0"/>
        <v>0</v>
      </c>
      <c r="F24" s="37">
        <f t="shared" si="0"/>
        <v>0</v>
      </c>
      <c r="G24" s="24">
        <f t="shared" si="0"/>
        <v>650</v>
      </c>
      <c r="H24" s="33">
        <f t="shared" si="0"/>
        <v>1700</v>
      </c>
      <c r="I24" s="22">
        <f t="shared" si="0"/>
        <v>0</v>
      </c>
      <c r="J24" s="37">
        <f t="shared" si="0"/>
        <v>3000</v>
      </c>
      <c r="K24" s="24">
        <f t="shared" si="0"/>
        <v>761</v>
      </c>
      <c r="L24" s="37">
        <f t="shared" si="0"/>
        <v>1000</v>
      </c>
      <c r="M24" s="24">
        <f t="shared" si="0"/>
        <v>0</v>
      </c>
      <c r="N24" s="37">
        <f t="shared" si="0"/>
        <v>0</v>
      </c>
      <c r="O24" s="23">
        <f t="shared" si="0"/>
        <v>2646</v>
      </c>
      <c r="P24" s="29">
        <f t="shared" si="0"/>
        <v>607</v>
      </c>
      <c r="Q24" s="24">
        <f>SUM(Q4:Q11)-SUM(Q12:Q23)</f>
        <v>170</v>
      </c>
      <c r="R24" s="33">
        <f t="shared" si="0"/>
        <v>0</v>
      </c>
      <c r="S24" s="22">
        <f t="shared" si="0"/>
        <v>902</v>
      </c>
      <c r="T24" s="22">
        <f t="shared" si="0"/>
        <v>620</v>
      </c>
      <c r="U24" s="22">
        <f t="shared" si="0"/>
        <v>3</v>
      </c>
      <c r="V24" s="33">
        <f t="shared" si="0"/>
        <v>22</v>
      </c>
      <c r="W24" s="22">
        <f t="shared" si="0"/>
        <v>1242</v>
      </c>
      <c r="X24" s="33">
        <f t="shared" si="0"/>
        <v>1000</v>
      </c>
      <c r="Y24" s="22">
        <f t="shared" si="0"/>
        <v>219</v>
      </c>
      <c r="Z24" s="33">
        <f t="shared" si="0"/>
        <v>0</v>
      </c>
      <c r="AA24" s="25">
        <f t="shared" si="0"/>
        <v>0</v>
      </c>
    </row>
    <row r="26" spans="1:27" x14ac:dyDescent="0.25">
      <c r="D26">
        <f>D24*0.315</f>
        <v>425.25</v>
      </c>
      <c r="E26">
        <f>+E24*0.3</f>
        <v>0</v>
      </c>
      <c r="F26">
        <f>+F24*0.28</f>
        <v>0</v>
      </c>
      <c r="G26">
        <f>+G24*0.3</f>
        <v>195</v>
      </c>
      <c r="H26">
        <f>+H24*0.37</f>
        <v>629</v>
      </c>
      <c r="I26">
        <f>+I24*0.54</f>
        <v>0</v>
      </c>
      <c r="J26">
        <f>+J24*0.51</f>
        <v>1530</v>
      </c>
      <c r="K26" s="50">
        <f>+K24*0.756</f>
        <v>575.31600000000003</v>
      </c>
      <c r="L26">
        <f>+L24*0.61</f>
        <v>610</v>
      </c>
      <c r="M26">
        <f>+M24*0.66</f>
        <v>0</v>
      </c>
      <c r="N26">
        <f>+N24*0.64</f>
        <v>0</v>
      </c>
      <c r="O26">
        <f>+O24*0.525</f>
        <v>1389.15</v>
      </c>
      <c r="P26">
        <f>+P24*1.9515</f>
        <v>1184.5605</v>
      </c>
      <c r="Q26">
        <f>+Q24*1.7</f>
        <v>289</v>
      </c>
      <c r="R26">
        <f>+R24*1.89</f>
        <v>0</v>
      </c>
      <c r="S26">
        <f>+S24*1.73</f>
        <v>1560.46</v>
      </c>
      <c r="T26">
        <f>+T24*1.85</f>
        <v>1147</v>
      </c>
      <c r="U26">
        <f>+U24*2.18</f>
        <v>6.5400000000000009</v>
      </c>
      <c r="V26">
        <f>+V24*1.97</f>
        <v>43.339999999999996</v>
      </c>
      <c r="W26">
        <f>+W24*0.38</f>
        <v>471.96</v>
      </c>
      <c r="X26">
        <f>+X24*0.29</f>
        <v>290</v>
      </c>
      <c r="Y26" s="50">
        <f>+Y24*1.9</f>
        <v>416.09999999999997</v>
      </c>
      <c r="Z26">
        <f>+Z24*0.8</f>
        <v>0</v>
      </c>
      <c r="AA26">
        <f>+AA24*2</f>
        <v>0</v>
      </c>
    </row>
    <row r="28" spans="1:27" x14ac:dyDescent="0.25">
      <c r="K28" s="50"/>
      <c r="Y28" s="71"/>
      <c r="AA28" s="39">
        <f>SUM(D26:AA26)</f>
        <v>10762.6765</v>
      </c>
    </row>
    <row r="33" spans="15:15" x14ac:dyDescent="0.25">
      <c r="O33" s="81"/>
    </row>
  </sheetData>
  <mergeCells count="7">
    <mergeCell ref="W2:X2"/>
    <mergeCell ref="A4:A11"/>
    <mergeCell ref="A12:A23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D769-A434-4A9D-989D-5DCE2156A814}">
  <dimension ref="A1:AA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6" sqref="K16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13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13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 15 a 21'!D24</f>
        <v>1350</v>
      </c>
      <c r="E4" s="42">
        <f>'STOCK  15 a 21'!E24</f>
        <v>0</v>
      </c>
      <c r="F4" s="42">
        <f>'STOCK  15 a 21'!F24</f>
        <v>0</v>
      </c>
      <c r="G4" s="42">
        <f>'STOCK  15 a 21'!G24</f>
        <v>650</v>
      </c>
      <c r="H4" s="42">
        <f>'STOCK  15 a 21'!H24</f>
        <v>1700</v>
      </c>
      <c r="I4" s="42">
        <f>'STOCK  15 a 21'!I24</f>
        <v>0</v>
      </c>
      <c r="J4" s="42">
        <f>'STOCK  15 a 21'!J24</f>
        <v>3000</v>
      </c>
      <c r="K4" s="42">
        <f>'STOCK  15 a 21'!K24</f>
        <v>761</v>
      </c>
      <c r="L4" s="42">
        <f>'STOCK  15 a 21'!L24</f>
        <v>1000</v>
      </c>
      <c r="M4" s="42">
        <f>'STOCK  15 a 21'!M24</f>
        <v>0</v>
      </c>
      <c r="N4" s="42">
        <f>'STOCK  15 a 21'!N24</f>
        <v>0</v>
      </c>
      <c r="O4" s="42">
        <f>'STOCK  15 a 21'!O24</f>
        <v>2646</v>
      </c>
      <c r="P4" s="42">
        <f>'STOCK  15 a 21'!P24</f>
        <v>607</v>
      </c>
      <c r="Q4" s="42">
        <f>'STOCK  15 a 21'!Q24</f>
        <v>170</v>
      </c>
      <c r="R4" s="42">
        <f>'STOCK  15 a 21'!R24</f>
        <v>0</v>
      </c>
      <c r="S4" s="42">
        <f>'STOCK  15 a 21'!S24</f>
        <v>902</v>
      </c>
      <c r="T4" s="42">
        <f>'STOCK  15 a 21'!T24</f>
        <v>620</v>
      </c>
      <c r="U4" s="42">
        <f>'STOCK  15 a 21'!U24</f>
        <v>3</v>
      </c>
      <c r="V4" s="42">
        <f>'STOCK  15 a 21'!V24</f>
        <v>22</v>
      </c>
      <c r="W4" s="42">
        <f>'STOCK  15 a 21'!W24</f>
        <v>1242</v>
      </c>
      <c r="X4" s="42">
        <f>'STOCK  15 a 21'!X24</f>
        <v>1000</v>
      </c>
      <c r="Y4" s="42">
        <f>'STOCK  15 a 21'!Y24</f>
        <v>219</v>
      </c>
      <c r="Z4" s="42">
        <f>'STOCK  15 a 21'!Z24</f>
        <v>0</v>
      </c>
      <c r="AA4" s="42">
        <f>'STOCK  15 a 21'!AA24</f>
        <v>0</v>
      </c>
    </row>
    <row r="5" spans="1:27" x14ac:dyDescent="0.25">
      <c r="A5" s="311"/>
      <c r="B5" s="20">
        <v>45558</v>
      </c>
      <c r="C5" s="14" t="s">
        <v>72</v>
      </c>
      <c r="D5" s="27">
        <v>1500</v>
      </c>
      <c r="F5" s="35"/>
      <c r="H5" s="31"/>
      <c r="I5" s="13"/>
      <c r="J5" s="35"/>
      <c r="L5" s="35"/>
      <c r="N5" s="35"/>
      <c r="O5" s="14"/>
      <c r="P5" s="27"/>
      <c r="R5" s="31"/>
      <c r="S5" s="13"/>
      <c r="V5" s="31"/>
      <c r="W5" s="13"/>
      <c r="X5" s="31"/>
      <c r="Z5" s="31"/>
      <c r="AA5" s="15"/>
    </row>
    <row r="6" spans="1:27" x14ac:dyDescent="0.25">
      <c r="A6" s="311"/>
      <c r="B6" s="20">
        <v>45559</v>
      </c>
      <c r="C6" s="14" t="s">
        <v>27</v>
      </c>
      <c r="D6" s="27"/>
      <c r="F6" s="35"/>
      <c r="H6" s="31"/>
      <c r="I6" s="13"/>
      <c r="J6" s="35"/>
      <c r="L6" s="35">
        <v>500</v>
      </c>
      <c r="N6" s="35"/>
      <c r="O6" s="14"/>
      <c r="P6" s="27"/>
      <c r="R6" s="31"/>
      <c r="S6" s="13"/>
      <c r="V6" s="31"/>
      <c r="W6" s="13"/>
      <c r="X6" s="31"/>
      <c r="Z6" s="31"/>
      <c r="AA6" s="15"/>
    </row>
    <row r="7" spans="1:27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V7" s="31"/>
      <c r="W7" s="13"/>
      <c r="X7" s="31"/>
      <c r="Z7" s="31"/>
      <c r="AA7" s="15"/>
    </row>
    <row r="8" spans="1:27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V9" s="31"/>
      <c r="W9" s="13"/>
      <c r="X9" s="31"/>
      <c r="Z9" s="31"/>
      <c r="AA9" s="15"/>
    </row>
    <row r="10" spans="1:27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/>
      <c r="AA10" s="15"/>
    </row>
    <row r="11" spans="1:27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32"/>
      <c r="S11" s="16"/>
      <c r="T11" s="18"/>
      <c r="U11" s="18"/>
      <c r="V11" s="32"/>
      <c r="W11" s="16"/>
      <c r="X11" s="32"/>
      <c r="Y11" s="18"/>
      <c r="Z11" s="32"/>
      <c r="AA11" s="19"/>
    </row>
    <row r="12" spans="1:27" x14ac:dyDescent="0.25">
      <c r="A12" s="310" t="s">
        <v>62</v>
      </c>
      <c r="B12" s="20">
        <v>45556</v>
      </c>
      <c r="C12" s="14" t="s">
        <v>22</v>
      </c>
      <c r="D12" s="27"/>
      <c r="F12" s="35"/>
      <c r="H12" s="31"/>
      <c r="I12" s="13"/>
      <c r="J12" s="35"/>
      <c r="L12" s="35"/>
      <c r="N12" s="35"/>
      <c r="O12" s="14"/>
      <c r="P12" s="27"/>
      <c r="R12" s="31"/>
      <c r="S12" s="13"/>
      <c r="V12" s="31"/>
      <c r="W12" s="13">
        <v>1000</v>
      </c>
      <c r="X12" s="31"/>
      <c r="Z12" s="31"/>
      <c r="AA12" s="15"/>
    </row>
    <row r="13" spans="1:27" x14ac:dyDescent="0.25">
      <c r="A13" s="311"/>
      <c r="B13" s="20">
        <v>45558</v>
      </c>
      <c r="C13" s="14" t="s">
        <v>22</v>
      </c>
      <c r="D13" s="27">
        <v>1250</v>
      </c>
      <c r="F13" s="35"/>
      <c r="H13" s="31"/>
      <c r="I13" s="13"/>
      <c r="J13" s="35"/>
      <c r="L13" s="35"/>
      <c r="N13" s="35"/>
      <c r="O13" s="14"/>
      <c r="P13" s="27"/>
      <c r="R13" s="31"/>
      <c r="S13" s="13"/>
      <c r="V13" s="31"/>
      <c r="W13" s="13">
        <v>150</v>
      </c>
      <c r="X13" s="31"/>
      <c r="Z13" s="31"/>
      <c r="AA13" s="15"/>
    </row>
    <row r="14" spans="1:27" x14ac:dyDescent="0.25">
      <c r="A14" s="311"/>
      <c r="B14" s="20">
        <v>45559</v>
      </c>
      <c r="C14" s="14" t="s">
        <v>22</v>
      </c>
      <c r="D14" s="27">
        <v>200</v>
      </c>
      <c r="F14" s="35"/>
      <c r="H14" s="31"/>
      <c r="I14" s="13"/>
      <c r="J14" s="35"/>
      <c r="L14" s="35"/>
      <c r="N14" s="35"/>
      <c r="O14" s="14"/>
      <c r="P14" s="27"/>
      <c r="R14" s="31"/>
      <c r="S14" s="13"/>
      <c r="T14">
        <v>80</v>
      </c>
      <c r="V14" s="31"/>
      <c r="W14" s="13"/>
      <c r="X14" s="31">
        <v>150</v>
      </c>
      <c r="Z14" s="31"/>
      <c r="AA14" s="15"/>
    </row>
    <row r="15" spans="1:27" x14ac:dyDescent="0.25">
      <c r="A15" s="311"/>
      <c r="B15" s="20">
        <v>45560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/>
      <c r="R15" s="31"/>
      <c r="S15" s="13">
        <v>300</v>
      </c>
      <c r="V15" s="31"/>
      <c r="W15" s="13">
        <v>92</v>
      </c>
      <c r="X15" s="31"/>
      <c r="Z15" s="31"/>
      <c r="AA15" s="15"/>
    </row>
    <row r="16" spans="1:27" x14ac:dyDescent="0.25">
      <c r="A16" s="311"/>
      <c r="B16" s="20">
        <v>45561</v>
      </c>
      <c r="C16" s="14" t="s">
        <v>45</v>
      </c>
      <c r="D16" s="27"/>
      <c r="F16" s="35"/>
      <c r="H16" s="31"/>
      <c r="I16" s="13"/>
      <c r="J16" s="35"/>
      <c r="K16">
        <v>500</v>
      </c>
      <c r="L16" s="35"/>
      <c r="N16" s="35"/>
      <c r="O16" s="14"/>
      <c r="P16" s="27"/>
      <c r="R16" s="31"/>
      <c r="S16" s="13">
        <v>400</v>
      </c>
      <c r="V16" s="31"/>
      <c r="W16" s="13"/>
      <c r="X16" s="31"/>
      <c r="Z16" s="31"/>
      <c r="AA16" s="15"/>
    </row>
    <row r="17" spans="1:27" x14ac:dyDescent="0.25">
      <c r="A17" s="311"/>
      <c r="B17" s="20">
        <v>45563</v>
      </c>
      <c r="C17" s="14" t="s">
        <v>22</v>
      </c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>
        <v>140</v>
      </c>
      <c r="V17" s="31"/>
      <c r="W17" s="13"/>
      <c r="X17" s="31"/>
      <c r="Z17" s="31"/>
      <c r="AA17" s="15"/>
    </row>
    <row r="18" spans="1:27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V18" s="31"/>
      <c r="W18" s="13"/>
      <c r="X18" s="31"/>
      <c r="Z18" s="31"/>
      <c r="AA18" s="15"/>
    </row>
    <row r="19" spans="1:27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V19" s="31"/>
      <c r="W19" s="13"/>
      <c r="X19" s="31"/>
      <c r="Z19" s="31"/>
      <c r="AA19" s="15"/>
    </row>
    <row r="20" spans="1:27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V20" s="31"/>
      <c r="W20" s="13"/>
      <c r="X20" s="31"/>
      <c r="Z20" s="31"/>
      <c r="AA20" s="15"/>
    </row>
    <row r="21" spans="1:27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V21" s="31"/>
      <c r="W21" s="13"/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V24" s="31"/>
      <c r="W24" s="13"/>
      <c r="X24" s="31"/>
      <c r="Z24" s="31"/>
      <c r="AA24" s="15"/>
    </row>
    <row r="25" spans="1:27" ht="21.75" thickBot="1" x14ac:dyDescent="0.3">
      <c r="A25" s="21" t="s">
        <v>23</v>
      </c>
      <c r="B25" s="22"/>
      <c r="C25" s="23"/>
      <c r="D25" s="29">
        <f t="shared" ref="D25:AA25" si="0">SUM(D4:D11)-SUM(D12:D24)</f>
        <v>1400</v>
      </c>
      <c r="E25" s="22">
        <f t="shared" si="0"/>
        <v>0</v>
      </c>
      <c r="F25" s="37">
        <f t="shared" si="0"/>
        <v>0</v>
      </c>
      <c r="G25" s="24">
        <f t="shared" si="0"/>
        <v>650</v>
      </c>
      <c r="H25" s="33">
        <f t="shared" si="0"/>
        <v>1700</v>
      </c>
      <c r="I25" s="22">
        <f t="shared" si="0"/>
        <v>0</v>
      </c>
      <c r="J25" s="37">
        <f t="shared" si="0"/>
        <v>3000</v>
      </c>
      <c r="K25" s="24">
        <f t="shared" si="0"/>
        <v>261</v>
      </c>
      <c r="L25" s="37">
        <f t="shared" si="0"/>
        <v>1500</v>
      </c>
      <c r="M25" s="24">
        <f t="shared" si="0"/>
        <v>0</v>
      </c>
      <c r="N25" s="37">
        <f t="shared" si="0"/>
        <v>0</v>
      </c>
      <c r="O25" s="23">
        <f t="shared" si="0"/>
        <v>2646</v>
      </c>
      <c r="P25" s="29">
        <f t="shared" si="0"/>
        <v>607</v>
      </c>
      <c r="Q25" s="24">
        <f>SUM(Q4:Q11)-SUM(Q12:Q24)</f>
        <v>170</v>
      </c>
      <c r="R25" s="33">
        <f t="shared" si="0"/>
        <v>0</v>
      </c>
      <c r="S25" s="22">
        <f t="shared" si="0"/>
        <v>62</v>
      </c>
      <c r="T25" s="22">
        <f t="shared" si="0"/>
        <v>540</v>
      </c>
      <c r="U25" s="22">
        <f t="shared" si="0"/>
        <v>3</v>
      </c>
      <c r="V25" s="33">
        <f t="shared" si="0"/>
        <v>22</v>
      </c>
      <c r="W25" s="22">
        <f t="shared" si="0"/>
        <v>0</v>
      </c>
      <c r="X25" s="33">
        <f t="shared" si="0"/>
        <v>850</v>
      </c>
      <c r="Y25" s="22">
        <f t="shared" si="0"/>
        <v>219</v>
      </c>
      <c r="Z25" s="33">
        <f t="shared" si="0"/>
        <v>0</v>
      </c>
      <c r="AA25" s="25">
        <f t="shared" si="0"/>
        <v>0</v>
      </c>
    </row>
    <row r="27" spans="1:27" x14ac:dyDescent="0.25">
      <c r="D27">
        <f>D25*0.315</f>
        <v>441</v>
      </c>
      <c r="E27">
        <f>+E25*0.3</f>
        <v>0</v>
      </c>
      <c r="F27">
        <f>+F25*0.28</f>
        <v>0</v>
      </c>
      <c r="G27">
        <f>+G25*0.3</f>
        <v>195</v>
      </c>
      <c r="H27">
        <f>+H25*0.37</f>
        <v>629</v>
      </c>
      <c r="I27">
        <f>+I25*0.54</f>
        <v>0</v>
      </c>
      <c r="J27">
        <f>+J25*0.51</f>
        <v>1530</v>
      </c>
      <c r="K27" s="50">
        <f>+K25*0.756</f>
        <v>197.316</v>
      </c>
      <c r="L27">
        <f>+L25*0.61</f>
        <v>915</v>
      </c>
      <c r="M27">
        <f>+M25*0.66</f>
        <v>0</v>
      </c>
      <c r="N27">
        <f>+N25*0.64</f>
        <v>0</v>
      </c>
      <c r="O27">
        <f>+O25*0.525</f>
        <v>1389.15</v>
      </c>
      <c r="P27">
        <f>+P25*1.9515</f>
        <v>1184.5605</v>
      </c>
      <c r="Q27">
        <f>+Q25*1.7</f>
        <v>289</v>
      </c>
      <c r="R27">
        <f>+R25*1.89</f>
        <v>0</v>
      </c>
      <c r="S27">
        <f>+S25*1.73</f>
        <v>107.26</v>
      </c>
      <c r="T27">
        <f>+T25*1.85</f>
        <v>999</v>
      </c>
      <c r="U27">
        <f>+U25*2.18</f>
        <v>6.5400000000000009</v>
      </c>
      <c r="V27">
        <f>+V25*1.97</f>
        <v>43.339999999999996</v>
      </c>
      <c r="W27">
        <f>+W25*0.38</f>
        <v>0</v>
      </c>
      <c r="X27">
        <f>+X25*0.29</f>
        <v>246.49999999999997</v>
      </c>
      <c r="Y27" s="50">
        <f>+Y25*1.9</f>
        <v>416.09999999999997</v>
      </c>
      <c r="Z27">
        <f>+Z25*0.8</f>
        <v>0</v>
      </c>
      <c r="AA27">
        <f>+AA25*2</f>
        <v>0</v>
      </c>
    </row>
    <row r="29" spans="1:27" x14ac:dyDescent="0.25">
      <c r="K29" s="50"/>
      <c r="Y29" s="71"/>
      <c r="AA29" s="39">
        <f>SUM(D27:AA27)</f>
        <v>8588.7664999999997</v>
      </c>
    </row>
    <row r="34" spans="15:15" x14ac:dyDescent="0.25">
      <c r="O34" s="81"/>
    </row>
  </sheetData>
  <mergeCells count="7">
    <mergeCell ref="W2:X2"/>
    <mergeCell ref="A4:A11"/>
    <mergeCell ref="A12:A24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48CD-0211-4A80-90C1-3F6591EA746A}">
  <dimension ref="A1:AA34"/>
  <sheetViews>
    <sheetView view="pageBreakPreview"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37" sqref="N37:R46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8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13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22 a  28'!D25</f>
        <v>1400</v>
      </c>
      <c r="E4" s="42">
        <f>'STOCK 22 a  28'!E25</f>
        <v>0</v>
      </c>
      <c r="F4" s="42">
        <f>'STOCK 22 a  28'!F25</f>
        <v>0</v>
      </c>
      <c r="G4" s="42">
        <f>'STOCK 22 a  28'!G25</f>
        <v>650</v>
      </c>
      <c r="H4" s="42">
        <f>'STOCK 22 a  28'!H25</f>
        <v>1700</v>
      </c>
      <c r="I4" s="42">
        <f>'STOCK 22 a  28'!I25</f>
        <v>0</v>
      </c>
      <c r="J4" s="42">
        <f>'STOCK 22 a  28'!J25</f>
        <v>3000</v>
      </c>
      <c r="K4" s="42">
        <f>'STOCK 22 a  28'!K25</f>
        <v>261</v>
      </c>
      <c r="L4" s="42">
        <f>'STOCK 22 a  28'!L25</f>
        <v>1500</v>
      </c>
      <c r="M4" s="42">
        <f>'STOCK 22 a  28'!M25</f>
        <v>0</v>
      </c>
      <c r="N4" s="42">
        <f>'STOCK 22 a  28'!N25</f>
        <v>0</v>
      </c>
      <c r="O4" s="42">
        <f>'STOCK 22 a  28'!O25</f>
        <v>2646</v>
      </c>
      <c r="P4" s="42">
        <f>'STOCK 22 a  28'!P25</f>
        <v>607</v>
      </c>
      <c r="Q4" s="42">
        <f>'STOCK 22 a  28'!Q25</f>
        <v>170</v>
      </c>
      <c r="R4" s="42">
        <f>'STOCK 22 a  28'!R25</f>
        <v>0</v>
      </c>
      <c r="S4" s="42">
        <f>'STOCK 22 a  28'!S25</f>
        <v>62</v>
      </c>
      <c r="T4" s="42">
        <f>'STOCK 22 a  28'!T25</f>
        <v>540</v>
      </c>
      <c r="U4" s="42">
        <f>'STOCK 22 a  28'!U25</f>
        <v>3</v>
      </c>
      <c r="V4" s="42">
        <f>'STOCK 22 a  28'!V25</f>
        <v>22</v>
      </c>
      <c r="W4" s="42">
        <f>'STOCK 22 a  28'!W25</f>
        <v>0</v>
      </c>
      <c r="X4" s="42">
        <f>'STOCK 22 a  28'!X25</f>
        <v>850</v>
      </c>
      <c r="Y4" s="42">
        <f>'STOCK 22 a  28'!Y25</f>
        <v>219</v>
      </c>
      <c r="Z4" s="42">
        <f>'STOCK 22 a  28'!Z25</f>
        <v>0</v>
      </c>
      <c r="AA4" s="42">
        <f>'STOCK 22 a  28'!AA25</f>
        <v>0</v>
      </c>
    </row>
    <row r="5" spans="1:27" x14ac:dyDescent="0.25">
      <c r="A5" s="311"/>
      <c r="B5" s="20">
        <v>45566</v>
      </c>
      <c r="C5" s="14" t="s">
        <v>27</v>
      </c>
      <c r="D5" s="27"/>
      <c r="F5" s="35"/>
      <c r="H5" s="31"/>
      <c r="I5" s="13">
        <v>4000</v>
      </c>
      <c r="J5" s="35"/>
      <c r="L5" s="35"/>
      <c r="N5" s="35"/>
      <c r="O5" s="14"/>
      <c r="P5" s="27"/>
      <c r="R5" s="31"/>
      <c r="S5" s="13"/>
      <c r="V5" s="31"/>
      <c r="W5" s="13"/>
      <c r="X5" s="31"/>
      <c r="Z5" s="31"/>
      <c r="AA5" s="15"/>
    </row>
    <row r="6" spans="1:27" x14ac:dyDescent="0.25">
      <c r="A6" s="311"/>
      <c r="B6" s="20">
        <v>45566</v>
      </c>
      <c r="C6" s="14" t="s">
        <v>46</v>
      </c>
      <c r="D6" s="27"/>
      <c r="F6" s="35"/>
      <c r="H6" s="31"/>
      <c r="I6" s="13"/>
      <c r="J6" s="35"/>
      <c r="L6" s="35"/>
      <c r="N6" s="35"/>
      <c r="O6" s="14"/>
      <c r="P6" s="27"/>
      <c r="R6" s="31">
        <v>1300</v>
      </c>
      <c r="S6" s="13"/>
      <c r="V6" s="31"/>
      <c r="W6" s="13">
        <v>3000</v>
      </c>
      <c r="X6" s="31"/>
      <c r="Z6" s="31"/>
      <c r="AA6" s="15"/>
    </row>
    <row r="7" spans="1:27" x14ac:dyDescent="0.25">
      <c r="A7" s="311"/>
      <c r="B7" s="20"/>
      <c r="C7" s="14"/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V7" s="31"/>
      <c r="W7" s="13"/>
      <c r="X7" s="31"/>
      <c r="Z7" s="31"/>
      <c r="AA7" s="15"/>
    </row>
    <row r="8" spans="1:27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V9" s="31"/>
      <c r="W9" s="13"/>
      <c r="X9" s="31"/>
      <c r="Z9" s="31"/>
      <c r="AA9" s="15"/>
    </row>
    <row r="10" spans="1:27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/>
      <c r="AA10" s="15"/>
    </row>
    <row r="11" spans="1:27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32"/>
      <c r="S11" s="16"/>
      <c r="T11" s="18"/>
      <c r="U11" s="18"/>
      <c r="V11" s="32"/>
      <c r="W11" s="16"/>
      <c r="X11" s="32"/>
      <c r="Y11" s="18"/>
      <c r="Z11" s="32"/>
      <c r="AA11" s="19"/>
    </row>
    <row r="12" spans="1:27" x14ac:dyDescent="0.25">
      <c r="A12" s="310" t="s">
        <v>62</v>
      </c>
      <c r="B12" s="20">
        <v>45565</v>
      </c>
      <c r="C12" s="14" t="s">
        <v>22</v>
      </c>
      <c r="D12" s="27"/>
      <c r="F12" s="35"/>
      <c r="H12" s="31"/>
      <c r="I12" s="13"/>
      <c r="J12" s="35"/>
      <c r="L12" s="35"/>
      <c r="N12" s="35"/>
      <c r="O12" s="14">
        <v>10</v>
      </c>
      <c r="P12" s="27"/>
      <c r="R12" s="31"/>
      <c r="S12" s="13"/>
      <c r="V12" s="31"/>
      <c r="W12" s="13"/>
      <c r="X12" s="31">
        <v>20</v>
      </c>
      <c r="Z12" s="31"/>
      <c r="AA12" s="15"/>
    </row>
    <row r="13" spans="1:27" x14ac:dyDescent="0.25">
      <c r="A13" s="311"/>
      <c r="B13" s="20">
        <v>45567</v>
      </c>
      <c r="C13" s="14" t="s">
        <v>22</v>
      </c>
      <c r="D13" s="27"/>
      <c r="F13" s="35"/>
      <c r="H13" s="31">
        <v>1030</v>
      </c>
      <c r="I13" s="13"/>
      <c r="J13" s="35"/>
      <c r="L13" s="35"/>
      <c r="N13" s="35"/>
      <c r="O13" s="14"/>
      <c r="P13" s="27"/>
      <c r="Q13">
        <v>170</v>
      </c>
      <c r="R13" s="31"/>
      <c r="S13" s="13"/>
      <c r="V13" s="31"/>
      <c r="W13" s="13"/>
      <c r="X13" s="31"/>
      <c r="Z13" s="31"/>
      <c r="AA13" s="15"/>
    </row>
    <row r="14" spans="1:27" x14ac:dyDescent="0.25">
      <c r="A14" s="311"/>
      <c r="B14" s="20">
        <v>45568</v>
      </c>
      <c r="C14" s="14" t="s">
        <v>22</v>
      </c>
      <c r="D14" s="27"/>
      <c r="F14" s="35"/>
      <c r="H14" s="31"/>
      <c r="I14" s="13"/>
      <c r="J14" s="35">
        <v>1000</v>
      </c>
      <c r="L14" s="35"/>
      <c r="N14" s="35"/>
      <c r="O14" s="14"/>
      <c r="P14" s="27"/>
      <c r="R14" s="31"/>
      <c r="S14" s="13"/>
      <c r="V14" s="31"/>
      <c r="W14" s="13"/>
      <c r="X14" s="31"/>
      <c r="Z14" s="31"/>
      <c r="AA14" s="15"/>
    </row>
    <row r="15" spans="1:27" x14ac:dyDescent="0.25">
      <c r="A15" s="311"/>
      <c r="B15" s="20">
        <v>45569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/>
      <c r="R15" s="31"/>
      <c r="S15" s="13"/>
      <c r="V15" s="31"/>
      <c r="W15" s="13"/>
      <c r="X15" s="31"/>
      <c r="Y15">
        <v>200</v>
      </c>
      <c r="Z15" s="31"/>
      <c r="AA15" s="15"/>
    </row>
    <row r="16" spans="1:27" x14ac:dyDescent="0.25">
      <c r="A16" s="311"/>
      <c r="B16" s="20">
        <v>45570</v>
      </c>
      <c r="C16" s="14" t="s">
        <v>45</v>
      </c>
      <c r="D16" s="27"/>
      <c r="F16" s="35"/>
      <c r="H16" s="31"/>
      <c r="I16" s="13">
        <v>4000</v>
      </c>
      <c r="J16" s="35"/>
      <c r="L16" s="35"/>
      <c r="N16" s="35"/>
      <c r="O16" s="14"/>
      <c r="P16" s="27"/>
      <c r="R16" s="31"/>
      <c r="S16" s="13"/>
      <c r="V16" s="31"/>
      <c r="W16" s="13"/>
      <c r="X16" s="31"/>
      <c r="Z16" s="31"/>
      <c r="AA16" s="15"/>
    </row>
    <row r="17" spans="1:27" x14ac:dyDescent="0.25">
      <c r="A17" s="311"/>
      <c r="B17" s="20">
        <v>45570</v>
      </c>
      <c r="C17" s="14" t="s">
        <v>22</v>
      </c>
      <c r="D17" s="27">
        <v>200</v>
      </c>
      <c r="F17" s="35"/>
      <c r="H17" s="31"/>
      <c r="I17" s="13"/>
      <c r="J17" s="35"/>
      <c r="L17" s="35"/>
      <c r="N17" s="35"/>
      <c r="O17" s="14"/>
      <c r="P17" s="27"/>
      <c r="R17" s="31"/>
      <c r="S17" s="13"/>
      <c r="V17" s="31"/>
      <c r="W17" s="13"/>
      <c r="X17" s="31">
        <v>700</v>
      </c>
      <c r="Z17" s="31"/>
      <c r="AA17" s="15"/>
    </row>
    <row r="18" spans="1:27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V18" s="31"/>
      <c r="W18" s="13"/>
      <c r="X18" s="31"/>
      <c r="Z18" s="31"/>
      <c r="AA18" s="15"/>
    </row>
    <row r="19" spans="1:27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V19" s="31"/>
      <c r="W19" s="13"/>
      <c r="X19" s="31"/>
      <c r="Z19" s="31"/>
      <c r="AA19" s="15"/>
    </row>
    <row r="20" spans="1:27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V20" s="31"/>
      <c r="W20" s="13"/>
      <c r="X20" s="31"/>
      <c r="Z20" s="31"/>
      <c r="AA20" s="15"/>
    </row>
    <row r="21" spans="1:27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V21" s="31"/>
      <c r="W21" s="13"/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V24" s="31"/>
      <c r="W24" s="13"/>
      <c r="X24" s="31"/>
      <c r="Z24" s="31"/>
      <c r="AA24" s="15"/>
    </row>
    <row r="25" spans="1:27" ht="21.75" thickBot="1" x14ac:dyDescent="0.3">
      <c r="A25" s="21" t="s">
        <v>23</v>
      </c>
      <c r="B25" s="22"/>
      <c r="C25" s="23"/>
      <c r="D25" s="29">
        <f t="shared" ref="D25:AA25" si="0">SUM(D4:D11)-SUM(D12:D24)</f>
        <v>1200</v>
      </c>
      <c r="E25" s="22">
        <f t="shared" si="0"/>
        <v>0</v>
      </c>
      <c r="F25" s="37">
        <f t="shared" si="0"/>
        <v>0</v>
      </c>
      <c r="G25" s="24">
        <f t="shared" si="0"/>
        <v>650</v>
      </c>
      <c r="H25" s="33">
        <f t="shared" si="0"/>
        <v>670</v>
      </c>
      <c r="I25" s="22">
        <f t="shared" si="0"/>
        <v>0</v>
      </c>
      <c r="J25" s="37">
        <f t="shared" si="0"/>
        <v>2000</v>
      </c>
      <c r="K25" s="24">
        <f t="shared" si="0"/>
        <v>261</v>
      </c>
      <c r="L25" s="37">
        <f t="shared" si="0"/>
        <v>1500</v>
      </c>
      <c r="M25" s="24">
        <f t="shared" si="0"/>
        <v>0</v>
      </c>
      <c r="N25" s="37">
        <f t="shared" si="0"/>
        <v>0</v>
      </c>
      <c r="O25" s="23">
        <f t="shared" si="0"/>
        <v>2636</v>
      </c>
      <c r="P25" s="29">
        <f t="shared" si="0"/>
        <v>607</v>
      </c>
      <c r="Q25" s="24">
        <f>SUM(Q4:Q11)-SUM(Q12:Q24)</f>
        <v>0</v>
      </c>
      <c r="R25" s="33">
        <f t="shared" si="0"/>
        <v>1300</v>
      </c>
      <c r="S25" s="22">
        <f t="shared" si="0"/>
        <v>62</v>
      </c>
      <c r="T25" s="22">
        <f t="shared" si="0"/>
        <v>540</v>
      </c>
      <c r="U25" s="22">
        <f t="shared" si="0"/>
        <v>3</v>
      </c>
      <c r="V25" s="33">
        <f t="shared" si="0"/>
        <v>22</v>
      </c>
      <c r="W25" s="22">
        <f t="shared" si="0"/>
        <v>3000</v>
      </c>
      <c r="X25" s="33">
        <f t="shared" si="0"/>
        <v>130</v>
      </c>
      <c r="Y25" s="22">
        <f t="shared" si="0"/>
        <v>19</v>
      </c>
      <c r="Z25" s="33">
        <f t="shared" si="0"/>
        <v>0</v>
      </c>
      <c r="AA25" s="25">
        <f t="shared" si="0"/>
        <v>0</v>
      </c>
    </row>
    <row r="27" spans="1:27" x14ac:dyDescent="0.25">
      <c r="D27">
        <f>D25*0.315</f>
        <v>378</v>
      </c>
      <c r="E27">
        <f>+E25*0.3</f>
        <v>0</v>
      </c>
      <c r="F27">
        <f>+F25*0.28</f>
        <v>0</v>
      </c>
      <c r="G27">
        <f>+G25*0.3</f>
        <v>195</v>
      </c>
      <c r="H27">
        <f>+H25*0.37</f>
        <v>247.9</v>
      </c>
      <c r="I27">
        <f>+I25*0.5</f>
        <v>0</v>
      </c>
      <c r="J27">
        <f>+J25*0.51</f>
        <v>1020</v>
      </c>
      <c r="K27" s="50">
        <f>+K25*0.756</f>
        <v>197.316</v>
      </c>
      <c r="L27">
        <f>+L25*0.61</f>
        <v>915</v>
      </c>
      <c r="M27">
        <f>+M25*0.66</f>
        <v>0</v>
      </c>
      <c r="N27">
        <f>+N25*0.64</f>
        <v>0</v>
      </c>
      <c r="O27">
        <f>+O25*0.525</f>
        <v>1383.9</v>
      </c>
      <c r="P27">
        <f>+P25*1.9515</f>
        <v>1184.5605</v>
      </c>
      <c r="Q27">
        <f>+Q25*1.7</f>
        <v>0</v>
      </c>
      <c r="R27">
        <f>+R25*1.57</f>
        <v>2041</v>
      </c>
      <c r="S27">
        <f>+S25*1.73</f>
        <v>107.26</v>
      </c>
      <c r="T27">
        <f>+T25*1.85</f>
        <v>999</v>
      </c>
      <c r="U27">
        <f>+U25*2.18</f>
        <v>6.5400000000000009</v>
      </c>
      <c r="V27">
        <f>+V25*1.97</f>
        <v>43.339999999999996</v>
      </c>
      <c r="W27">
        <f>+W25*0.39</f>
        <v>1170</v>
      </c>
      <c r="X27">
        <f>+X25*0.29</f>
        <v>37.699999999999996</v>
      </c>
      <c r="Y27" s="50">
        <f>+Y25*1.9</f>
        <v>36.1</v>
      </c>
      <c r="Z27">
        <f>+Z25*0.8</f>
        <v>0</v>
      </c>
      <c r="AA27">
        <f>+AA25*2</f>
        <v>0</v>
      </c>
    </row>
    <row r="29" spans="1:27" x14ac:dyDescent="0.25">
      <c r="K29" s="50"/>
      <c r="Y29" s="71"/>
      <c r="AA29" s="39">
        <f>SUM(D27:AA27)</f>
        <v>9962.6165000000019</v>
      </c>
    </row>
    <row r="34" spans="15:15" x14ac:dyDescent="0.25">
      <c r="O34" s="81"/>
    </row>
  </sheetData>
  <mergeCells count="7">
    <mergeCell ref="W2:X2"/>
    <mergeCell ref="A4:A11"/>
    <mergeCell ref="A12:A24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5201-2EE1-4456-BE2A-3681EF40EE23}">
  <dimension ref="A1:AA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3" sqref="L13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8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13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29 a  05'!D25</f>
        <v>1200</v>
      </c>
      <c r="E4" s="42">
        <f>'STOCK 29 a  05'!E25</f>
        <v>0</v>
      </c>
      <c r="F4" s="42">
        <f>'STOCK 29 a  05'!F25</f>
        <v>0</v>
      </c>
      <c r="G4" s="42">
        <f>'STOCK 29 a  05'!G25</f>
        <v>650</v>
      </c>
      <c r="H4" s="42">
        <f>'STOCK 29 a  05'!H25</f>
        <v>670</v>
      </c>
      <c r="I4" s="42">
        <f>'STOCK 29 a  05'!I25</f>
        <v>0</v>
      </c>
      <c r="J4" s="42">
        <f>'STOCK 29 a  05'!J25</f>
        <v>2000</v>
      </c>
      <c r="K4" s="42">
        <f>'STOCK 29 a  05'!K25</f>
        <v>261</v>
      </c>
      <c r="L4" s="42">
        <f>'STOCK 29 a  05'!L25</f>
        <v>1500</v>
      </c>
      <c r="M4" s="42">
        <f>'STOCK 29 a  05'!M25</f>
        <v>0</v>
      </c>
      <c r="N4" s="42">
        <f>'STOCK 29 a  05'!N25</f>
        <v>0</v>
      </c>
      <c r="O4" s="42">
        <f>'STOCK 29 a  05'!O25</f>
        <v>2636</v>
      </c>
      <c r="P4" s="42">
        <f>'STOCK 29 a  05'!P25</f>
        <v>607</v>
      </c>
      <c r="Q4" s="42">
        <f>'STOCK 29 a  05'!Q25</f>
        <v>0</v>
      </c>
      <c r="R4" s="42">
        <f>'STOCK 29 a  05'!R25</f>
        <v>1300</v>
      </c>
      <c r="S4" s="42">
        <f>'STOCK 29 a  05'!S25</f>
        <v>62</v>
      </c>
      <c r="T4" s="42">
        <f>'STOCK 29 a  05'!T25</f>
        <v>540</v>
      </c>
      <c r="U4" s="42">
        <f>'STOCK 29 a  05'!U25</f>
        <v>3</v>
      </c>
      <c r="V4" s="42">
        <f>'STOCK 29 a  05'!V25</f>
        <v>22</v>
      </c>
      <c r="W4" s="42">
        <f>'STOCK 29 a  05'!W25</f>
        <v>3000</v>
      </c>
      <c r="X4" s="42">
        <f>'STOCK 29 a  05'!X25</f>
        <v>130</v>
      </c>
      <c r="Y4" s="42">
        <f>'STOCK 29 a  05'!Y25</f>
        <v>19</v>
      </c>
      <c r="Z4" s="42">
        <f>'STOCK 29 a  05'!Z25</f>
        <v>0</v>
      </c>
      <c r="AA4" s="42">
        <f>'STOCK 29 a  05'!AA25</f>
        <v>0</v>
      </c>
    </row>
    <row r="5" spans="1:27" x14ac:dyDescent="0.25">
      <c r="A5" s="311"/>
      <c r="B5" s="20"/>
      <c r="C5" s="14"/>
      <c r="D5" s="27"/>
      <c r="F5" s="35"/>
      <c r="H5" s="31"/>
      <c r="I5" s="13"/>
      <c r="J5" s="35"/>
      <c r="L5" s="35"/>
      <c r="N5" s="35"/>
      <c r="O5" s="14"/>
      <c r="P5" s="27"/>
      <c r="R5" s="31"/>
      <c r="S5" s="13"/>
      <c r="V5" s="31"/>
      <c r="W5" s="13"/>
      <c r="X5" s="31"/>
      <c r="Z5" s="31"/>
      <c r="AA5" s="15"/>
    </row>
    <row r="6" spans="1:27" x14ac:dyDescent="0.25">
      <c r="A6" s="311"/>
      <c r="B6" s="20">
        <v>45573</v>
      </c>
      <c r="C6" s="14" t="s">
        <v>72</v>
      </c>
      <c r="D6" s="27"/>
      <c r="F6" s="35"/>
      <c r="H6" s="31"/>
      <c r="I6" s="13"/>
      <c r="J6" s="35"/>
      <c r="L6" s="35"/>
      <c r="N6" s="35"/>
      <c r="O6" s="14"/>
      <c r="P6" s="27"/>
      <c r="R6" s="31"/>
      <c r="S6" s="13"/>
      <c r="V6" s="31"/>
      <c r="W6" s="13"/>
      <c r="X6" s="31">
        <v>1500</v>
      </c>
      <c r="Z6" s="31"/>
      <c r="AA6" s="15"/>
    </row>
    <row r="7" spans="1:27" x14ac:dyDescent="0.25">
      <c r="A7" s="311"/>
      <c r="B7" s="20">
        <v>45575</v>
      </c>
      <c r="C7" s="14" t="s">
        <v>46</v>
      </c>
      <c r="D7" s="27"/>
      <c r="F7" s="35"/>
      <c r="G7">
        <v>8000</v>
      </c>
      <c r="H7" s="31"/>
      <c r="I7" s="13"/>
      <c r="J7" s="35"/>
      <c r="L7" s="35"/>
      <c r="N7" s="35"/>
      <c r="O7" s="14"/>
      <c r="P7" s="27"/>
      <c r="R7" s="31"/>
      <c r="S7" s="13"/>
      <c r="V7" s="31"/>
      <c r="W7" s="13"/>
      <c r="X7" s="31"/>
      <c r="Z7" s="31"/>
      <c r="AA7" s="15"/>
    </row>
    <row r="8" spans="1:27" x14ac:dyDescent="0.25">
      <c r="A8" s="311"/>
      <c r="B8" s="20">
        <v>45576</v>
      </c>
      <c r="C8" s="14" t="s">
        <v>46</v>
      </c>
      <c r="D8" s="27">
        <v>2000</v>
      </c>
      <c r="F8" s="35"/>
      <c r="H8" s="31"/>
      <c r="I8" s="13"/>
      <c r="J8" s="35"/>
      <c r="L8" s="35"/>
      <c r="N8" s="35"/>
      <c r="O8" s="14"/>
      <c r="P8" s="27"/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>
        <v>45577</v>
      </c>
      <c r="C9" s="14" t="s">
        <v>46</v>
      </c>
      <c r="D9" s="27"/>
      <c r="F9" s="35"/>
      <c r="H9" s="31"/>
      <c r="I9" s="13"/>
      <c r="J9" s="35"/>
      <c r="L9" s="35"/>
      <c r="N9" s="35"/>
      <c r="O9" s="14"/>
      <c r="P9" s="27"/>
      <c r="R9" s="31"/>
      <c r="S9" s="13">
        <v>1200</v>
      </c>
      <c r="V9" s="31"/>
      <c r="W9" s="13"/>
      <c r="X9" s="31"/>
      <c r="Z9" s="31"/>
      <c r="AA9" s="15"/>
    </row>
    <row r="10" spans="1:27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/>
      <c r="AA10" s="15"/>
    </row>
    <row r="11" spans="1:27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32"/>
      <c r="S11" s="16"/>
      <c r="T11" s="18"/>
      <c r="U11" s="18"/>
      <c r="V11" s="32"/>
      <c r="W11" s="16"/>
      <c r="X11" s="32"/>
      <c r="Y11" s="18"/>
      <c r="Z11" s="32"/>
      <c r="AA11" s="19"/>
    </row>
    <row r="12" spans="1:27" x14ac:dyDescent="0.25">
      <c r="A12" s="310" t="s">
        <v>62</v>
      </c>
      <c r="B12" s="20">
        <v>45572</v>
      </c>
      <c r="C12" s="14" t="s">
        <v>22</v>
      </c>
      <c r="D12" s="27">
        <v>100</v>
      </c>
      <c r="F12" s="35"/>
      <c r="H12" s="31"/>
      <c r="I12" s="13"/>
      <c r="J12" s="35"/>
      <c r="L12" s="35"/>
      <c r="N12" s="35"/>
      <c r="O12" s="14"/>
      <c r="P12" s="27"/>
      <c r="R12" s="31"/>
      <c r="S12" s="13"/>
      <c r="V12" s="31"/>
      <c r="W12" s="13"/>
      <c r="X12" s="31"/>
      <c r="Z12" s="31"/>
      <c r="AA12" s="15"/>
    </row>
    <row r="13" spans="1:27" x14ac:dyDescent="0.25">
      <c r="A13" s="311"/>
      <c r="B13" s="20">
        <v>45573</v>
      </c>
      <c r="C13" s="14" t="s">
        <v>22</v>
      </c>
      <c r="D13" s="27"/>
      <c r="F13" s="35"/>
      <c r="H13" s="31"/>
      <c r="I13" s="13"/>
      <c r="J13" s="35"/>
      <c r="L13" s="35">
        <f>200+300</f>
        <v>500</v>
      </c>
      <c r="N13" s="35"/>
      <c r="O13" s="14"/>
      <c r="P13" s="27"/>
      <c r="R13" s="31"/>
      <c r="S13" s="13"/>
      <c r="V13" s="31"/>
      <c r="W13" s="13">
        <v>100</v>
      </c>
      <c r="X13" s="31"/>
      <c r="Z13" s="31"/>
      <c r="AA13" s="15"/>
    </row>
    <row r="14" spans="1:27" x14ac:dyDescent="0.25">
      <c r="A14" s="311"/>
      <c r="B14" s="20">
        <v>45574</v>
      </c>
      <c r="C14" s="14" t="s">
        <v>22</v>
      </c>
      <c r="D14" s="27">
        <f>150+940</f>
        <v>1090</v>
      </c>
      <c r="F14" s="35"/>
      <c r="G14">
        <v>500</v>
      </c>
      <c r="H14" s="31"/>
      <c r="I14" s="13"/>
      <c r="J14" s="35"/>
      <c r="L14" s="35"/>
      <c r="N14" s="35"/>
      <c r="O14" s="14"/>
      <c r="P14" s="27"/>
      <c r="R14" s="31">
        <v>270</v>
      </c>
      <c r="S14" s="13"/>
      <c r="T14">
        <v>300</v>
      </c>
      <c r="V14" s="31"/>
      <c r="W14" s="13">
        <v>1000</v>
      </c>
      <c r="X14" s="31"/>
      <c r="Z14" s="31"/>
      <c r="AA14" s="15"/>
    </row>
    <row r="15" spans="1:27" x14ac:dyDescent="0.25">
      <c r="A15" s="311"/>
      <c r="B15" s="20">
        <v>45576</v>
      </c>
      <c r="C15" s="14" t="s">
        <v>22</v>
      </c>
      <c r="D15" s="27">
        <v>640</v>
      </c>
      <c r="F15" s="35"/>
      <c r="H15" s="31">
        <v>670</v>
      </c>
      <c r="I15" s="13"/>
      <c r="J15" s="35"/>
      <c r="L15" s="35"/>
      <c r="N15" s="35"/>
      <c r="O15" s="14">
        <f>1000+1500</f>
        <v>2500</v>
      </c>
      <c r="P15" s="27"/>
      <c r="R15" s="31"/>
      <c r="S15" s="13"/>
      <c r="V15" s="31"/>
      <c r="W15" s="13"/>
      <c r="X15" s="31">
        <v>200</v>
      </c>
      <c r="Z15" s="31"/>
      <c r="AA15" s="15"/>
    </row>
    <row r="16" spans="1:27" x14ac:dyDescent="0.25">
      <c r="A16" s="311"/>
      <c r="B16" s="20">
        <v>45577</v>
      </c>
      <c r="C16" s="14" t="s">
        <v>22</v>
      </c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>
        <v>400</v>
      </c>
      <c r="V16" s="31"/>
      <c r="W16" s="13"/>
      <c r="X16" s="31"/>
      <c r="Z16" s="31"/>
      <c r="AA16" s="15"/>
    </row>
    <row r="17" spans="1:27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V17" s="31"/>
      <c r="W17" s="13"/>
      <c r="X17" s="31"/>
      <c r="Z17" s="31"/>
      <c r="AA17" s="15"/>
    </row>
    <row r="18" spans="1:27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V18" s="31"/>
      <c r="W18" s="13"/>
      <c r="X18" s="31"/>
      <c r="Z18" s="31"/>
      <c r="AA18" s="15"/>
    </row>
    <row r="19" spans="1:27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V19" s="31"/>
      <c r="W19" s="13"/>
      <c r="X19" s="31"/>
      <c r="Z19" s="31"/>
      <c r="AA19" s="15"/>
    </row>
    <row r="20" spans="1:27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V20" s="31"/>
      <c r="W20" s="13"/>
      <c r="X20" s="31"/>
      <c r="Z20" s="31"/>
      <c r="AA20" s="15"/>
    </row>
    <row r="21" spans="1:27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V21" s="31"/>
      <c r="W21" s="13"/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V24" s="31"/>
      <c r="W24" s="13"/>
      <c r="X24" s="31"/>
      <c r="Z24" s="31"/>
      <c r="AA24" s="15"/>
    </row>
    <row r="25" spans="1:27" ht="21.75" thickBot="1" x14ac:dyDescent="0.3">
      <c r="A25" s="21" t="s">
        <v>23</v>
      </c>
      <c r="B25" s="22"/>
      <c r="C25" s="23"/>
      <c r="D25" s="29">
        <f t="shared" ref="D25:AA25" si="0">SUM(D4:D11)-SUM(D12:D24)</f>
        <v>1370</v>
      </c>
      <c r="E25" s="22">
        <f t="shared" si="0"/>
        <v>0</v>
      </c>
      <c r="F25" s="37">
        <f t="shared" si="0"/>
        <v>0</v>
      </c>
      <c r="G25" s="24">
        <f t="shared" si="0"/>
        <v>8150</v>
      </c>
      <c r="H25" s="33">
        <f t="shared" si="0"/>
        <v>0</v>
      </c>
      <c r="I25" s="22">
        <f t="shared" si="0"/>
        <v>0</v>
      </c>
      <c r="J25" s="37">
        <f t="shared" si="0"/>
        <v>2000</v>
      </c>
      <c r="K25" s="24">
        <f>SUM(K4:K11)-SUM(K12:K24)</f>
        <v>261</v>
      </c>
      <c r="L25" s="37">
        <f t="shared" si="0"/>
        <v>1000</v>
      </c>
      <c r="M25" s="24">
        <f t="shared" si="0"/>
        <v>0</v>
      </c>
      <c r="N25" s="37">
        <f t="shared" si="0"/>
        <v>0</v>
      </c>
      <c r="O25" s="23">
        <f t="shared" si="0"/>
        <v>136</v>
      </c>
      <c r="P25" s="29">
        <f t="shared" si="0"/>
        <v>607</v>
      </c>
      <c r="Q25" s="24">
        <f>SUM(Q4:Q11)-SUM(Q12:Q24)</f>
        <v>0</v>
      </c>
      <c r="R25" s="33">
        <f t="shared" si="0"/>
        <v>1030</v>
      </c>
      <c r="S25" s="22">
        <f t="shared" si="0"/>
        <v>862</v>
      </c>
      <c r="T25" s="22">
        <f t="shared" si="0"/>
        <v>240</v>
      </c>
      <c r="U25" s="22">
        <f t="shared" si="0"/>
        <v>3</v>
      </c>
      <c r="V25" s="33">
        <f t="shared" si="0"/>
        <v>22</v>
      </c>
      <c r="W25" s="22">
        <f t="shared" si="0"/>
        <v>1900</v>
      </c>
      <c r="X25" s="33">
        <f t="shared" si="0"/>
        <v>1430</v>
      </c>
      <c r="Y25" s="22">
        <f t="shared" si="0"/>
        <v>19</v>
      </c>
      <c r="Z25" s="33">
        <f t="shared" si="0"/>
        <v>0</v>
      </c>
      <c r="AA25" s="25">
        <f t="shared" si="0"/>
        <v>0</v>
      </c>
    </row>
    <row r="27" spans="1:27" x14ac:dyDescent="0.25">
      <c r="D27">
        <f>D25*0.33</f>
        <v>452.1</v>
      </c>
      <c r="E27">
        <f>+E25*0.3</f>
        <v>0</v>
      </c>
      <c r="F27">
        <f>+F25*0.28</f>
        <v>0</v>
      </c>
      <c r="G27">
        <f>+G25*0.34-(150*0.04)</f>
        <v>2765</v>
      </c>
      <c r="H27">
        <f>+H25*0.37</f>
        <v>0</v>
      </c>
      <c r="I27">
        <f>+I25*0.5</f>
        <v>0</v>
      </c>
      <c r="J27">
        <f>+J25*0.51</f>
        <v>1020</v>
      </c>
      <c r="K27" s="50">
        <f>+K25*0.756</f>
        <v>197.316</v>
      </c>
      <c r="L27">
        <f>+L25*0.61</f>
        <v>610</v>
      </c>
      <c r="M27">
        <f>+M25*0.66</f>
        <v>0</v>
      </c>
      <c r="N27">
        <f>+N25*0.64</f>
        <v>0</v>
      </c>
      <c r="O27">
        <f>+O25*0.525</f>
        <v>71.400000000000006</v>
      </c>
      <c r="P27">
        <f>+P25*1.9515</f>
        <v>1184.5605</v>
      </c>
      <c r="Q27">
        <f>+Q25*1.7</f>
        <v>0</v>
      </c>
      <c r="R27">
        <f>+R25*1.57</f>
        <v>1617.1000000000001</v>
      </c>
      <c r="S27">
        <f>+S25*1.82</f>
        <v>1568.8400000000001</v>
      </c>
      <c r="T27">
        <f>+T25*1.85</f>
        <v>444</v>
      </c>
      <c r="U27">
        <f>+U25*2.18</f>
        <v>6.5400000000000009</v>
      </c>
      <c r="V27">
        <f>+V25*1.97</f>
        <v>43.339999999999996</v>
      </c>
      <c r="W27">
        <f>+W25*0.39</f>
        <v>741</v>
      </c>
      <c r="X27">
        <f>+X25*0.29</f>
        <v>414.7</v>
      </c>
      <c r="Y27" s="50">
        <f>+Y25*1.9</f>
        <v>36.1</v>
      </c>
      <c r="Z27">
        <f>+Z25*0.8</f>
        <v>0</v>
      </c>
      <c r="AA27">
        <f>+AA25*2</f>
        <v>0</v>
      </c>
    </row>
    <row r="29" spans="1:27" x14ac:dyDescent="0.25">
      <c r="K29" s="50"/>
      <c r="Y29" s="71"/>
      <c r="AA29" s="39">
        <f>SUM(D27:AA27)</f>
        <v>11171.996500000003</v>
      </c>
    </row>
    <row r="34" spans="15:15" x14ac:dyDescent="0.25">
      <c r="O34" s="81"/>
    </row>
  </sheetData>
  <mergeCells count="7">
    <mergeCell ref="W2:X2"/>
    <mergeCell ref="A4:A11"/>
    <mergeCell ref="A12:A24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B693-0F00-4AD3-8ADB-61F335C1B7E8}">
  <dimension ref="A1:AA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6" sqref="K6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8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13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06 a  12'!D25</f>
        <v>1370</v>
      </c>
      <c r="E4" s="42">
        <f>'STOCK 06 a  12'!E25</f>
        <v>0</v>
      </c>
      <c r="F4" s="42">
        <f>'STOCK 06 a  12'!F25</f>
        <v>0</v>
      </c>
      <c r="G4" s="42">
        <f>'STOCK 06 a  12'!G25</f>
        <v>8150</v>
      </c>
      <c r="H4" s="42">
        <f>'STOCK 06 a  12'!H25</f>
        <v>0</v>
      </c>
      <c r="I4" s="42">
        <f>'STOCK 06 a  12'!I25</f>
        <v>0</v>
      </c>
      <c r="J4" s="42">
        <f>'STOCK 06 a  12'!J25</f>
        <v>2000</v>
      </c>
      <c r="K4" s="42">
        <f>'STOCK 06 a  12'!K25</f>
        <v>261</v>
      </c>
      <c r="L4" s="42">
        <f>'STOCK 06 a  12'!L25</f>
        <v>1000</v>
      </c>
      <c r="M4" s="42">
        <f>'STOCK 06 a  12'!M25</f>
        <v>0</v>
      </c>
      <c r="N4" s="42">
        <f>'STOCK 06 a  12'!N25</f>
        <v>0</v>
      </c>
      <c r="O4" s="42">
        <f>'STOCK 06 a  12'!O25</f>
        <v>136</v>
      </c>
      <c r="P4" s="42">
        <f>'STOCK 06 a  12'!P25</f>
        <v>607</v>
      </c>
      <c r="Q4" s="42">
        <f>'STOCK 06 a  12'!Q25</f>
        <v>0</v>
      </c>
      <c r="R4" s="42">
        <f>'STOCK 06 a  12'!R25</f>
        <v>1030</v>
      </c>
      <c r="S4" s="42">
        <f>'STOCK 06 a  12'!S25</f>
        <v>862</v>
      </c>
      <c r="T4" s="42">
        <f>'STOCK 06 a  12'!T25</f>
        <v>240</v>
      </c>
      <c r="U4" s="42">
        <f>'STOCK 06 a  12'!U25</f>
        <v>3</v>
      </c>
      <c r="V4" s="42">
        <f>'STOCK 06 a  12'!V25</f>
        <v>22</v>
      </c>
      <c r="W4" s="42">
        <f>'STOCK 06 a  12'!W25</f>
        <v>1900</v>
      </c>
      <c r="X4" s="42">
        <f>'STOCK 06 a  12'!X25</f>
        <v>1430</v>
      </c>
      <c r="Y4" s="42">
        <f>'STOCK 06 a  12'!Y25</f>
        <v>19</v>
      </c>
      <c r="Z4" s="42">
        <f>'STOCK 06 a  12'!Z25</f>
        <v>0</v>
      </c>
      <c r="AA4" s="42">
        <f>'STOCK 06 a  12'!AA25</f>
        <v>0</v>
      </c>
    </row>
    <row r="5" spans="1:27" x14ac:dyDescent="0.25">
      <c r="A5" s="311"/>
      <c r="B5" s="20">
        <v>45580</v>
      </c>
      <c r="C5" s="14" t="s">
        <v>27</v>
      </c>
      <c r="D5" s="27">
        <v>2500</v>
      </c>
      <c r="F5" s="35"/>
      <c r="H5" s="31"/>
      <c r="I5" s="13"/>
      <c r="J5" s="35"/>
      <c r="L5" s="35"/>
      <c r="N5" s="35"/>
      <c r="O5" s="14"/>
      <c r="P5" s="27"/>
      <c r="R5" s="31"/>
      <c r="S5" s="13"/>
      <c r="V5" s="31"/>
      <c r="W5" s="13"/>
      <c r="X5" s="31"/>
      <c r="Z5" s="31"/>
      <c r="AA5" s="15"/>
    </row>
    <row r="6" spans="1:27" x14ac:dyDescent="0.25">
      <c r="A6" s="311"/>
      <c r="B6" s="20">
        <v>45580</v>
      </c>
      <c r="C6" s="14" t="s">
        <v>46</v>
      </c>
      <c r="D6" s="27"/>
      <c r="F6" s="35"/>
      <c r="H6" s="31"/>
      <c r="I6" s="13"/>
      <c r="J6" s="35"/>
      <c r="K6">
        <v>900</v>
      </c>
      <c r="L6" s="35"/>
      <c r="N6" s="35"/>
      <c r="O6" s="14"/>
      <c r="P6" s="27"/>
      <c r="R6" s="31"/>
      <c r="S6" s="13"/>
      <c r="V6" s="31"/>
      <c r="W6" s="13"/>
      <c r="X6" s="31"/>
      <c r="Z6" s="31"/>
      <c r="AA6" s="15"/>
    </row>
    <row r="7" spans="1:27" x14ac:dyDescent="0.25">
      <c r="A7" s="311"/>
      <c r="B7" s="20">
        <v>45581</v>
      </c>
      <c r="C7" s="14" t="s">
        <v>27</v>
      </c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V7" s="31"/>
      <c r="W7" s="13">
        <v>3000</v>
      </c>
      <c r="X7" s="31"/>
      <c r="Z7" s="31"/>
      <c r="AA7" s="15"/>
    </row>
    <row r="8" spans="1:27" x14ac:dyDescent="0.25">
      <c r="A8" s="311"/>
      <c r="B8" s="20">
        <v>45582</v>
      </c>
      <c r="C8" s="14" t="s">
        <v>46</v>
      </c>
      <c r="D8" s="27">
        <v>6000</v>
      </c>
      <c r="F8" s="35"/>
      <c r="H8" s="31"/>
      <c r="I8" s="13"/>
      <c r="J8" s="35"/>
      <c r="L8" s="35"/>
      <c r="N8" s="35"/>
      <c r="O8" s="14"/>
      <c r="P8" s="27"/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>
        <v>45584</v>
      </c>
      <c r="C9" s="14" t="s">
        <v>27</v>
      </c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V9" s="31"/>
      <c r="W9" s="13">
        <v>3000</v>
      </c>
      <c r="X9" s="31"/>
      <c r="Z9" s="31"/>
      <c r="AA9" s="15"/>
    </row>
    <row r="10" spans="1:27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/>
      <c r="AA10" s="15"/>
    </row>
    <row r="11" spans="1:27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32"/>
      <c r="S11" s="16"/>
      <c r="T11" s="18"/>
      <c r="U11" s="18"/>
      <c r="V11" s="32"/>
      <c r="W11" s="16"/>
      <c r="X11" s="32"/>
      <c r="Y11" s="18"/>
      <c r="Z11" s="32"/>
      <c r="AA11" s="19"/>
    </row>
    <row r="12" spans="1:27" x14ac:dyDescent="0.25">
      <c r="A12" s="310" t="s">
        <v>62</v>
      </c>
      <c r="B12" s="20"/>
      <c r="C12" s="14" t="s">
        <v>73</v>
      </c>
      <c r="D12" s="27"/>
      <c r="F12" s="35"/>
      <c r="H12" s="31"/>
      <c r="I12" s="13"/>
      <c r="J12" s="35"/>
      <c r="L12" s="35"/>
      <c r="N12" s="35"/>
      <c r="O12" s="14"/>
      <c r="P12" s="27"/>
      <c r="R12" s="31"/>
      <c r="S12" s="13"/>
      <c r="V12" s="31"/>
      <c r="W12" s="13"/>
      <c r="X12" s="31"/>
      <c r="Z12" s="31"/>
      <c r="AA12" s="15"/>
    </row>
    <row r="13" spans="1:27" x14ac:dyDescent="0.25">
      <c r="A13" s="311"/>
      <c r="B13" s="20">
        <v>45579</v>
      </c>
      <c r="C13" s="14" t="s">
        <v>22</v>
      </c>
      <c r="D13" s="27"/>
      <c r="F13" s="35"/>
      <c r="H13" s="31"/>
      <c r="I13" s="13"/>
      <c r="J13" s="35"/>
      <c r="L13" s="35"/>
      <c r="N13" s="35"/>
      <c r="O13" s="14"/>
      <c r="P13" s="27"/>
      <c r="R13" s="31"/>
      <c r="S13" s="13">
        <v>350</v>
      </c>
      <c r="V13" s="31"/>
      <c r="W13" s="13">
        <v>500</v>
      </c>
      <c r="X13" s="31">
        <v>500</v>
      </c>
      <c r="Z13" s="31"/>
      <c r="AA13" s="15"/>
    </row>
    <row r="14" spans="1:27" x14ac:dyDescent="0.25">
      <c r="A14" s="311"/>
      <c r="B14" s="20">
        <v>45580</v>
      </c>
      <c r="C14" s="14" t="s">
        <v>22</v>
      </c>
      <c r="D14" s="27"/>
      <c r="F14" s="35"/>
      <c r="G14">
        <v>100</v>
      </c>
      <c r="H14" s="31"/>
      <c r="I14" s="13"/>
      <c r="J14" s="35"/>
      <c r="L14" s="35"/>
      <c r="N14" s="35"/>
      <c r="O14" s="14"/>
      <c r="P14" s="27"/>
      <c r="R14" s="31"/>
      <c r="S14" s="13"/>
      <c r="V14" s="31"/>
      <c r="W14" s="13">
        <v>1000</v>
      </c>
      <c r="X14" s="31">
        <v>200</v>
      </c>
      <c r="Z14" s="31"/>
      <c r="AA14" s="15"/>
    </row>
    <row r="15" spans="1:27" x14ac:dyDescent="0.25">
      <c r="A15" s="311"/>
      <c r="B15" s="20">
        <v>45581</v>
      </c>
      <c r="C15" s="14" t="s">
        <v>22</v>
      </c>
      <c r="D15" s="27"/>
      <c r="F15" s="35"/>
      <c r="H15" s="31"/>
      <c r="I15" s="13"/>
      <c r="J15" s="35">
        <v>200</v>
      </c>
      <c r="K15">
        <v>400</v>
      </c>
      <c r="L15" s="35"/>
      <c r="N15" s="35"/>
      <c r="O15" s="14"/>
      <c r="P15" s="27">
        <v>600</v>
      </c>
      <c r="R15" s="31"/>
      <c r="S15" s="13"/>
      <c r="V15" s="31"/>
      <c r="W15" s="13"/>
      <c r="X15" s="31"/>
      <c r="Z15" s="31"/>
      <c r="AA15" s="15"/>
    </row>
    <row r="16" spans="1:27" x14ac:dyDescent="0.25">
      <c r="A16" s="311"/>
      <c r="B16" s="20">
        <v>45582</v>
      </c>
      <c r="C16" s="14" t="s">
        <v>22</v>
      </c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V16" s="31"/>
      <c r="W16" s="13">
        <v>500</v>
      </c>
      <c r="X16" s="31"/>
      <c r="Z16" s="31"/>
      <c r="AA16" s="15"/>
    </row>
    <row r="17" spans="1:27" x14ac:dyDescent="0.25">
      <c r="A17" s="311"/>
      <c r="B17" s="20">
        <v>45583</v>
      </c>
      <c r="C17" s="14" t="s">
        <v>22</v>
      </c>
      <c r="D17" s="27">
        <v>200</v>
      </c>
      <c r="F17" s="35"/>
      <c r="H17" s="31"/>
      <c r="I17" s="13"/>
      <c r="J17" s="35"/>
      <c r="L17" s="35"/>
      <c r="N17" s="35"/>
      <c r="O17" s="14"/>
      <c r="P17" s="27"/>
      <c r="R17" s="31"/>
      <c r="S17" s="13"/>
      <c r="V17" s="31"/>
      <c r="W17" s="13"/>
      <c r="X17" s="31"/>
      <c r="Z17" s="31"/>
      <c r="AA17" s="15"/>
    </row>
    <row r="18" spans="1:27" x14ac:dyDescent="0.25">
      <c r="A18" s="311"/>
      <c r="B18" s="20">
        <v>45584</v>
      </c>
      <c r="C18" s="14" t="s">
        <v>22</v>
      </c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V18" s="31"/>
      <c r="W18" s="13">
        <v>1000</v>
      </c>
      <c r="X18" s="31">
        <v>7</v>
      </c>
      <c r="Z18" s="31"/>
      <c r="AA18" s="15"/>
    </row>
    <row r="19" spans="1:27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V19" s="31"/>
      <c r="W19" s="13"/>
      <c r="X19" s="31"/>
      <c r="Z19" s="31"/>
      <c r="AA19" s="15"/>
    </row>
    <row r="20" spans="1:27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V20" s="31"/>
      <c r="W20" s="13"/>
      <c r="X20" s="31"/>
      <c r="Z20" s="31"/>
      <c r="AA20" s="15"/>
    </row>
    <row r="21" spans="1:27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V21" s="31"/>
      <c r="W21" s="13"/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V24" s="31"/>
      <c r="W24" s="13"/>
      <c r="X24" s="31"/>
      <c r="Z24" s="31"/>
      <c r="AA24" s="15"/>
    </row>
    <row r="25" spans="1:27" ht="21.75" thickBot="1" x14ac:dyDescent="0.3">
      <c r="A25" s="21" t="s">
        <v>23</v>
      </c>
      <c r="B25" s="22"/>
      <c r="C25" s="23"/>
      <c r="D25" s="29">
        <f t="shared" ref="D25:AA25" si="0">SUM(D4:D11)-SUM(D12:D24)</f>
        <v>9670</v>
      </c>
      <c r="E25" s="22">
        <f t="shared" si="0"/>
        <v>0</v>
      </c>
      <c r="F25" s="37">
        <f t="shared" si="0"/>
        <v>0</v>
      </c>
      <c r="G25" s="24">
        <f t="shared" si="0"/>
        <v>8050</v>
      </c>
      <c r="H25" s="33">
        <f t="shared" si="0"/>
        <v>0</v>
      </c>
      <c r="I25" s="22">
        <f t="shared" si="0"/>
        <v>0</v>
      </c>
      <c r="J25" s="37">
        <f t="shared" si="0"/>
        <v>1800</v>
      </c>
      <c r="K25" s="24">
        <f>SUM(K4:K11)-SUM(K12:K24)</f>
        <v>761</v>
      </c>
      <c r="L25" s="37">
        <f t="shared" si="0"/>
        <v>1000</v>
      </c>
      <c r="M25" s="24">
        <f t="shared" si="0"/>
        <v>0</v>
      </c>
      <c r="N25" s="37">
        <f t="shared" si="0"/>
        <v>0</v>
      </c>
      <c r="O25" s="23">
        <f t="shared" si="0"/>
        <v>136</v>
      </c>
      <c r="P25" s="29">
        <f t="shared" si="0"/>
        <v>7</v>
      </c>
      <c r="Q25" s="24">
        <f>SUM(Q4:Q11)-SUM(Q12:Q24)</f>
        <v>0</v>
      </c>
      <c r="R25" s="33">
        <f t="shared" si="0"/>
        <v>1030</v>
      </c>
      <c r="S25" s="22">
        <f t="shared" si="0"/>
        <v>512</v>
      </c>
      <c r="T25" s="22">
        <f t="shared" si="0"/>
        <v>240</v>
      </c>
      <c r="U25" s="22">
        <f t="shared" si="0"/>
        <v>3</v>
      </c>
      <c r="V25" s="33">
        <f t="shared" si="0"/>
        <v>22</v>
      </c>
      <c r="W25" s="22">
        <f t="shared" si="0"/>
        <v>4900</v>
      </c>
      <c r="X25" s="33">
        <f t="shared" si="0"/>
        <v>723</v>
      </c>
      <c r="Y25" s="22">
        <f t="shared" si="0"/>
        <v>19</v>
      </c>
      <c r="Z25" s="33">
        <f t="shared" si="0"/>
        <v>0</v>
      </c>
      <c r="AA25" s="25">
        <f t="shared" si="0"/>
        <v>0</v>
      </c>
    </row>
    <row r="27" spans="1:27" x14ac:dyDescent="0.25">
      <c r="D27">
        <f>D25*0.33</f>
        <v>3191.1000000000004</v>
      </c>
      <c r="E27">
        <f>+E25*0.3</f>
        <v>0</v>
      </c>
      <c r="F27">
        <f>+F25*0.28</f>
        <v>0</v>
      </c>
      <c r="G27">
        <f>+G25*0.34-(50*0.04)</f>
        <v>2735</v>
      </c>
      <c r="H27">
        <f>+H25*0.37</f>
        <v>0</v>
      </c>
      <c r="I27">
        <f>+I25*0.5</f>
        <v>0</v>
      </c>
      <c r="J27">
        <f>+J25*0.51</f>
        <v>918</v>
      </c>
      <c r="K27" s="50">
        <f>+K25*0.82-(261*0.06398)</f>
        <v>607.32122000000004</v>
      </c>
      <c r="L27">
        <f>+L25*0.61</f>
        <v>610</v>
      </c>
      <c r="M27">
        <f>+M25*0.66</f>
        <v>0</v>
      </c>
      <c r="N27">
        <f>+N25*0.64</f>
        <v>0</v>
      </c>
      <c r="O27">
        <f>+O25*0.525</f>
        <v>71.400000000000006</v>
      </c>
      <c r="P27">
        <f>+P25*1.9515</f>
        <v>13.660500000000001</v>
      </c>
      <c r="Q27">
        <f>+Q25*1.7</f>
        <v>0</v>
      </c>
      <c r="R27">
        <f>+R25*1.57</f>
        <v>1617.1000000000001</v>
      </c>
      <c r="S27">
        <f>+S25*1.82</f>
        <v>931.84</v>
      </c>
      <c r="T27">
        <f>+T25*1.85</f>
        <v>444</v>
      </c>
      <c r="U27">
        <f>+U25*2.18</f>
        <v>6.5400000000000009</v>
      </c>
      <c r="V27">
        <f>+V25*1.97</f>
        <v>43.339999999999996</v>
      </c>
      <c r="W27">
        <f>+W25*0.39</f>
        <v>1911</v>
      </c>
      <c r="X27">
        <f>+X25*0.29</f>
        <v>209.67</v>
      </c>
      <c r="Y27" s="50">
        <f>+Y25*1.9</f>
        <v>36.1</v>
      </c>
      <c r="Z27">
        <f>+Z25*0.8</f>
        <v>0</v>
      </c>
      <c r="AA27">
        <f>+AA25*2</f>
        <v>0</v>
      </c>
    </row>
    <row r="29" spans="1:27" x14ac:dyDescent="0.25">
      <c r="K29" s="50"/>
      <c r="Y29" s="71"/>
      <c r="AA29" s="39">
        <f>SUM(D27:AA27)</f>
        <v>13346.071720000002</v>
      </c>
    </row>
    <row r="34" spans="15:15" x14ac:dyDescent="0.25">
      <c r="O34" s="81"/>
    </row>
  </sheetData>
  <mergeCells count="7">
    <mergeCell ref="W2:X2"/>
    <mergeCell ref="A4:A11"/>
    <mergeCell ref="A12:A24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6A27-E2C4-4C6F-8E68-F683F521248E}">
  <dimension ref="A1:AA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V3" sqref="V3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8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13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13 a  19'!D25</f>
        <v>9670</v>
      </c>
      <c r="E4" s="42">
        <f>'STOCK 13 a  19'!E25</f>
        <v>0</v>
      </c>
      <c r="F4" s="42">
        <f>'STOCK 13 a  19'!F25</f>
        <v>0</v>
      </c>
      <c r="G4" s="42">
        <f>'STOCK 13 a  19'!G25</f>
        <v>8050</v>
      </c>
      <c r="H4" s="42">
        <f>'STOCK 13 a  19'!H25</f>
        <v>0</v>
      </c>
      <c r="I4" s="42">
        <f>'STOCK 13 a  19'!I25</f>
        <v>0</v>
      </c>
      <c r="J4" s="42">
        <f>'STOCK 13 a  19'!J25</f>
        <v>1800</v>
      </c>
      <c r="K4" s="42">
        <f>'STOCK 13 a  19'!K25</f>
        <v>761</v>
      </c>
      <c r="L4" s="42">
        <f>'STOCK 13 a  19'!L25</f>
        <v>1000</v>
      </c>
      <c r="M4" s="42">
        <f>'STOCK 13 a  19'!M25</f>
        <v>0</v>
      </c>
      <c r="N4" s="42">
        <f>'STOCK 13 a  19'!N25</f>
        <v>0</v>
      </c>
      <c r="O4" s="42">
        <f>'STOCK 13 a  19'!O25</f>
        <v>136</v>
      </c>
      <c r="P4" s="42">
        <f>'STOCK 13 a  19'!P25</f>
        <v>7</v>
      </c>
      <c r="Q4" s="42">
        <f>'STOCK 13 a  19'!Q25</f>
        <v>0</v>
      </c>
      <c r="R4" s="42">
        <f>'STOCK 13 a  19'!R25</f>
        <v>1030</v>
      </c>
      <c r="S4" s="42">
        <f>'STOCK 13 a  19'!S25</f>
        <v>512</v>
      </c>
      <c r="T4" s="42">
        <f>'STOCK 13 a  19'!T25</f>
        <v>240</v>
      </c>
      <c r="U4" s="42">
        <f>'STOCK 13 a  19'!U25</f>
        <v>3</v>
      </c>
      <c r="V4" s="42">
        <f>'STOCK 13 a  19'!V25</f>
        <v>22</v>
      </c>
      <c r="W4" s="42">
        <f>'STOCK 13 a  19'!W25</f>
        <v>4900</v>
      </c>
      <c r="X4" s="42">
        <f>'STOCK 13 a  19'!X25</f>
        <v>723</v>
      </c>
      <c r="Y4" s="42">
        <f>'STOCK 13 a  19'!Y25</f>
        <v>19</v>
      </c>
      <c r="Z4" s="42">
        <f>'STOCK 13 a  19'!Z25</f>
        <v>0</v>
      </c>
      <c r="AA4" s="42">
        <f>'STOCK 13 a  19'!AA25</f>
        <v>0</v>
      </c>
    </row>
    <row r="5" spans="1:27" x14ac:dyDescent="0.25">
      <c r="A5" s="311"/>
      <c r="B5" s="20">
        <v>45586</v>
      </c>
      <c r="C5" s="82" t="s">
        <v>27</v>
      </c>
      <c r="D5" s="27"/>
      <c r="F5" s="35"/>
      <c r="H5" s="31"/>
      <c r="I5" s="13"/>
      <c r="J5" s="35"/>
      <c r="L5" s="35"/>
      <c r="N5" s="35"/>
      <c r="O5" s="14"/>
      <c r="P5" s="27"/>
      <c r="R5" s="31"/>
      <c r="S5" s="13">
        <v>1000</v>
      </c>
      <c r="V5" s="31"/>
      <c r="W5" s="13"/>
      <c r="X5" s="31"/>
      <c r="Z5" s="31"/>
      <c r="AA5" s="15"/>
    </row>
    <row r="6" spans="1:27" x14ac:dyDescent="0.25">
      <c r="A6" s="311"/>
      <c r="B6" s="20">
        <v>45587</v>
      </c>
      <c r="C6" s="14" t="s">
        <v>46</v>
      </c>
      <c r="D6" s="27"/>
      <c r="F6" s="35"/>
      <c r="H6" s="31"/>
      <c r="I6" s="13"/>
      <c r="J6" s="35"/>
      <c r="L6" s="35"/>
      <c r="N6" s="35"/>
      <c r="O6" s="14"/>
      <c r="P6" s="27"/>
      <c r="Q6">
        <v>500</v>
      </c>
      <c r="R6" s="31"/>
      <c r="S6" s="13"/>
      <c r="V6" s="31"/>
      <c r="W6" s="13"/>
      <c r="X6" s="31"/>
      <c r="Z6" s="31"/>
      <c r="AA6" s="15"/>
    </row>
    <row r="7" spans="1:27" x14ac:dyDescent="0.25">
      <c r="A7" s="311"/>
      <c r="B7" s="20">
        <v>45588</v>
      </c>
      <c r="C7" s="14" t="s">
        <v>27</v>
      </c>
      <c r="D7" s="27"/>
      <c r="F7" s="35"/>
      <c r="H7" s="31"/>
      <c r="I7" s="13"/>
      <c r="J7" s="35">
        <v>1000</v>
      </c>
      <c r="L7" s="35"/>
      <c r="N7" s="35"/>
      <c r="O7" s="14"/>
      <c r="P7" s="27"/>
      <c r="R7" s="31"/>
      <c r="S7" s="13"/>
      <c r="V7" s="31">
        <v>260</v>
      </c>
      <c r="W7" s="13"/>
      <c r="X7" s="31"/>
      <c r="Z7" s="31"/>
      <c r="AA7" s="15"/>
    </row>
    <row r="8" spans="1:27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R9" s="31"/>
      <c r="S9" s="13"/>
      <c r="V9" s="31"/>
      <c r="W9" s="13"/>
      <c r="X9" s="31"/>
      <c r="Z9" s="31"/>
      <c r="AA9" s="15"/>
    </row>
    <row r="10" spans="1:27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/>
      <c r="AA10" s="15"/>
    </row>
    <row r="11" spans="1:27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32"/>
      <c r="S11" s="16"/>
      <c r="T11" s="18"/>
      <c r="U11" s="18"/>
      <c r="V11" s="32"/>
      <c r="W11" s="16"/>
      <c r="X11" s="32"/>
      <c r="Y11" s="18"/>
      <c r="Z11" s="32"/>
      <c r="AA11" s="19"/>
    </row>
    <row r="12" spans="1:27" x14ac:dyDescent="0.25">
      <c r="A12" s="310" t="s">
        <v>62</v>
      </c>
      <c r="B12" s="20">
        <v>45586</v>
      </c>
      <c r="C12" s="14" t="s">
        <v>22</v>
      </c>
      <c r="D12" s="27">
        <v>500</v>
      </c>
      <c r="F12" s="35"/>
      <c r="H12" s="31"/>
      <c r="I12" s="13"/>
      <c r="J12" s="35"/>
      <c r="L12" s="35"/>
      <c r="N12" s="35"/>
      <c r="O12" s="14"/>
      <c r="P12" s="27"/>
      <c r="R12" s="31"/>
      <c r="S12" s="13"/>
      <c r="V12" s="31"/>
      <c r="W12" s="13"/>
      <c r="X12" s="31">
        <v>50</v>
      </c>
      <c r="Z12" s="31"/>
      <c r="AA12" s="15"/>
    </row>
    <row r="13" spans="1:27" x14ac:dyDescent="0.25">
      <c r="A13" s="311"/>
      <c r="B13" s="20">
        <v>45587</v>
      </c>
      <c r="C13" s="14" t="s">
        <v>22</v>
      </c>
      <c r="D13" s="27"/>
      <c r="F13" s="35"/>
      <c r="H13" s="31"/>
      <c r="I13" s="13"/>
      <c r="J13" s="35"/>
      <c r="K13">
        <v>200</v>
      </c>
      <c r="L13" s="35"/>
      <c r="N13" s="35"/>
      <c r="O13" s="14"/>
      <c r="P13" s="27"/>
      <c r="R13" s="31">
        <v>5</v>
      </c>
      <c r="S13" s="13"/>
      <c r="V13" s="31"/>
      <c r="W13" s="13">
        <f>3000+1000</f>
        <v>4000</v>
      </c>
      <c r="X13" s="31">
        <v>200</v>
      </c>
      <c r="Z13" s="31"/>
      <c r="AA13" s="15"/>
    </row>
    <row r="14" spans="1:27" x14ac:dyDescent="0.25">
      <c r="A14" s="311"/>
      <c r="B14" s="20">
        <v>45588</v>
      </c>
      <c r="C14" s="14" t="s">
        <v>22</v>
      </c>
      <c r="D14" s="27">
        <f>2000+1000</f>
        <v>3000</v>
      </c>
      <c r="F14" s="35"/>
      <c r="H14" s="31"/>
      <c r="I14" s="13"/>
      <c r="J14" s="35"/>
      <c r="L14" s="35"/>
      <c r="N14" s="35"/>
      <c r="O14" s="14"/>
      <c r="P14" s="27"/>
      <c r="R14" s="31"/>
      <c r="S14" s="13">
        <v>300</v>
      </c>
      <c r="V14" s="31"/>
      <c r="W14" s="13"/>
      <c r="X14" s="31"/>
      <c r="Z14" s="31"/>
      <c r="AA14" s="15"/>
    </row>
    <row r="15" spans="1:27" x14ac:dyDescent="0.25">
      <c r="A15" s="311"/>
      <c r="B15" s="20">
        <v>45589</v>
      </c>
      <c r="C15" s="14" t="s">
        <v>22</v>
      </c>
      <c r="D15" s="27">
        <v>500</v>
      </c>
      <c r="F15" s="35"/>
      <c r="H15" s="31"/>
      <c r="I15" s="13"/>
      <c r="J15" s="35">
        <v>30</v>
      </c>
      <c r="L15" s="35"/>
      <c r="N15" s="35"/>
      <c r="O15" s="14"/>
      <c r="P15" s="27"/>
      <c r="R15" s="31"/>
      <c r="S15" s="13">
        <v>170</v>
      </c>
      <c r="V15" s="31"/>
      <c r="W15" s="13">
        <f>125+150+400</f>
        <v>675</v>
      </c>
      <c r="X15" s="31"/>
      <c r="Z15" s="31"/>
      <c r="AA15" s="15"/>
    </row>
    <row r="16" spans="1:27" x14ac:dyDescent="0.25">
      <c r="A16" s="311"/>
      <c r="B16" s="20">
        <v>45590</v>
      </c>
      <c r="C16" s="14" t="s">
        <v>22</v>
      </c>
      <c r="D16" s="27">
        <v>250</v>
      </c>
      <c r="F16" s="35"/>
      <c r="H16" s="31"/>
      <c r="I16" s="13"/>
      <c r="J16" s="35"/>
      <c r="L16" s="35"/>
      <c r="N16" s="35"/>
      <c r="O16" s="14"/>
      <c r="P16" s="27"/>
      <c r="R16" s="31"/>
      <c r="S16" s="13">
        <v>450</v>
      </c>
      <c r="V16" s="31"/>
      <c r="W16" s="13"/>
      <c r="X16" s="31"/>
      <c r="Z16" s="31"/>
      <c r="AA16" s="15"/>
    </row>
    <row r="17" spans="1:27" x14ac:dyDescent="0.25">
      <c r="A17" s="311"/>
      <c r="B17" s="20">
        <v>45591</v>
      </c>
      <c r="C17" s="14" t="s">
        <v>22</v>
      </c>
      <c r="D17" s="27">
        <v>200</v>
      </c>
      <c r="F17" s="35"/>
      <c r="H17" s="31"/>
      <c r="I17" s="13"/>
      <c r="J17" s="35">
        <v>1000</v>
      </c>
      <c r="L17" s="35"/>
      <c r="N17" s="35"/>
      <c r="O17" s="14"/>
      <c r="P17" s="27"/>
      <c r="R17" s="31"/>
      <c r="S17" s="13"/>
      <c r="T17">
        <v>50</v>
      </c>
      <c r="V17" s="31"/>
      <c r="W17" s="13"/>
      <c r="X17" s="31">
        <v>3</v>
      </c>
      <c r="Z17" s="31"/>
      <c r="AA17" s="15"/>
    </row>
    <row r="18" spans="1:27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R18" s="31"/>
      <c r="S18" s="13"/>
      <c r="V18" s="31"/>
      <c r="W18" s="13"/>
      <c r="X18" s="31"/>
      <c r="Z18" s="31"/>
      <c r="AA18" s="15"/>
    </row>
    <row r="19" spans="1:27" x14ac:dyDescent="0.25">
      <c r="A19" s="311"/>
      <c r="B19" s="20" t="s">
        <v>76</v>
      </c>
      <c r="C19" s="14" t="s">
        <v>75</v>
      </c>
      <c r="D19" s="27"/>
      <c r="F19" s="35"/>
      <c r="H19" s="31"/>
      <c r="I19" s="13"/>
      <c r="J19" s="35"/>
      <c r="L19" s="35"/>
      <c r="N19" s="35"/>
      <c r="O19" s="14"/>
      <c r="P19" s="27"/>
      <c r="R19" s="31">
        <v>300</v>
      </c>
      <c r="S19" s="13"/>
      <c r="V19" s="31"/>
      <c r="W19" s="13"/>
      <c r="X19" s="31"/>
      <c r="Z19" s="31"/>
      <c r="AA19" s="15"/>
    </row>
    <row r="20" spans="1:27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V20" s="31"/>
      <c r="W20" s="13"/>
      <c r="X20" s="31"/>
      <c r="Z20" s="31"/>
      <c r="AA20" s="15"/>
    </row>
    <row r="21" spans="1:27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V21" s="31"/>
      <c r="W21" s="13"/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V24" s="31"/>
      <c r="W24" s="13"/>
      <c r="X24" s="31"/>
      <c r="Z24" s="31"/>
      <c r="AA24" s="15"/>
    </row>
    <row r="25" spans="1:27" ht="21.75" thickBot="1" x14ac:dyDescent="0.3">
      <c r="A25" s="21" t="s">
        <v>23</v>
      </c>
      <c r="B25" s="22"/>
      <c r="C25" s="23"/>
      <c r="D25" s="29">
        <f t="shared" ref="D25:AA25" si="0">SUM(D4:D11)-SUM(D12:D24)</f>
        <v>5220</v>
      </c>
      <c r="E25" s="22">
        <f t="shared" si="0"/>
        <v>0</v>
      </c>
      <c r="F25" s="37">
        <f t="shared" si="0"/>
        <v>0</v>
      </c>
      <c r="G25" s="24">
        <f t="shared" si="0"/>
        <v>8050</v>
      </c>
      <c r="H25" s="33">
        <f t="shared" si="0"/>
        <v>0</v>
      </c>
      <c r="I25" s="22">
        <f t="shared" si="0"/>
        <v>0</v>
      </c>
      <c r="J25" s="37">
        <f t="shared" si="0"/>
        <v>1770</v>
      </c>
      <c r="K25" s="24">
        <f>SUM(K4:K11)-SUM(K12:K24)</f>
        <v>561</v>
      </c>
      <c r="L25" s="37">
        <f t="shared" si="0"/>
        <v>1000</v>
      </c>
      <c r="M25" s="24">
        <f t="shared" si="0"/>
        <v>0</v>
      </c>
      <c r="N25" s="37">
        <f t="shared" si="0"/>
        <v>0</v>
      </c>
      <c r="O25" s="23">
        <f t="shared" si="0"/>
        <v>136</v>
      </c>
      <c r="P25" s="29">
        <f t="shared" si="0"/>
        <v>7</v>
      </c>
      <c r="Q25" s="24">
        <f>SUM(Q4:Q11)-SUM(Q12:Q24)</f>
        <v>500</v>
      </c>
      <c r="R25" s="33">
        <f t="shared" si="0"/>
        <v>725</v>
      </c>
      <c r="S25" s="22">
        <f t="shared" si="0"/>
        <v>592</v>
      </c>
      <c r="T25" s="22">
        <f t="shared" si="0"/>
        <v>190</v>
      </c>
      <c r="U25" s="22">
        <f t="shared" si="0"/>
        <v>3</v>
      </c>
      <c r="V25" s="33">
        <f t="shared" si="0"/>
        <v>282</v>
      </c>
      <c r="W25" s="22">
        <f t="shared" si="0"/>
        <v>225</v>
      </c>
      <c r="X25" s="33">
        <f t="shared" si="0"/>
        <v>470</v>
      </c>
      <c r="Y25" s="22">
        <f t="shared" si="0"/>
        <v>19</v>
      </c>
      <c r="Z25" s="33">
        <f t="shared" si="0"/>
        <v>0</v>
      </c>
      <c r="AA25" s="25">
        <f t="shared" si="0"/>
        <v>0</v>
      </c>
    </row>
    <row r="27" spans="1:27" x14ac:dyDescent="0.25">
      <c r="D27">
        <f>D25*0.33</f>
        <v>1722.6000000000001</v>
      </c>
      <c r="E27">
        <f>+E25*0.3</f>
        <v>0</v>
      </c>
      <c r="F27">
        <f>+F25*0.28</f>
        <v>0</v>
      </c>
      <c r="G27">
        <f>+G25*0.34-(50*0.04)</f>
        <v>2735</v>
      </c>
      <c r="H27">
        <f>+H25*0.37</f>
        <v>0</v>
      </c>
      <c r="I27">
        <f>+I25*0.5</f>
        <v>0</v>
      </c>
      <c r="J27">
        <f>+J25*0.51</f>
        <v>902.7</v>
      </c>
      <c r="K27" s="50">
        <f>+K25*0.82-(261*0.06398)</f>
        <v>443.32121999999998</v>
      </c>
      <c r="L27">
        <f>+L25*0.61</f>
        <v>610</v>
      </c>
      <c r="M27">
        <f>+M25*0.66</f>
        <v>0</v>
      </c>
      <c r="N27">
        <f>+N25*0.64</f>
        <v>0</v>
      </c>
      <c r="O27">
        <f>+O25*0.525</f>
        <v>71.400000000000006</v>
      </c>
      <c r="P27">
        <f>+P25*1.9515</f>
        <v>13.660500000000001</v>
      </c>
      <c r="Q27">
        <f>+Q25*1.78</f>
        <v>890</v>
      </c>
      <c r="R27">
        <f>+R25*1.57</f>
        <v>1138.25</v>
      </c>
      <c r="S27">
        <f>+S25*1.82</f>
        <v>1077.44</v>
      </c>
      <c r="T27">
        <f>+T25*1.85</f>
        <v>351.5</v>
      </c>
      <c r="U27">
        <f>+U25*2.18</f>
        <v>6.5400000000000009</v>
      </c>
      <c r="V27">
        <f>+V25*1.8+(22*0.17)</f>
        <v>511.34000000000003</v>
      </c>
      <c r="W27">
        <f>+W25*0.39</f>
        <v>87.75</v>
      </c>
      <c r="X27">
        <f>+X25*0.29</f>
        <v>136.29999999999998</v>
      </c>
      <c r="Y27" s="50">
        <f>+Y25*1.9</f>
        <v>36.1</v>
      </c>
      <c r="Z27">
        <f>+Z25*0.8</f>
        <v>0</v>
      </c>
      <c r="AA27">
        <f>+AA25*2</f>
        <v>0</v>
      </c>
    </row>
    <row r="29" spans="1:27" x14ac:dyDescent="0.25">
      <c r="K29" s="50"/>
      <c r="S29">
        <f>2.1-1.82</f>
        <v>0.28000000000000003</v>
      </c>
      <c r="Y29" s="71"/>
      <c r="AA29" s="39">
        <f>SUM(D27:AA27)</f>
        <v>10733.901720000002</v>
      </c>
    </row>
    <row r="30" spans="1:27" x14ac:dyDescent="0.25">
      <c r="S30">
        <f>+S29*300</f>
        <v>84.000000000000014</v>
      </c>
    </row>
    <row r="32" spans="1:27" x14ac:dyDescent="0.25">
      <c r="M32">
        <f>2.2*2000</f>
        <v>4400</v>
      </c>
    </row>
    <row r="34" spans="15:15" x14ac:dyDescent="0.25">
      <c r="O34" s="81"/>
    </row>
  </sheetData>
  <mergeCells count="7">
    <mergeCell ref="W2:X2"/>
    <mergeCell ref="A4:A11"/>
    <mergeCell ref="A12:A24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6E6C-794D-41E0-AAEC-026FA4E54630}">
  <dimension ref="A1:AA45"/>
  <sheetViews>
    <sheetView view="pageBreakPreview" zoomScale="60" zoomScaleNormal="6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X7" sqref="X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6.57031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28515625" bestFit="1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8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77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20 a  26'!D25</f>
        <v>5220</v>
      </c>
      <c r="E4" s="42">
        <f>'STOCK 20 a  26'!E25</f>
        <v>0</v>
      </c>
      <c r="F4" s="42">
        <f>'STOCK 20 a  26'!F25</f>
        <v>0</v>
      </c>
      <c r="G4" s="42">
        <f>'STOCK 20 a  26'!G25</f>
        <v>8050</v>
      </c>
      <c r="H4" s="42">
        <f>'STOCK 20 a  26'!H25</f>
        <v>0</v>
      </c>
      <c r="I4" s="42">
        <f>'STOCK 20 a  26'!I25</f>
        <v>0</v>
      </c>
      <c r="J4" s="42">
        <f>'STOCK 20 a  26'!J25</f>
        <v>1770</v>
      </c>
      <c r="K4" s="42">
        <f>'STOCK 20 a  26'!K25</f>
        <v>561</v>
      </c>
      <c r="L4" s="42">
        <f>'STOCK 20 a  26'!L25</f>
        <v>1000</v>
      </c>
      <c r="M4" s="42">
        <f>'STOCK 20 a  26'!M25</f>
        <v>0</v>
      </c>
      <c r="N4" s="42">
        <f>'STOCK 20 a  26'!N25</f>
        <v>0</v>
      </c>
      <c r="O4" s="42">
        <f>'STOCK 20 a  26'!O25</f>
        <v>136</v>
      </c>
      <c r="P4" s="42">
        <f>'STOCK 20 a  26'!P25</f>
        <v>7</v>
      </c>
      <c r="Q4" s="42">
        <f>'STOCK 20 a  26'!Q25</f>
        <v>500</v>
      </c>
      <c r="R4" s="42">
        <f>'STOCK 20 a  26'!R25</f>
        <v>725</v>
      </c>
      <c r="S4" s="42">
        <f>'STOCK 20 a  26'!S25</f>
        <v>592</v>
      </c>
      <c r="T4" s="42">
        <f>'STOCK 20 a  26'!T25</f>
        <v>190</v>
      </c>
      <c r="U4" s="42">
        <f>'STOCK 20 a  26'!U25</f>
        <v>3</v>
      </c>
      <c r="V4" s="42">
        <f>'STOCK 20 a  26'!V25</f>
        <v>282</v>
      </c>
      <c r="W4" s="42">
        <f>'STOCK 20 a  26'!W25</f>
        <v>225</v>
      </c>
      <c r="X4" s="42">
        <f>'STOCK 20 a  26'!X25</f>
        <v>470</v>
      </c>
      <c r="Y4" s="42">
        <f>'STOCK 20 a  26'!Y25</f>
        <v>19</v>
      </c>
      <c r="Z4" s="42">
        <f>'STOCK 20 a  26'!Z25</f>
        <v>0</v>
      </c>
      <c r="AA4" s="42">
        <f>'STOCK 20 a  26'!AA25</f>
        <v>0</v>
      </c>
    </row>
    <row r="5" spans="1:27" x14ac:dyDescent="0.25">
      <c r="A5" s="311"/>
      <c r="B5" s="20">
        <v>45595</v>
      </c>
      <c r="C5" s="82" t="s">
        <v>27</v>
      </c>
      <c r="D5" s="27"/>
      <c r="F5" s="35"/>
      <c r="H5" s="31"/>
      <c r="I5" s="13"/>
      <c r="J5" s="35"/>
      <c r="L5" s="35"/>
      <c r="N5" s="35"/>
      <c r="O5" s="14"/>
      <c r="P5" s="27"/>
      <c r="R5" s="31"/>
      <c r="S5" s="13"/>
      <c r="V5" s="31"/>
      <c r="W5" s="13"/>
      <c r="X5" s="31"/>
      <c r="Z5" s="31">
        <v>700</v>
      </c>
      <c r="AA5" s="15"/>
    </row>
    <row r="6" spans="1:27" x14ac:dyDescent="0.25">
      <c r="A6" s="311"/>
      <c r="B6" s="20">
        <v>45595</v>
      </c>
      <c r="C6" s="82" t="s">
        <v>46</v>
      </c>
      <c r="D6" s="27"/>
      <c r="F6" s="35"/>
      <c r="H6" s="31"/>
      <c r="I6" s="13"/>
      <c r="J6" s="35"/>
      <c r="L6" s="35"/>
      <c r="N6" s="35"/>
      <c r="O6" s="14"/>
      <c r="P6" s="27"/>
      <c r="R6" s="31"/>
      <c r="S6" s="13"/>
      <c r="V6" s="31"/>
      <c r="W6" s="13"/>
      <c r="X6" s="31"/>
      <c r="Z6" s="31">
        <v>800</v>
      </c>
      <c r="AA6" s="15"/>
    </row>
    <row r="7" spans="1:27" x14ac:dyDescent="0.25">
      <c r="A7" s="311"/>
      <c r="B7" s="20">
        <v>45595</v>
      </c>
      <c r="C7" s="82" t="s">
        <v>78</v>
      </c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V7" s="31"/>
      <c r="W7" s="13">
        <v>400</v>
      </c>
      <c r="X7" s="31"/>
      <c r="Z7" s="31"/>
      <c r="AA7" s="15"/>
    </row>
    <row r="8" spans="1:27" x14ac:dyDescent="0.25">
      <c r="A8" s="311"/>
      <c r="B8" s="20">
        <v>45596</v>
      </c>
      <c r="C8" s="14" t="s">
        <v>27</v>
      </c>
      <c r="D8" s="27"/>
      <c r="F8" s="35"/>
      <c r="H8" s="31"/>
      <c r="I8" s="13"/>
      <c r="J8" s="35"/>
      <c r="L8" s="35"/>
      <c r="N8" s="35">
        <v>1500</v>
      </c>
      <c r="O8" s="14"/>
      <c r="P8" s="27"/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>
        <v>45598</v>
      </c>
      <c r="C9" s="14" t="s">
        <v>27</v>
      </c>
      <c r="D9" s="27"/>
      <c r="F9" s="35"/>
      <c r="H9" s="31"/>
      <c r="I9" s="13"/>
      <c r="J9" s="35"/>
      <c r="L9" s="35"/>
      <c r="N9" s="35"/>
      <c r="O9" s="14"/>
      <c r="P9" s="27"/>
      <c r="Q9">
        <v>350</v>
      </c>
      <c r="R9" s="31"/>
      <c r="S9" s="13"/>
      <c r="V9" s="31"/>
      <c r="W9" s="13"/>
      <c r="X9" s="31"/>
      <c r="Z9" s="31"/>
      <c r="AA9" s="15"/>
    </row>
    <row r="10" spans="1:27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/>
      <c r="AA10" s="15"/>
    </row>
    <row r="11" spans="1:27" x14ac:dyDescent="0.25">
      <c r="A11" s="311"/>
      <c r="B11" s="20"/>
      <c r="C11" s="14"/>
      <c r="D11" s="27"/>
      <c r="F11" s="35"/>
      <c r="H11" s="31"/>
      <c r="I11" s="13"/>
      <c r="J11" s="35"/>
      <c r="L11" s="35"/>
      <c r="N11" s="35"/>
      <c r="O11" s="14"/>
      <c r="P11" s="27"/>
      <c r="R11" s="31"/>
      <c r="S11" s="13"/>
      <c r="V11" s="31"/>
      <c r="W11" s="13"/>
      <c r="X11" s="31"/>
      <c r="Z11" s="31"/>
      <c r="AA11" s="15"/>
    </row>
    <row r="12" spans="1:27" x14ac:dyDescent="0.25">
      <c r="A12" s="311"/>
      <c r="B12" s="20"/>
      <c r="C12" s="14"/>
      <c r="D12" s="27"/>
      <c r="F12" s="35"/>
      <c r="H12" s="31"/>
      <c r="I12" s="13"/>
      <c r="J12" s="35"/>
      <c r="L12" s="35"/>
      <c r="N12" s="35"/>
      <c r="O12" s="14"/>
      <c r="P12" s="27"/>
      <c r="R12" s="31"/>
      <c r="S12" s="13"/>
      <c r="V12" s="31"/>
      <c r="W12" s="13"/>
      <c r="X12" s="31"/>
      <c r="Z12" s="31"/>
      <c r="AA12" s="15"/>
    </row>
    <row r="13" spans="1:27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18"/>
      <c r="N13" s="36"/>
      <c r="O13" s="17"/>
      <c r="P13" s="28"/>
      <c r="Q13" s="18"/>
      <c r="R13" s="32"/>
      <c r="S13" s="16"/>
      <c r="T13" s="18"/>
      <c r="U13" s="18"/>
      <c r="V13" s="32"/>
      <c r="W13" s="16"/>
      <c r="X13" s="32"/>
      <c r="Y13" s="18"/>
      <c r="Z13" s="32"/>
      <c r="AA13" s="19"/>
    </row>
    <row r="14" spans="1:27" x14ac:dyDescent="0.25">
      <c r="A14" s="310" t="s">
        <v>62</v>
      </c>
      <c r="B14" s="20">
        <v>45593</v>
      </c>
      <c r="C14" s="14" t="s">
        <v>22</v>
      </c>
      <c r="D14" s="27">
        <f>2000+50</f>
        <v>2050</v>
      </c>
      <c r="F14" s="35"/>
      <c r="H14" s="31"/>
      <c r="I14" s="13"/>
      <c r="J14" s="35">
        <f>28+500</f>
        <v>528</v>
      </c>
      <c r="L14" s="35"/>
      <c r="N14" s="35"/>
      <c r="O14" s="14"/>
      <c r="P14" s="27"/>
      <c r="R14" s="31"/>
      <c r="S14" s="13"/>
      <c r="V14" s="31"/>
      <c r="W14" s="13"/>
      <c r="X14" s="31"/>
      <c r="Z14" s="31"/>
      <c r="AA14" s="15"/>
    </row>
    <row r="15" spans="1:27" x14ac:dyDescent="0.25">
      <c r="A15" s="311"/>
      <c r="B15" s="20">
        <v>45594</v>
      </c>
      <c r="C15" s="14" t="s">
        <v>22</v>
      </c>
      <c r="D15" s="27">
        <v>500</v>
      </c>
      <c r="F15" s="35"/>
      <c r="H15" s="31"/>
      <c r="I15" s="13"/>
      <c r="J15" s="35">
        <v>100</v>
      </c>
      <c r="L15" s="35"/>
      <c r="N15" s="35"/>
      <c r="O15" s="14"/>
      <c r="P15" s="27"/>
      <c r="R15" s="31"/>
      <c r="S15" s="13">
        <v>100</v>
      </c>
      <c r="V15" s="31"/>
      <c r="W15" s="13"/>
      <c r="X15" s="31"/>
      <c r="Z15" s="31"/>
      <c r="AA15" s="15"/>
    </row>
    <row r="16" spans="1:27" x14ac:dyDescent="0.25">
      <c r="A16" s="311"/>
      <c r="B16" s="20">
        <v>45595</v>
      </c>
      <c r="C16" s="14" t="s">
        <v>22</v>
      </c>
      <c r="D16" s="27"/>
      <c r="F16" s="35"/>
      <c r="H16" s="31"/>
      <c r="I16" s="13"/>
      <c r="J16" s="35">
        <f>500+60+100</f>
        <v>660</v>
      </c>
      <c r="L16" s="35"/>
      <c r="N16" s="35"/>
      <c r="O16" s="14"/>
      <c r="P16" s="27"/>
      <c r="R16" s="31"/>
      <c r="S16" s="13"/>
      <c r="V16" s="31"/>
      <c r="W16" s="13"/>
      <c r="X16" s="31"/>
      <c r="Z16" s="31"/>
      <c r="AA16" s="15"/>
    </row>
    <row r="17" spans="1:27" x14ac:dyDescent="0.25">
      <c r="A17" s="311"/>
      <c r="B17" s="20">
        <v>45596</v>
      </c>
      <c r="C17" s="14" t="s">
        <v>45</v>
      </c>
      <c r="D17" s="27"/>
      <c r="F17" s="35"/>
      <c r="G17">
        <v>3000</v>
      </c>
      <c r="H17" s="31"/>
      <c r="I17" s="13"/>
      <c r="J17" s="35"/>
      <c r="L17" s="35"/>
      <c r="N17" s="35"/>
      <c r="O17" s="14"/>
      <c r="P17" s="27"/>
      <c r="R17" s="31"/>
      <c r="S17" s="13"/>
      <c r="V17" s="31"/>
      <c r="W17" s="13"/>
      <c r="X17" s="31"/>
      <c r="Z17" s="31"/>
      <c r="AA17" s="15"/>
    </row>
    <row r="18" spans="1:27" x14ac:dyDescent="0.25">
      <c r="A18" s="311"/>
      <c r="B18" s="20">
        <v>45596</v>
      </c>
      <c r="C18" s="14" t="s">
        <v>22</v>
      </c>
      <c r="D18" s="27"/>
      <c r="F18" s="35"/>
      <c r="H18" s="31"/>
      <c r="I18" s="13"/>
      <c r="J18" s="35">
        <f>154+239</f>
        <v>393</v>
      </c>
      <c r="L18" s="35"/>
      <c r="N18" s="35"/>
      <c r="O18" s="14"/>
      <c r="P18" s="27"/>
      <c r="Q18">
        <v>360</v>
      </c>
      <c r="R18" s="31"/>
      <c r="S18" s="13"/>
      <c r="V18" s="31"/>
      <c r="W18" s="13">
        <v>40</v>
      </c>
      <c r="X18" s="31">
        <v>300</v>
      </c>
      <c r="Z18" s="31"/>
      <c r="AA18" s="15"/>
    </row>
    <row r="19" spans="1:27" x14ac:dyDescent="0.25">
      <c r="A19" s="311"/>
      <c r="B19" s="20">
        <v>45597</v>
      </c>
      <c r="C19" s="14" t="s">
        <v>45</v>
      </c>
      <c r="D19" s="27"/>
      <c r="F19" s="35"/>
      <c r="H19" s="31"/>
      <c r="I19" s="13"/>
      <c r="J19" s="35"/>
      <c r="L19" s="35"/>
      <c r="N19" s="35"/>
      <c r="O19" s="14"/>
      <c r="P19" s="27"/>
      <c r="R19" s="31"/>
      <c r="S19" s="13"/>
      <c r="V19" s="31"/>
      <c r="W19" s="13"/>
      <c r="X19" s="31"/>
      <c r="Z19" s="31">
        <v>1500</v>
      </c>
      <c r="AA19" s="15"/>
    </row>
    <row r="20" spans="1:27" x14ac:dyDescent="0.25">
      <c r="A20" s="311"/>
      <c r="B20" s="20">
        <v>45597</v>
      </c>
      <c r="C20" s="14" t="s">
        <v>22</v>
      </c>
      <c r="D20" s="27"/>
      <c r="F20" s="35"/>
      <c r="H20" s="31"/>
      <c r="I20" s="13"/>
      <c r="J20" s="35"/>
      <c r="L20" s="35"/>
      <c r="N20" s="35"/>
      <c r="O20" s="14"/>
      <c r="P20" s="27"/>
      <c r="Q20">
        <v>30</v>
      </c>
      <c r="R20" s="31"/>
      <c r="S20" s="13"/>
      <c r="V20" s="31"/>
      <c r="W20" s="13"/>
      <c r="X20" s="31"/>
      <c r="Z20" s="31"/>
      <c r="AA20" s="15"/>
    </row>
    <row r="21" spans="1:27" x14ac:dyDescent="0.25">
      <c r="A21" s="311"/>
      <c r="B21" s="20">
        <v>45598</v>
      </c>
      <c r="C21" s="14" t="s">
        <v>22</v>
      </c>
      <c r="D21" s="27">
        <v>60</v>
      </c>
      <c r="F21" s="35"/>
      <c r="H21" s="31"/>
      <c r="I21" s="13"/>
      <c r="J21" s="35"/>
      <c r="L21" s="35"/>
      <c r="N21" s="35"/>
      <c r="O21" s="14"/>
      <c r="P21" s="27"/>
      <c r="R21" s="31"/>
      <c r="S21" s="13">
        <v>484</v>
      </c>
      <c r="V21" s="31"/>
      <c r="W21" s="13">
        <v>300</v>
      </c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V24" s="31"/>
      <c r="W24" s="13"/>
      <c r="X24" s="31"/>
      <c r="Z24" s="31"/>
      <c r="AA24" s="15"/>
    </row>
    <row r="25" spans="1:27" x14ac:dyDescent="0.25">
      <c r="A25" s="311"/>
      <c r="B25" s="20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V25" s="31"/>
      <c r="W25" s="13"/>
      <c r="X25" s="31"/>
      <c r="Z25" s="31"/>
      <c r="AA25" s="15"/>
    </row>
    <row r="26" spans="1:27" x14ac:dyDescent="0.25">
      <c r="A26" s="311"/>
      <c r="B26" s="20"/>
      <c r="C26" s="14"/>
      <c r="D26" s="27"/>
      <c r="F26" s="35"/>
      <c r="H26" s="31"/>
      <c r="I26" s="13"/>
      <c r="J26" s="35"/>
      <c r="L26" s="35"/>
      <c r="N26" s="35"/>
      <c r="O26" s="14"/>
      <c r="P26" s="27"/>
      <c r="R26" s="31"/>
      <c r="S26" s="13"/>
      <c r="V26" s="31"/>
      <c r="W26" s="13"/>
      <c r="X26" s="31"/>
      <c r="Z26" s="31"/>
      <c r="AA26" s="15"/>
    </row>
    <row r="27" spans="1:27" ht="15.75" thickBot="1" x14ac:dyDescent="0.3">
      <c r="A27" s="312"/>
      <c r="B27" s="13"/>
      <c r="C27" s="14"/>
      <c r="D27" s="27"/>
      <c r="F27" s="35"/>
      <c r="H27" s="31"/>
      <c r="I27" s="13"/>
      <c r="J27" s="35"/>
      <c r="L27" s="35"/>
      <c r="N27" s="35"/>
      <c r="O27" s="14"/>
      <c r="P27" s="27"/>
      <c r="R27" s="31"/>
      <c r="S27" s="13"/>
      <c r="V27" s="31"/>
      <c r="W27" s="13"/>
      <c r="X27" s="31"/>
      <c r="Z27" s="31"/>
      <c r="AA27" s="15"/>
    </row>
    <row r="28" spans="1:27" ht="21.75" thickBot="1" x14ac:dyDescent="0.3">
      <c r="A28" s="21" t="s">
        <v>23</v>
      </c>
      <c r="B28" s="22"/>
      <c r="C28" s="23"/>
      <c r="D28" s="29">
        <f t="shared" ref="D28:AA28" si="0">SUM(D4:D13)-SUM(D14:D27)</f>
        <v>2610</v>
      </c>
      <c r="E28" s="22">
        <f t="shared" si="0"/>
        <v>0</v>
      </c>
      <c r="F28" s="37">
        <f t="shared" si="0"/>
        <v>0</v>
      </c>
      <c r="G28" s="24">
        <f t="shared" si="0"/>
        <v>5050</v>
      </c>
      <c r="H28" s="33">
        <f t="shared" si="0"/>
        <v>0</v>
      </c>
      <c r="I28" s="22">
        <f t="shared" si="0"/>
        <v>0</v>
      </c>
      <c r="J28" s="37">
        <f t="shared" si="0"/>
        <v>89</v>
      </c>
      <c r="K28" s="24">
        <f>SUM(K4:K13)-SUM(K14:K27)</f>
        <v>561</v>
      </c>
      <c r="L28" s="37">
        <f t="shared" si="0"/>
        <v>1000</v>
      </c>
      <c r="M28" s="24">
        <f t="shared" si="0"/>
        <v>0</v>
      </c>
      <c r="N28" s="37">
        <f t="shared" si="0"/>
        <v>1500</v>
      </c>
      <c r="O28" s="23">
        <f t="shared" si="0"/>
        <v>136</v>
      </c>
      <c r="P28" s="29">
        <f t="shared" si="0"/>
        <v>7</v>
      </c>
      <c r="Q28" s="24">
        <f>SUM(Q4:Q13)-SUM(Q14:Q27)</f>
        <v>460</v>
      </c>
      <c r="R28" s="33">
        <f t="shared" si="0"/>
        <v>725</v>
      </c>
      <c r="S28" s="22">
        <f t="shared" si="0"/>
        <v>8</v>
      </c>
      <c r="T28" s="22">
        <f t="shared" si="0"/>
        <v>190</v>
      </c>
      <c r="U28" s="22">
        <f t="shared" si="0"/>
        <v>3</v>
      </c>
      <c r="V28" s="33">
        <f t="shared" si="0"/>
        <v>282</v>
      </c>
      <c r="W28" s="22">
        <f t="shared" si="0"/>
        <v>285</v>
      </c>
      <c r="X28" s="33">
        <f t="shared" si="0"/>
        <v>170</v>
      </c>
      <c r="Y28" s="22">
        <f t="shared" si="0"/>
        <v>19</v>
      </c>
      <c r="Z28" s="33">
        <f t="shared" si="0"/>
        <v>0</v>
      </c>
      <c r="AA28" s="25">
        <f t="shared" si="0"/>
        <v>0</v>
      </c>
    </row>
    <row r="30" spans="1:27" x14ac:dyDescent="0.25">
      <c r="D30">
        <f>D28*0.33</f>
        <v>861.30000000000007</v>
      </c>
      <c r="E30">
        <f>+E28*0.3</f>
        <v>0</v>
      </c>
      <c r="F30">
        <f>+F28*0.28</f>
        <v>0</v>
      </c>
      <c r="G30">
        <f>+G28*0.34</f>
        <v>1717.0000000000002</v>
      </c>
      <c r="H30">
        <f>+H28*0.37</f>
        <v>0</v>
      </c>
      <c r="I30">
        <f>+I28*0.5</f>
        <v>0</v>
      </c>
      <c r="J30">
        <f>+J28*0.51</f>
        <v>45.39</v>
      </c>
      <c r="K30" s="50">
        <f>+K28*0.82-(261*0.06398)</f>
        <v>443.32121999999998</v>
      </c>
      <c r="L30">
        <f>+L28*0.61</f>
        <v>610</v>
      </c>
      <c r="M30">
        <f>+M28*0.66</f>
        <v>0</v>
      </c>
      <c r="N30">
        <f>+N28*0.63</f>
        <v>945</v>
      </c>
      <c r="O30">
        <f>+O28*0.525</f>
        <v>71.400000000000006</v>
      </c>
      <c r="P30">
        <f>+P28*1.9515</f>
        <v>13.660500000000001</v>
      </c>
      <c r="Q30">
        <f>+Q28*1.78</f>
        <v>818.80000000000007</v>
      </c>
      <c r="R30">
        <f>+R28*1.57</f>
        <v>1138.25</v>
      </c>
      <c r="S30">
        <f>+S28*1.82</f>
        <v>14.56</v>
      </c>
      <c r="T30">
        <f>+T28*1.85</f>
        <v>351.5</v>
      </c>
      <c r="U30">
        <f>+U28*2.18</f>
        <v>6.5400000000000009</v>
      </c>
      <c r="V30">
        <f>+V28*1.8+(22*0.17)</f>
        <v>511.34000000000003</v>
      </c>
      <c r="W30">
        <f>+W28*0.39</f>
        <v>111.15</v>
      </c>
      <c r="X30">
        <f>+X28*0.29</f>
        <v>49.3</v>
      </c>
      <c r="Y30" s="50">
        <f>+Y28*1.9</f>
        <v>36.1</v>
      </c>
      <c r="Z30">
        <f>+Z28*0.93</f>
        <v>0</v>
      </c>
      <c r="AA30">
        <f>+AA28*2</f>
        <v>0</v>
      </c>
    </row>
    <row r="32" spans="1:27" x14ac:dyDescent="0.25">
      <c r="G32">
        <f>2950*0.34</f>
        <v>1003.0000000000001</v>
      </c>
      <c r="K32" s="50"/>
      <c r="S32">
        <f>2.1-1.82</f>
        <v>0.28000000000000003</v>
      </c>
      <c r="Y32" s="71"/>
      <c r="AA32" s="39">
        <f>SUM(D30:AA30)</f>
        <v>7744.6117200000008</v>
      </c>
    </row>
    <row r="33" spans="7:19" x14ac:dyDescent="0.25">
      <c r="G33">
        <f>50*0.3</f>
        <v>15</v>
      </c>
      <c r="S33">
        <f>+S32*300</f>
        <v>84.000000000000014</v>
      </c>
    </row>
    <row r="35" spans="7:19" x14ac:dyDescent="0.25">
      <c r="M35">
        <f>2.2*2000</f>
        <v>4400</v>
      </c>
    </row>
    <row r="37" spans="7:19" x14ac:dyDescent="0.25">
      <c r="O37" s="81"/>
    </row>
    <row r="42" spans="7:19" x14ac:dyDescent="0.25">
      <c r="J42">
        <v>1971.6</v>
      </c>
    </row>
    <row r="44" spans="7:19" x14ac:dyDescent="0.25">
      <c r="J44">
        <f>850*1.85</f>
        <v>1572.5</v>
      </c>
    </row>
    <row r="45" spans="7:19" x14ac:dyDescent="0.25">
      <c r="J45">
        <f>+J42+J44</f>
        <v>3544.1</v>
      </c>
    </row>
  </sheetData>
  <mergeCells count="7">
    <mergeCell ref="W2:X2"/>
    <mergeCell ref="A4:A13"/>
    <mergeCell ref="A14:A27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8ABF-D8FD-4CBA-BA03-C29E34E5AFEF}">
  <dimension ref="A1:AA47"/>
  <sheetViews>
    <sheetView zoomScale="60" zoomScaleNormal="6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8" sqref="A8:XFD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11.5703125" customWidth="1"/>
    <col min="18" max="18" width="12.710937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8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77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27 a  02'!D28</f>
        <v>2610</v>
      </c>
      <c r="E4" s="42">
        <f>'STOCK 27 a  02'!E28</f>
        <v>0</v>
      </c>
      <c r="F4" s="42">
        <f>'STOCK 27 a  02'!F28</f>
        <v>0</v>
      </c>
      <c r="G4" s="42">
        <f>'STOCK 27 a  02'!G28</f>
        <v>5050</v>
      </c>
      <c r="H4" s="42">
        <f>'STOCK 27 a  02'!H28</f>
        <v>0</v>
      </c>
      <c r="I4" s="42">
        <f>'STOCK 27 a  02'!I28</f>
        <v>0</v>
      </c>
      <c r="J4" s="42">
        <f>'STOCK 27 a  02'!J28</f>
        <v>89</v>
      </c>
      <c r="K4" s="42">
        <f>'STOCK 27 a  02'!K28</f>
        <v>561</v>
      </c>
      <c r="L4" s="42">
        <f>'STOCK 27 a  02'!L28</f>
        <v>1000</v>
      </c>
      <c r="M4" s="42">
        <f>'STOCK 27 a  02'!M28</f>
        <v>0</v>
      </c>
      <c r="N4" s="42">
        <f>'STOCK 27 a  02'!N28</f>
        <v>1500</v>
      </c>
      <c r="O4" s="42">
        <f>'STOCK 27 a  02'!O28</f>
        <v>136</v>
      </c>
      <c r="P4" s="42">
        <f>'STOCK 27 a  02'!P28</f>
        <v>7</v>
      </c>
      <c r="Q4" s="42">
        <f>'STOCK 27 a  02'!Q28</f>
        <v>460</v>
      </c>
      <c r="R4" s="42">
        <f>'STOCK 27 a  02'!R28</f>
        <v>725</v>
      </c>
      <c r="S4" s="42">
        <f>'STOCK 27 a  02'!S28</f>
        <v>8</v>
      </c>
      <c r="T4" s="42">
        <f>'STOCK 27 a  02'!T28</f>
        <v>190</v>
      </c>
      <c r="U4" s="42">
        <f>'STOCK 27 a  02'!U28</f>
        <v>3</v>
      </c>
      <c r="V4" s="42">
        <f>'STOCK 27 a  02'!V28</f>
        <v>282</v>
      </c>
      <c r="W4" s="42">
        <f>'STOCK 27 a  02'!W28</f>
        <v>285</v>
      </c>
      <c r="X4" s="42">
        <f>'STOCK 27 a  02'!X28</f>
        <v>170</v>
      </c>
      <c r="Y4" s="42">
        <f>'STOCK 27 a  02'!Y28</f>
        <v>19</v>
      </c>
      <c r="Z4" s="42">
        <f>'STOCK 27 a  02'!Z28</f>
        <v>0</v>
      </c>
      <c r="AA4" s="42">
        <f>'STOCK 27 a  02'!AA28</f>
        <v>0</v>
      </c>
    </row>
    <row r="5" spans="1:27" x14ac:dyDescent="0.25">
      <c r="A5" s="311"/>
      <c r="B5" s="20">
        <v>45600</v>
      </c>
      <c r="C5" s="82" t="s">
        <v>27</v>
      </c>
      <c r="D5" s="27"/>
      <c r="F5" s="35"/>
      <c r="H5" s="31"/>
      <c r="I5" s="13"/>
      <c r="J5" s="35"/>
      <c r="L5" s="35"/>
      <c r="N5" s="35"/>
      <c r="O5" s="14"/>
      <c r="P5" s="27"/>
      <c r="R5" s="31"/>
      <c r="S5" s="13"/>
      <c r="V5" s="31"/>
      <c r="W5" s="13"/>
      <c r="X5" s="31"/>
      <c r="Z5" s="31">
        <v>700</v>
      </c>
      <c r="AA5" s="15"/>
    </row>
    <row r="6" spans="1:27" x14ac:dyDescent="0.25">
      <c r="A6" s="311"/>
      <c r="B6" s="20">
        <v>45600</v>
      </c>
      <c r="C6" s="82" t="s">
        <v>46</v>
      </c>
      <c r="D6" s="27"/>
      <c r="F6" s="35"/>
      <c r="H6" s="31"/>
      <c r="I6" s="13"/>
      <c r="J6" s="35"/>
      <c r="L6" s="35"/>
      <c r="N6" s="35"/>
      <c r="O6" s="14"/>
      <c r="P6" s="27"/>
      <c r="R6" s="31"/>
      <c r="S6" s="13"/>
      <c r="V6" s="31"/>
      <c r="W6" s="13"/>
      <c r="X6" s="31"/>
      <c r="Z6" s="31">
        <v>800</v>
      </c>
      <c r="AA6" s="15"/>
    </row>
    <row r="7" spans="1:27" x14ac:dyDescent="0.25">
      <c r="A7" s="311"/>
      <c r="B7" s="20">
        <v>45601</v>
      </c>
      <c r="C7" s="82" t="s">
        <v>27</v>
      </c>
      <c r="D7" s="27"/>
      <c r="F7" s="35"/>
      <c r="H7" s="31"/>
      <c r="I7" s="13"/>
      <c r="J7" s="35"/>
      <c r="L7" s="35"/>
      <c r="N7" s="35"/>
      <c r="O7" s="14"/>
      <c r="P7" s="27"/>
      <c r="R7" s="31"/>
      <c r="S7" s="13"/>
      <c r="V7" s="31"/>
      <c r="W7" s="13"/>
      <c r="X7" s="31"/>
      <c r="Z7" s="31">
        <v>2500</v>
      </c>
      <c r="AA7" s="15"/>
    </row>
    <row r="8" spans="1:27" x14ac:dyDescent="0.25">
      <c r="A8" s="311"/>
      <c r="B8" s="20">
        <v>45601</v>
      </c>
      <c r="C8" s="82" t="s">
        <v>78</v>
      </c>
      <c r="D8" s="27"/>
      <c r="F8" s="35"/>
      <c r="H8" s="31"/>
      <c r="I8" s="13"/>
      <c r="J8" s="35"/>
      <c r="L8" s="35"/>
      <c r="N8" s="35"/>
      <c r="O8" s="14"/>
      <c r="P8" s="27"/>
      <c r="R8" s="31"/>
      <c r="S8" s="13"/>
      <c r="V8" s="31"/>
      <c r="W8" s="13"/>
      <c r="X8" s="31">
        <v>1000</v>
      </c>
      <c r="Z8" s="31"/>
      <c r="AA8" s="15"/>
    </row>
    <row r="9" spans="1:27" x14ac:dyDescent="0.25">
      <c r="A9" s="311"/>
      <c r="B9" s="20">
        <v>45603</v>
      </c>
      <c r="C9" s="82" t="s">
        <v>27</v>
      </c>
      <c r="D9" s="27"/>
      <c r="F9" s="35"/>
      <c r="H9" s="31"/>
      <c r="I9" s="13"/>
      <c r="J9" s="35"/>
      <c r="L9" s="35"/>
      <c r="N9" s="35"/>
      <c r="O9" s="14">
        <v>3500</v>
      </c>
      <c r="P9" s="27"/>
      <c r="R9" s="31"/>
      <c r="S9" s="13"/>
      <c r="V9" s="31"/>
      <c r="W9" s="13"/>
      <c r="X9" s="31"/>
      <c r="Z9" s="31"/>
      <c r="AA9" s="15"/>
    </row>
    <row r="10" spans="1:27" x14ac:dyDescent="0.25">
      <c r="A10" s="311"/>
      <c r="B10" s="20">
        <v>45603</v>
      </c>
      <c r="C10" s="82" t="s">
        <v>78</v>
      </c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/>
      <c r="X10" s="31"/>
      <c r="Z10" s="31">
        <v>500</v>
      </c>
      <c r="AA10" s="15"/>
    </row>
    <row r="11" spans="1:27" x14ac:dyDescent="0.25">
      <c r="A11" s="311"/>
      <c r="B11" s="20">
        <v>45604</v>
      </c>
      <c r="C11" s="14" t="s">
        <v>46</v>
      </c>
      <c r="D11" s="27"/>
      <c r="F11" s="35"/>
      <c r="G11">
        <v>4000</v>
      </c>
      <c r="H11" s="31"/>
      <c r="I11" s="13"/>
      <c r="J11" s="35"/>
      <c r="L11" s="35"/>
      <c r="N11" s="35"/>
      <c r="O11" s="14"/>
      <c r="P11" s="27"/>
      <c r="R11" s="31"/>
      <c r="S11" s="13"/>
      <c r="V11" s="31"/>
      <c r="W11" s="13"/>
      <c r="X11" s="31"/>
      <c r="Z11" s="31"/>
      <c r="AA11" s="15"/>
    </row>
    <row r="12" spans="1:27" x14ac:dyDescent="0.25">
      <c r="A12" s="311"/>
      <c r="B12" s="20">
        <v>45604</v>
      </c>
      <c r="C12" s="14" t="s">
        <v>71</v>
      </c>
      <c r="D12" s="27"/>
      <c r="F12" s="35"/>
      <c r="H12" s="31"/>
      <c r="I12" s="13"/>
      <c r="J12" s="35"/>
      <c r="L12" s="35"/>
      <c r="N12" s="35"/>
      <c r="O12" s="14"/>
      <c r="P12" s="27"/>
      <c r="Q12">
        <f>1500+800</f>
        <v>2300</v>
      </c>
      <c r="R12" s="31"/>
      <c r="S12" s="13">
        <v>1200</v>
      </c>
      <c r="V12" s="31"/>
      <c r="W12" s="13"/>
      <c r="X12" s="31"/>
      <c r="Z12" s="31"/>
      <c r="AA12" s="15"/>
    </row>
    <row r="13" spans="1:27" x14ac:dyDescent="0.25">
      <c r="A13" s="311"/>
      <c r="B13" s="20">
        <v>45605</v>
      </c>
      <c r="C13" s="14" t="s">
        <v>71</v>
      </c>
      <c r="D13" s="27"/>
      <c r="F13" s="35"/>
      <c r="H13" s="31"/>
      <c r="I13" s="13"/>
      <c r="J13" s="35"/>
      <c r="L13" s="35"/>
      <c r="N13" s="35"/>
      <c r="O13" s="14"/>
      <c r="P13" s="27"/>
      <c r="R13" s="31"/>
      <c r="S13" s="13">
        <v>1000</v>
      </c>
      <c r="V13" s="31"/>
      <c r="W13" s="13"/>
      <c r="X13" s="31"/>
      <c r="Z13" s="31"/>
      <c r="AA13" s="15"/>
    </row>
    <row r="14" spans="1:27" x14ac:dyDescent="0.25">
      <c r="A14" s="311"/>
      <c r="B14" s="20">
        <v>45605</v>
      </c>
      <c r="C14" s="14" t="s">
        <v>46</v>
      </c>
      <c r="D14" s="27"/>
      <c r="F14" s="35"/>
      <c r="H14" s="31"/>
      <c r="I14" s="13"/>
      <c r="J14" s="35"/>
      <c r="L14" s="35">
        <v>2000</v>
      </c>
      <c r="N14" s="35"/>
      <c r="O14" s="14"/>
      <c r="P14" s="27"/>
      <c r="R14" s="31"/>
      <c r="S14" s="13"/>
      <c r="V14" s="31"/>
      <c r="W14" s="13"/>
      <c r="X14" s="31"/>
      <c r="Z14" s="31"/>
      <c r="AA14" s="15"/>
    </row>
    <row r="15" spans="1:27" x14ac:dyDescent="0.25">
      <c r="A15" s="311"/>
      <c r="B15" s="20"/>
      <c r="C15" s="14"/>
      <c r="D15" s="27"/>
      <c r="F15" s="35"/>
      <c r="H15" s="31"/>
      <c r="I15" s="13"/>
      <c r="J15" s="35"/>
      <c r="L15" s="35"/>
      <c r="N15" s="35"/>
      <c r="O15" s="14"/>
      <c r="P15" s="27"/>
      <c r="R15" s="31"/>
      <c r="S15" s="13"/>
      <c r="V15" s="31"/>
      <c r="W15" s="13"/>
      <c r="X15" s="31"/>
      <c r="Z15" s="31"/>
      <c r="AA15" s="15"/>
    </row>
    <row r="16" spans="1:27" x14ac:dyDescent="0.25">
      <c r="A16" s="311"/>
      <c r="B16" s="20"/>
      <c r="C16" s="14"/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/>
      <c r="V16" s="31"/>
      <c r="W16" s="13"/>
      <c r="X16" s="31"/>
      <c r="Z16" s="31"/>
      <c r="AA16" s="15"/>
    </row>
    <row r="17" spans="1:27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R17" s="31"/>
      <c r="S17" s="13"/>
      <c r="V17" s="31"/>
      <c r="W17" s="13"/>
      <c r="X17" s="31"/>
      <c r="Z17" s="31"/>
      <c r="AA17" s="15"/>
    </row>
    <row r="18" spans="1:27" ht="15.75" thickBot="1" x14ac:dyDescent="0.3">
      <c r="A18" s="312"/>
      <c r="B18" s="72"/>
      <c r="C18" s="17"/>
      <c r="D18" s="28"/>
      <c r="E18" s="18"/>
      <c r="F18" s="36"/>
      <c r="G18" s="18"/>
      <c r="H18" s="32"/>
      <c r="I18" s="16"/>
      <c r="J18" s="36"/>
      <c r="K18" s="18"/>
      <c r="L18" s="36"/>
      <c r="M18" s="18"/>
      <c r="N18" s="36"/>
      <c r="O18" s="17"/>
      <c r="P18" s="28"/>
      <c r="Q18" s="18"/>
      <c r="R18" s="32"/>
      <c r="S18" s="16"/>
      <c r="T18" s="18"/>
      <c r="U18" s="18"/>
      <c r="V18" s="32"/>
      <c r="W18" s="16"/>
      <c r="X18" s="32"/>
      <c r="Y18" s="18"/>
      <c r="Z18" s="32"/>
      <c r="AA18" s="19"/>
    </row>
    <row r="19" spans="1:27" x14ac:dyDescent="0.25">
      <c r="A19" s="310" t="s">
        <v>62</v>
      </c>
      <c r="B19" s="20">
        <v>45600</v>
      </c>
      <c r="C19" s="14" t="s">
        <v>79</v>
      </c>
      <c r="D19" s="27">
        <f>600+1600</f>
        <v>2200</v>
      </c>
      <c r="F19" s="35"/>
      <c r="G19">
        <v>500</v>
      </c>
      <c r="H19" s="31"/>
      <c r="I19" s="13"/>
      <c r="J19" s="35"/>
      <c r="L19" s="35"/>
      <c r="N19" s="35"/>
      <c r="O19" s="14"/>
      <c r="P19" s="27"/>
      <c r="R19" s="31"/>
      <c r="S19" s="13"/>
      <c r="V19" s="31"/>
      <c r="W19" s="13"/>
      <c r="X19" s="31"/>
      <c r="Z19" s="31"/>
      <c r="AA19" s="15"/>
    </row>
    <row r="20" spans="1:27" x14ac:dyDescent="0.25">
      <c r="A20" s="311"/>
      <c r="B20" s="20">
        <v>45601</v>
      </c>
      <c r="C20" s="14" t="s">
        <v>38</v>
      </c>
      <c r="D20" s="27"/>
      <c r="F20" s="35"/>
      <c r="H20" s="31"/>
      <c r="I20" s="13"/>
      <c r="J20" s="35"/>
      <c r="L20" s="35"/>
      <c r="N20" s="35"/>
      <c r="O20" s="14"/>
      <c r="P20" s="27"/>
      <c r="R20" s="31"/>
      <c r="S20" s="13"/>
      <c r="T20">
        <v>160</v>
      </c>
      <c r="V20" s="31"/>
      <c r="W20" s="13"/>
      <c r="X20" s="31"/>
      <c r="Z20" s="31"/>
      <c r="AA20" s="15"/>
    </row>
    <row r="21" spans="1:27" x14ac:dyDescent="0.25">
      <c r="A21" s="311"/>
      <c r="B21" s="20">
        <v>45601</v>
      </c>
      <c r="C21" s="14" t="s">
        <v>79</v>
      </c>
      <c r="D21" s="27">
        <v>300</v>
      </c>
      <c r="F21" s="35"/>
      <c r="G21">
        <v>455</v>
      </c>
      <c r="H21" s="31"/>
      <c r="I21" s="13"/>
      <c r="J21" s="35"/>
      <c r="L21" s="35"/>
      <c r="N21" s="35"/>
      <c r="O21" s="14"/>
      <c r="P21" s="27"/>
      <c r="Q21">
        <v>350</v>
      </c>
      <c r="R21" s="31"/>
      <c r="S21" s="13"/>
      <c r="V21" s="31"/>
      <c r="W21" s="13">
        <v>40</v>
      </c>
      <c r="X21" s="31"/>
      <c r="Z21" s="31"/>
      <c r="AA21" s="15"/>
    </row>
    <row r="22" spans="1:27" x14ac:dyDescent="0.25">
      <c r="A22" s="311"/>
      <c r="B22" s="20">
        <v>45602</v>
      </c>
      <c r="C22" s="14" t="s">
        <v>79</v>
      </c>
      <c r="D22" s="27"/>
      <c r="F22" s="35"/>
      <c r="G22">
        <f>40+500</f>
        <v>540</v>
      </c>
      <c r="H22" s="31"/>
      <c r="I22" s="13"/>
      <c r="J22" s="35">
        <v>89</v>
      </c>
      <c r="L22" s="35"/>
      <c r="N22" s="35"/>
      <c r="O22" s="14">
        <f>500+11</f>
        <v>511</v>
      </c>
      <c r="P22" s="27"/>
      <c r="Q22">
        <v>17</v>
      </c>
      <c r="R22" s="31"/>
      <c r="S22" s="13"/>
      <c r="V22" s="31"/>
      <c r="W22" s="13"/>
      <c r="X22" s="31"/>
      <c r="Z22" s="31"/>
      <c r="AA22" s="15"/>
    </row>
    <row r="23" spans="1:27" x14ac:dyDescent="0.25">
      <c r="A23" s="311"/>
      <c r="B23" s="20">
        <v>45602</v>
      </c>
      <c r="C23" s="14" t="s">
        <v>38</v>
      </c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>
        <v>1800</v>
      </c>
      <c r="AA23" s="15"/>
    </row>
    <row r="24" spans="1:27" x14ac:dyDescent="0.25">
      <c r="A24" s="311"/>
      <c r="B24" s="20">
        <v>45603</v>
      </c>
      <c r="C24" s="14" t="s">
        <v>79</v>
      </c>
      <c r="D24" s="83"/>
      <c r="F24" s="35"/>
      <c r="G24">
        <f>4000+200+500</f>
        <v>4700</v>
      </c>
      <c r="H24" s="31"/>
      <c r="I24" s="13"/>
      <c r="J24" s="35"/>
      <c r="L24" s="35"/>
      <c r="N24" s="35"/>
      <c r="O24" s="14">
        <v>100</v>
      </c>
      <c r="P24" s="27"/>
      <c r="Q24" s="52">
        <v>800</v>
      </c>
      <c r="R24" s="31"/>
      <c r="S24" s="13"/>
      <c r="V24" s="31"/>
      <c r="W24" s="13"/>
      <c r="X24" s="31">
        <f>125+60</f>
        <v>185</v>
      </c>
      <c r="Z24" s="31"/>
      <c r="AA24" s="15"/>
    </row>
    <row r="25" spans="1:27" x14ac:dyDescent="0.25">
      <c r="A25" s="311"/>
      <c r="B25" s="20">
        <v>45604</v>
      </c>
      <c r="C25" s="14" t="s">
        <v>79</v>
      </c>
      <c r="D25" s="27"/>
      <c r="F25" s="35"/>
      <c r="H25" s="31"/>
      <c r="I25" s="13"/>
      <c r="J25" s="35"/>
      <c r="L25" s="35"/>
      <c r="N25" s="35"/>
      <c r="O25" s="14">
        <v>1000</v>
      </c>
      <c r="P25" s="27"/>
      <c r="Q25">
        <v>200</v>
      </c>
      <c r="R25" s="31"/>
      <c r="S25" s="83">
        <f>450+1000</f>
        <v>1450</v>
      </c>
      <c r="V25" s="31"/>
      <c r="W25" s="13"/>
      <c r="X25" s="31"/>
      <c r="Z25" s="31"/>
      <c r="AA25" s="15"/>
    </row>
    <row r="26" spans="1:27" x14ac:dyDescent="0.25">
      <c r="A26" s="311"/>
      <c r="B26" s="20">
        <v>45605</v>
      </c>
      <c r="C26" s="14" t="s">
        <v>79</v>
      </c>
      <c r="D26" s="27"/>
      <c r="F26" s="35"/>
      <c r="G26">
        <v>1000</v>
      </c>
      <c r="H26" s="31"/>
      <c r="I26" s="13"/>
      <c r="J26" s="35"/>
      <c r="L26" s="35"/>
      <c r="N26" s="35">
        <v>1000</v>
      </c>
      <c r="O26" s="14"/>
      <c r="P26" s="27"/>
      <c r="R26" s="31"/>
      <c r="S26" s="13">
        <v>20</v>
      </c>
      <c r="V26" s="31"/>
      <c r="W26" s="13"/>
      <c r="X26" s="31">
        <v>200</v>
      </c>
      <c r="Z26" s="31"/>
      <c r="AA26" s="15"/>
    </row>
    <row r="27" spans="1:27" x14ac:dyDescent="0.25">
      <c r="A27" s="311"/>
      <c r="B27" s="20"/>
      <c r="C27" s="14"/>
      <c r="D27" s="27"/>
      <c r="F27" s="35"/>
      <c r="H27" s="31"/>
      <c r="I27" s="13"/>
      <c r="J27" s="35"/>
      <c r="L27" s="35"/>
      <c r="N27" s="35"/>
      <c r="O27" s="14"/>
      <c r="P27" s="27"/>
      <c r="R27" s="31"/>
      <c r="S27" s="13"/>
      <c r="V27" s="31"/>
      <c r="W27" s="13"/>
      <c r="X27" s="31"/>
      <c r="Z27" s="31"/>
      <c r="AA27" s="15"/>
    </row>
    <row r="28" spans="1:27" x14ac:dyDescent="0.25">
      <c r="A28" s="311"/>
      <c r="B28" s="20"/>
      <c r="C28" s="14"/>
      <c r="D28" s="27"/>
      <c r="F28" s="35"/>
      <c r="H28" s="31"/>
      <c r="I28" s="13"/>
      <c r="J28" s="35"/>
      <c r="L28" s="35"/>
      <c r="N28" s="35"/>
      <c r="O28" s="14"/>
      <c r="P28" s="27"/>
      <c r="R28" s="31"/>
      <c r="S28" s="13"/>
      <c r="V28" s="31"/>
      <c r="W28" s="13"/>
      <c r="X28" s="31"/>
      <c r="Z28" s="31"/>
      <c r="AA28" s="15"/>
    </row>
    <row r="29" spans="1:27" ht="15.75" thickBot="1" x14ac:dyDescent="0.3">
      <c r="A29" s="312"/>
      <c r="B29" s="13"/>
      <c r="C29" s="14"/>
      <c r="D29" s="27"/>
      <c r="F29" s="35"/>
      <c r="H29" s="31"/>
      <c r="I29" s="13"/>
      <c r="J29" s="35"/>
      <c r="L29" s="35"/>
      <c r="N29" s="35"/>
      <c r="O29" s="14"/>
      <c r="P29" s="27"/>
      <c r="R29" s="31"/>
      <c r="S29" s="13"/>
      <c r="V29" s="31"/>
      <c r="W29" s="13"/>
      <c r="X29" s="31"/>
      <c r="Z29" s="31"/>
      <c r="AA29" s="15"/>
    </row>
    <row r="30" spans="1:27" ht="21.75" thickBot="1" x14ac:dyDescent="0.3">
      <c r="A30" s="21" t="s">
        <v>23</v>
      </c>
      <c r="B30" s="22"/>
      <c r="C30" s="23"/>
      <c r="D30" s="29">
        <f t="shared" ref="D30:AA30" si="0">SUM(D4:D18)-SUM(D19:D29)</f>
        <v>110</v>
      </c>
      <c r="E30" s="22">
        <f t="shared" si="0"/>
        <v>0</v>
      </c>
      <c r="F30" s="37">
        <f t="shared" si="0"/>
        <v>0</v>
      </c>
      <c r="G30" s="24">
        <f t="shared" si="0"/>
        <v>1855</v>
      </c>
      <c r="H30" s="33">
        <f t="shared" si="0"/>
        <v>0</v>
      </c>
      <c r="I30" s="22">
        <f t="shared" si="0"/>
        <v>0</v>
      </c>
      <c r="J30" s="37">
        <f t="shared" si="0"/>
        <v>0</v>
      </c>
      <c r="K30" s="24">
        <f t="shared" si="0"/>
        <v>561</v>
      </c>
      <c r="L30" s="37">
        <f t="shared" si="0"/>
        <v>3000</v>
      </c>
      <c r="M30" s="24">
        <f t="shared" si="0"/>
        <v>0</v>
      </c>
      <c r="N30" s="37">
        <f t="shared" si="0"/>
        <v>500</v>
      </c>
      <c r="O30" s="23">
        <f t="shared" si="0"/>
        <v>2025</v>
      </c>
      <c r="P30" s="29">
        <f t="shared" si="0"/>
        <v>7</v>
      </c>
      <c r="Q30" s="24">
        <f t="shared" si="0"/>
        <v>1393</v>
      </c>
      <c r="R30" s="33">
        <f t="shared" si="0"/>
        <v>725</v>
      </c>
      <c r="S30" s="22">
        <f t="shared" si="0"/>
        <v>738</v>
      </c>
      <c r="T30" s="22">
        <f t="shared" si="0"/>
        <v>30</v>
      </c>
      <c r="U30" s="22">
        <f t="shared" si="0"/>
        <v>3</v>
      </c>
      <c r="V30" s="33">
        <f t="shared" si="0"/>
        <v>282</v>
      </c>
      <c r="W30" s="22">
        <f t="shared" si="0"/>
        <v>245</v>
      </c>
      <c r="X30" s="33">
        <f t="shared" si="0"/>
        <v>785</v>
      </c>
      <c r="Y30" s="22">
        <f t="shared" si="0"/>
        <v>19</v>
      </c>
      <c r="Z30" s="33">
        <f t="shared" si="0"/>
        <v>2700</v>
      </c>
      <c r="AA30" s="25">
        <f t="shared" si="0"/>
        <v>0</v>
      </c>
    </row>
    <row r="32" spans="1:27" x14ac:dyDescent="0.25">
      <c r="D32">
        <f>D30*0.33</f>
        <v>36.300000000000004</v>
      </c>
      <c r="E32">
        <f>+E30*0.3</f>
        <v>0</v>
      </c>
      <c r="F32">
        <f>+F30*0.28</f>
        <v>0</v>
      </c>
      <c r="G32">
        <f>+G30*0.33</f>
        <v>612.15</v>
      </c>
      <c r="H32">
        <f>+H30*0.37</f>
        <v>0</v>
      </c>
      <c r="I32">
        <f>+I30*0.5</f>
        <v>0</v>
      </c>
      <c r="J32">
        <f>+J30*0.51</f>
        <v>0</v>
      </c>
      <c r="K32" s="50">
        <f>+K30*0.82-(261*0.06398)</f>
        <v>443.32121999999998</v>
      </c>
      <c r="L32">
        <f>+L30*0.61</f>
        <v>1830</v>
      </c>
      <c r="M32">
        <f>+M30*0.66</f>
        <v>0</v>
      </c>
      <c r="N32">
        <f>+N30*0.63</f>
        <v>315</v>
      </c>
      <c r="O32">
        <f>+O30*0.54</f>
        <v>1093.5</v>
      </c>
      <c r="P32">
        <f>+P30*1.9515</f>
        <v>13.660500000000001</v>
      </c>
      <c r="Q32">
        <f>+Q30*1.75</f>
        <v>2437.75</v>
      </c>
      <c r="R32">
        <f>+R30*1.57</f>
        <v>1138.25</v>
      </c>
      <c r="S32">
        <f>+S30*1.8</f>
        <v>1328.4</v>
      </c>
      <c r="T32">
        <f>+T30*1.85</f>
        <v>55.5</v>
      </c>
      <c r="U32">
        <f>+U30*2.18</f>
        <v>6.5400000000000009</v>
      </c>
      <c r="V32">
        <f>+V30*1.8+(22*0.17)</f>
        <v>511.34000000000003</v>
      </c>
      <c r="W32">
        <f>+W30*0.39</f>
        <v>95.55</v>
      </c>
      <c r="X32">
        <f>+X30*0.29</f>
        <v>227.64999999999998</v>
      </c>
      <c r="Y32" s="50">
        <f>+Y30*1.9</f>
        <v>36.1</v>
      </c>
      <c r="Z32">
        <f>+Z30*0.93</f>
        <v>2511</v>
      </c>
      <c r="AA32">
        <f>+AA30*2</f>
        <v>0</v>
      </c>
    </row>
    <row r="34" spans="7:27" x14ac:dyDescent="0.25">
      <c r="G34">
        <f>2950*0.34</f>
        <v>1003.0000000000001</v>
      </c>
      <c r="K34" s="50"/>
      <c r="S34">
        <f>2.1-1.82</f>
        <v>0.28000000000000003</v>
      </c>
      <c r="Y34" s="71"/>
      <c r="AA34" s="39">
        <f>SUM(D32:AA32)</f>
        <v>12692.01172</v>
      </c>
    </row>
    <row r="35" spans="7:27" x14ac:dyDescent="0.25">
      <c r="G35">
        <f>50*0.3</f>
        <v>15</v>
      </c>
      <c r="O35">
        <f>136*0.525</f>
        <v>71.400000000000006</v>
      </c>
      <c r="S35">
        <f>+S34*300</f>
        <v>84.000000000000014</v>
      </c>
    </row>
    <row r="37" spans="7:27" x14ac:dyDescent="0.25">
      <c r="M37">
        <f>2.2*2000</f>
        <v>4400</v>
      </c>
      <c r="Q37">
        <f>243*1.78</f>
        <v>432.54</v>
      </c>
      <c r="S37">
        <f>8*1.82</f>
        <v>14.56</v>
      </c>
      <c r="T37">
        <f>+S30-470</f>
        <v>268</v>
      </c>
    </row>
    <row r="38" spans="7:27" x14ac:dyDescent="0.25">
      <c r="O38">
        <f>540-480</f>
        <v>60</v>
      </c>
      <c r="Q38">
        <f>557*1.75</f>
        <v>974.75</v>
      </c>
      <c r="S38">
        <f>12*1.8</f>
        <v>21.6</v>
      </c>
    </row>
    <row r="39" spans="7:27" x14ac:dyDescent="0.25">
      <c r="O39" s="81"/>
      <c r="Q39">
        <f>+Q37+Q38</f>
        <v>1407.29</v>
      </c>
      <c r="S39">
        <f>+S37+S38</f>
        <v>36.160000000000004</v>
      </c>
    </row>
    <row r="40" spans="7:27" x14ac:dyDescent="0.25">
      <c r="Q40" s="85">
        <f>+Q39/800</f>
        <v>1.7591124999999999</v>
      </c>
      <c r="S40">
        <f>+S39/20</f>
        <v>1.8080000000000003</v>
      </c>
    </row>
    <row r="41" spans="7:27" x14ac:dyDescent="0.25">
      <c r="Q41" s="84">
        <f>+S39/20</f>
        <v>1.8080000000000003</v>
      </c>
    </row>
    <row r="44" spans="7:27" x14ac:dyDescent="0.25">
      <c r="J44">
        <v>1971.6</v>
      </c>
    </row>
    <row r="46" spans="7:27" x14ac:dyDescent="0.25">
      <c r="J46">
        <f>850*1.85</f>
        <v>1572.5</v>
      </c>
    </row>
    <row r="47" spans="7:27" x14ac:dyDescent="0.25">
      <c r="J47">
        <f>+J44+J46</f>
        <v>3544.1</v>
      </c>
    </row>
  </sheetData>
  <mergeCells count="7">
    <mergeCell ref="W2:X2"/>
    <mergeCell ref="A4:A18"/>
    <mergeCell ref="A19:A29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0B99-8DC1-419B-9D1D-66025ED2E074}">
  <dimension ref="A1:AA45"/>
  <sheetViews>
    <sheetView zoomScale="60" zoomScaleNormal="6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P29" sqref="P29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9.85546875" customWidth="1"/>
    <col min="18" max="18" width="10.28515625" customWidth="1"/>
    <col min="19" max="21" width="10.7109375" customWidth="1"/>
    <col min="22" max="22" width="15.140625" customWidth="1"/>
    <col min="23" max="23" width="14.42578125" customWidth="1"/>
    <col min="24" max="24" width="12.28515625" bestFit="1" customWidth="1"/>
    <col min="25" max="25" width="18.85546875" bestFit="1" customWidth="1"/>
    <col min="26" max="26" width="12.28515625" customWidth="1"/>
    <col min="27" max="27" width="12.5703125" customWidth="1"/>
  </cols>
  <sheetData>
    <row r="1" spans="1:27" ht="33" customHeight="1" thickBot="1" x14ac:dyDescent="0.3"/>
    <row r="2" spans="1:27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09"/>
      <c r="S2" s="308" t="s">
        <v>3</v>
      </c>
      <c r="T2" s="313"/>
      <c r="U2" s="313"/>
      <c r="V2" s="309"/>
      <c r="W2" s="308" t="s">
        <v>4</v>
      </c>
      <c r="X2" s="309"/>
      <c r="Y2" s="40" t="s">
        <v>47</v>
      </c>
      <c r="Z2" s="40" t="s">
        <v>31</v>
      </c>
      <c r="AA2" s="46" t="s">
        <v>5</v>
      </c>
    </row>
    <row r="3" spans="1:27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16</v>
      </c>
      <c r="R3" s="8" t="s">
        <v>8</v>
      </c>
      <c r="S3" s="6" t="s">
        <v>16</v>
      </c>
      <c r="T3" s="7" t="s">
        <v>69</v>
      </c>
      <c r="U3" s="7" t="s">
        <v>12</v>
      </c>
      <c r="V3" s="8" t="s">
        <v>13</v>
      </c>
      <c r="W3" s="6" t="s">
        <v>17</v>
      </c>
      <c r="X3" s="8" t="s">
        <v>18</v>
      </c>
      <c r="Y3" s="7" t="s">
        <v>9</v>
      </c>
      <c r="Z3" s="7" t="s">
        <v>77</v>
      </c>
      <c r="AA3" s="10" t="s">
        <v>34</v>
      </c>
    </row>
    <row r="4" spans="1:27" x14ac:dyDescent="0.25">
      <c r="A4" s="310" t="s">
        <v>19</v>
      </c>
      <c r="B4" s="49"/>
      <c r="C4" s="2"/>
      <c r="D4" s="42">
        <f>'STOCK 03 a  09'!D30</f>
        <v>110</v>
      </c>
      <c r="E4" s="42">
        <f>'STOCK 03 a  09'!E30</f>
        <v>0</v>
      </c>
      <c r="F4" s="42">
        <f>'STOCK 03 a  09'!F30</f>
        <v>0</v>
      </c>
      <c r="G4" s="42">
        <f>'STOCK 03 a  09'!G30</f>
        <v>1855</v>
      </c>
      <c r="H4" s="42">
        <f>'STOCK 03 a  09'!H30</f>
        <v>0</v>
      </c>
      <c r="I4" s="42">
        <f>'STOCK 03 a  09'!I30</f>
        <v>0</v>
      </c>
      <c r="J4" s="42">
        <f>'STOCK 03 a  09'!J30</f>
        <v>0</v>
      </c>
      <c r="K4" s="42">
        <f>'STOCK 03 a  09'!K30</f>
        <v>561</v>
      </c>
      <c r="L4" s="42">
        <f>'STOCK 03 a  09'!L30</f>
        <v>3000</v>
      </c>
      <c r="M4" s="42">
        <f>'STOCK 03 a  09'!M30</f>
        <v>0</v>
      </c>
      <c r="N4" s="42">
        <f>'STOCK 03 a  09'!N30</f>
        <v>500</v>
      </c>
      <c r="O4" s="42">
        <f>'STOCK 03 a  09'!O30</f>
        <v>2025</v>
      </c>
      <c r="P4" s="42">
        <v>0</v>
      </c>
      <c r="Q4" s="42">
        <f>'STOCK 03 a  09'!Q30</f>
        <v>1393</v>
      </c>
      <c r="R4" s="42">
        <f>'STOCK 03 a  09'!R30</f>
        <v>725</v>
      </c>
      <c r="S4" s="42">
        <f>'STOCK 03 a  09'!S30</f>
        <v>738</v>
      </c>
      <c r="T4" s="42">
        <f>'STOCK 03 a  09'!T30</f>
        <v>30</v>
      </c>
      <c r="U4" s="42">
        <f>'STOCK 03 a  09'!U30</f>
        <v>3</v>
      </c>
      <c r="V4" s="42">
        <f>'STOCK 03 a  09'!V30</f>
        <v>282</v>
      </c>
      <c r="W4" s="42">
        <f>'STOCK 03 a  09'!W30</f>
        <v>245</v>
      </c>
      <c r="X4" s="42">
        <f>'STOCK 03 a  09'!X30</f>
        <v>785</v>
      </c>
      <c r="Y4" s="42">
        <f>'STOCK 03 a  09'!Y30</f>
        <v>19</v>
      </c>
      <c r="Z4" s="42">
        <f>'STOCK 03 a  09'!Z30</f>
        <v>2700</v>
      </c>
      <c r="AA4" s="42">
        <f>'STOCK 03 a  09'!AA30</f>
        <v>0</v>
      </c>
    </row>
    <row r="5" spans="1:27" x14ac:dyDescent="0.25">
      <c r="A5" s="311"/>
      <c r="B5" s="20">
        <v>45607</v>
      </c>
      <c r="C5" s="82" t="s">
        <v>80</v>
      </c>
      <c r="D5" s="27"/>
      <c r="F5" s="35"/>
      <c r="H5" s="31"/>
      <c r="I5" s="13"/>
      <c r="J5" s="35"/>
      <c r="L5" s="35"/>
      <c r="N5" s="35"/>
      <c r="O5" s="14"/>
      <c r="P5" s="27"/>
      <c r="R5" s="31"/>
      <c r="S5" s="13"/>
      <c r="V5" s="31"/>
      <c r="W5" s="13"/>
      <c r="X5" s="31"/>
      <c r="Z5" s="31">
        <v>800</v>
      </c>
      <c r="AA5" s="15"/>
    </row>
    <row r="6" spans="1:27" x14ac:dyDescent="0.25">
      <c r="A6" s="311"/>
      <c r="B6" s="20">
        <v>45607</v>
      </c>
      <c r="C6" s="82" t="s">
        <v>27</v>
      </c>
      <c r="D6" s="27"/>
      <c r="F6" s="35"/>
      <c r="H6" s="31"/>
      <c r="I6" s="13"/>
      <c r="J6" s="35"/>
      <c r="L6" s="35"/>
      <c r="N6" s="35"/>
      <c r="O6" s="14"/>
      <c r="P6" s="27"/>
      <c r="R6" s="31"/>
      <c r="S6" s="13"/>
      <c r="V6" s="31"/>
      <c r="W6" s="13"/>
      <c r="X6" s="31"/>
      <c r="Z6" s="31">
        <v>700</v>
      </c>
      <c r="AA6" s="15"/>
    </row>
    <row r="7" spans="1:27" x14ac:dyDescent="0.25">
      <c r="A7" s="311"/>
      <c r="B7" s="20">
        <v>45608</v>
      </c>
      <c r="C7" s="82" t="s">
        <v>27</v>
      </c>
      <c r="D7" s="27"/>
      <c r="F7" s="35"/>
      <c r="G7">
        <v>1500</v>
      </c>
      <c r="H7" s="31"/>
      <c r="I7" s="13"/>
      <c r="J7" s="35"/>
      <c r="L7" s="35"/>
      <c r="N7" s="35"/>
      <c r="O7" s="14"/>
      <c r="P7" s="27"/>
      <c r="R7" s="31"/>
      <c r="S7" s="13"/>
      <c r="V7" s="31"/>
      <c r="W7" s="13"/>
      <c r="X7" s="31"/>
      <c r="Z7" s="31"/>
      <c r="AA7" s="15"/>
    </row>
    <row r="8" spans="1:27" x14ac:dyDescent="0.25">
      <c r="A8" s="311"/>
      <c r="B8" s="20">
        <v>45609</v>
      </c>
      <c r="C8" s="82" t="s">
        <v>80</v>
      </c>
      <c r="D8" s="27"/>
      <c r="F8" s="35"/>
      <c r="H8" s="31"/>
      <c r="I8" s="13"/>
      <c r="J8" s="35"/>
      <c r="L8" s="35"/>
      <c r="N8" s="35"/>
      <c r="O8" s="14"/>
      <c r="P8" s="27">
        <v>1000</v>
      </c>
      <c r="R8" s="31"/>
      <c r="S8" s="13"/>
      <c r="V8" s="31"/>
      <c r="W8" s="13"/>
      <c r="X8" s="31"/>
      <c r="Z8" s="31"/>
      <c r="AA8" s="15"/>
    </row>
    <row r="9" spans="1:27" x14ac:dyDescent="0.25">
      <c r="A9" s="311"/>
      <c r="B9" s="20">
        <v>45609</v>
      </c>
      <c r="C9" s="14" t="s">
        <v>27</v>
      </c>
      <c r="D9" s="27"/>
      <c r="F9" s="35"/>
      <c r="G9">
        <v>2500</v>
      </c>
      <c r="H9" s="31"/>
      <c r="I9" s="13"/>
      <c r="J9" s="35"/>
      <c r="L9" s="35"/>
      <c r="N9" s="35"/>
      <c r="O9" s="14"/>
      <c r="P9" s="27"/>
      <c r="R9" s="31"/>
      <c r="S9" s="13"/>
      <c r="V9" s="31"/>
      <c r="W9" s="13"/>
      <c r="X9" s="31"/>
      <c r="Z9" s="31"/>
      <c r="AA9" s="15"/>
    </row>
    <row r="10" spans="1:27" x14ac:dyDescent="0.25">
      <c r="A10" s="311"/>
      <c r="B10" s="20">
        <v>45610</v>
      </c>
      <c r="C10" s="14" t="s">
        <v>81</v>
      </c>
      <c r="D10" s="27"/>
      <c r="F10" s="35"/>
      <c r="H10" s="31"/>
      <c r="I10" s="13"/>
      <c r="J10" s="35"/>
      <c r="L10" s="35"/>
      <c r="N10" s="35"/>
      <c r="O10" s="14"/>
      <c r="P10" s="27"/>
      <c r="R10" s="31"/>
      <c r="S10" s="13"/>
      <c r="V10" s="31"/>
      <c r="W10" s="13">
        <v>500</v>
      </c>
      <c r="X10" s="31"/>
      <c r="Z10" s="31"/>
      <c r="AA10" s="15"/>
    </row>
    <row r="11" spans="1:27" x14ac:dyDescent="0.25">
      <c r="A11" s="311"/>
      <c r="B11" s="20">
        <v>45611</v>
      </c>
      <c r="C11" s="14" t="s">
        <v>81</v>
      </c>
      <c r="D11" s="27"/>
      <c r="F11" s="35"/>
      <c r="H11" s="31"/>
      <c r="I11" s="13"/>
      <c r="J11" s="35"/>
      <c r="L11" s="35"/>
      <c r="N11" s="35"/>
      <c r="O11" s="14"/>
      <c r="P11" s="27"/>
      <c r="R11" s="31"/>
      <c r="S11" s="13"/>
      <c r="V11" s="31"/>
      <c r="W11" s="13"/>
      <c r="X11" s="31">
        <v>1500</v>
      </c>
      <c r="Z11" s="31"/>
      <c r="AA11" s="15"/>
    </row>
    <row r="12" spans="1:27" x14ac:dyDescent="0.25">
      <c r="A12" s="311"/>
      <c r="B12" s="20">
        <v>45612</v>
      </c>
      <c r="C12" s="14" t="s">
        <v>82</v>
      </c>
      <c r="D12" s="27"/>
      <c r="F12" s="35"/>
      <c r="H12" s="31"/>
      <c r="I12" s="13"/>
      <c r="J12" s="35"/>
      <c r="L12" s="35"/>
      <c r="N12" s="35"/>
      <c r="O12" s="14"/>
      <c r="P12" s="27"/>
      <c r="R12" s="31"/>
      <c r="S12" s="13">
        <v>1000</v>
      </c>
      <c r="V12" s="31"/>
      <c r="W12" s="13"/>
      <c r="X12" s="31"/>
      <c r="Z12" s="31"/>
      <c r="AA12" s="15"/>
    </row>
    <row r="13" spans="1:27" x14ac:dyDescent="0.25">
      <c r="A13" s="311"/>
      <c r="B13" s="20">
        <v>45612</v>
      </c>
      <c r="C13" s="14" t="s">
        <v>83</v>
      </c>
      <c r="D13" s="27"/>
      <c r="F13" s="35"/>
      <c r="H13" s="31"/>
      <c r="I13" s="13">
        <v>6700</v>
      </c>
      <c r="J13" s="35"/>
      <c r="L13" s="35"/>
      <c r="N13" s="35"/>
      <c r="O13" s="14"/>
      <c r="P13" s="27"/>
      <c r="R13" s="31"/>
      <c r="S13" s="13"/>
      <c r="V13" s="31"/>
      <c r="W13" s="13"/>
      <c r="X13" s="31"/>
      <c r="Z13" s="31"/>
      <c r="AA13" s="15"/>
    </row>
    <row r="14" spans="1:27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18"/>
      <c r="N14" s="36"/>
      <c r="O14" s="17"/>
      <c r="P14" s="28"/>
      <c r="Q14" s="18"/>
      <c r="R14" s="32"/>
      <c r="S14" s="16"/>
      <c r="T14" s="18"/>
      <c r="U14" s="18"/>
      <c r="V14" s="32"/>
      <c r="W14" s="16"/>
      <c r="X14" s="32"/>
      <c r="Y14" s="18"/>
      <c r="Z14" s="32"/>
      <c r="AA14" s="19"/>
    </row>
    <row r="15" spans="1:27" x14ac:dyDescent="0.25">
      <c r="A15" s="310" t="s">
        <v>62</v>
      </c>
      <c r="B15" s="20">
        <v>45607</v>
      </c>
      <c r="C15" s="14" t="s">
        <v>22</v>
      </c>
      <c r="D15" s="27"/>
      <c r="F15" s="35"/>
      <c r="G15">
        <f>500+100+120</f>
        <v>720</v>
      </c>
      <c r="H15" s="31"/>
      <c r="I15" s="13"/>
      <c r="J15" s="35"/>
      <c r="L15" s="35">
        <v>500</v>
      </c>
      <c r="N15" s="35"/>
      <c r="O15" s="14"/>
      <c r="P15" s="27"/>
      <c r="R15" s="31"/>
      <c r="S15" s="13"/>
      <c r="V15" s="31"/>
      <c r="W15" s="13"/>
      <c r="X15" s="31"/>
      <c r="Z15" s="31"/>
      <c r="AA15" s="15"/>
    </row>
    <row r="16" spans="1:27" x14ac:dyDescent="0.25">
      <c r="A16" s="311"/>
      <c r="B16" s="20">
        <v>45608</v>
      </c>
      <c r="C16" s="14" t="s">
        <v>22</v>
      </c>
      <c r="D16" s="27"/>
      <c r="F16" s="35"/>
      <c r="H16" s="31"/>
      <c r="I16" s="13"/>
      <c r="J16" s="35"/>
      <c r="L16" s="35"/>
      <c r="N16" s="35"/>
      <c r="O16" s="14"/>
      <c r="P16" s="27"/>
      <c r="R16" s="31"/>
      <c r="S16" s="13">
        <v>170</v>
      </c>
      <c r="V16" s="31"/>
      <c r="W16" s="13"/>
      <c r="X16" s="31"/>
      <c r="Z16" s="31"/>
      <c r="AA16" s="15"/>
    </row>
    <row r="17" spans="1:27" x14ac:dyDescent="0.25">
      <c r="A17" s="311"/>
      <c r="B17" s="20">
        <v>45609</v>
      </c>
      <c r="C17" s="14" t="s">
        <v>22</v>
      </c>
      <c r="D17" s="27"/>
      <c r="F17" s="35"/>
      <c r="G17">
        <v>50</v>
      </c>
      <c r="H17" s="31"/>
      <c r="I17" s="13"/>
      <c r="J17" s="35"/>
      <c r="L17" s="35"/>
      <c r="N17" s="35"/>
      <c r="O17" s="14">
        <f>150+500</f>
        <v>650</v>
      </c>
      <c r="P17" s="27"/>
      <c r="R17" s="31"/>
      <c r="S17" s="13">
        <v>300</v>
      </c>
      <c r="V17" s="31"/>
      <c r="W17" s="13"/>
      <c r="X17" s="31">
        <v>500</v>
      </c>
      <c r="Z17" s="31"/>
      <c r="AA17" s="15"/>
    </row>
    <row r="18" spans="1:27" x14ac:dyDescent="0.25">
      <c r="A18" s="311"/>
      <c r="B18" s="20">
        <v>45610</v>
      </c>
      <c r="C18" s="14" t="s">
        <v>22</v>
      </c>
      <c r="D18" s="27"/>
      <c r="F18" s="35"/>
      <c r="H18" s="31"/>
      <c r="I18" s="13"/>
      <c r="J18" s="35"/>
      <c r="L18" s="35"/>
      <c r="N18" s="35"/>
      <c r="O18" s="14"/>
      <c r="P18" s="27"/>
      <c r="Q18">
        <v>38</v>
      </c>
      <c r="R18" s="31"/>
      <c r="S18" s="13"/>
      <c r="V18" s="31"/>
      <c r="W18" s="13"/>
      <c r="X18" s="31"/>
      <c r="Z18" s="31"/>
      <c r="AA18" s="15"/>
    </row>
    <row r="19" spans="1:27" x14ac:dyDescent="0.25">
      <c r="A19" s="311"/>
      <c r="B19" s="20">
        <v>45611</v>
      </c>
      <c r="C19" s="14" t="s">
        <v>22</v>
      </c>
      <c r="D19" s="27"/>
      <c r="F19" s="35"/>
      <c r="H19" s="31"/>
      <c r="I19" s="13">
        <v>500</v>
      </c>
      <c r="J19" s="35"/>
      <c r="L19" s="35"/>
      <c r="N19" s="35"/>
      <c r="O19" s="14"/>
      <c r="P19" s="27"/>
      <c r="R19" s="31"/>
      <c r="S19" s="13"/>
      <c r="V19" s="31"/>
      <c r="W19" s="13"/>
      <c r="X19" s="31"/>
      <c r="Z19" s="31"/>
      <c r="AA19" s="15"/>
    </row>
    <row r="20" spans="1:27" x14ac:dyDescent="0.25">
      <c r="A20" s="311"/>
      <c r="B20" s="20">
        <v>45612</v>
      </c>
      <c r="C20" s="14" t="s">
        <v>22</v>
      </c>
      <c r="D20" s="27"/>
      <c r="F20" s="35"/>
      <c r="H20" s="31"/>
      <c r="I20" s="13"/>
      <c r="J20" s="35"/>
      <c r="L20" s="35"/>
      <c r="N20" s="35"/>
      <c r="O20" s="14">
        <f>100+15</f>
        <v>115</v>
      </c>
      <c r="P20" s="27"/>
      <c r="R20" s="31"/>
      <c r="S20" s="13"/>
      <c r="V20" s="31"/>
      <c r="W20" s="13">
        <v>100</v>
      </c>
      <c r="X20" s="31"/>
      <c r="Z20" s="31"/>
      <c r="AA20" s="15"/>
    </row>
    <row r="21" spans="1:27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R21" s="31"/>
      <c r="S21" s="13"/>
      <c r="V21" s="31"/>
      <c r="W21" s="13"/>
      <c r="X21" s="31"/>
      <c r="Z21" s="31"/>
      <c r="AA21" s="15"/>
    </row>
    <row r="22" spans="1:27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R22" s="31"/>
      <c r="S22" s="13"/>
      <c r="V22" s="31"/>
      <c r="W22" s="13"/>
      <c r="X22" s="31"/>
      <c r="Z22" s="31"/>
      <c r="AA22" s="15"/>
    </row>
    <row r="23" spans="1:27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R23" s="31"/>
      <c r="S23" s="13"/>
      <c r="V23" s="31"/>
      <c r="W23" s="13"/>
      <c r="X23" s="31"/>
      <c r="Z23" s="31"/>
      <c r="AA23" s="15"/>
    </row>
    <row r="24" spans="1:27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R24" s="31"/>
      <c r="S24" s="13"/>
      <c r="V24" s="31"/>
      <c r="W24" s="13"/>
      <c r="X24" s="31"/>
      <c r="Z24" s="31"/>
      <c r="AA24" s="15"/>
    </row>
    <row r="25" spans="1:27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R25" s="31"/>
      <c r="S25" s="13"/>
      <c r="V25" s="31"/>
      <c r="W25" s="13"/>
      <c r="X25" s="31"/>
      <c r="Z25" s="31"/>
      <c r="AA25" s="15"/>
    </row>
    <row r="26" spans="1:27" ht="21.75" thickBot="1" x14ac:dyDescent="0.3">
      <c r="A26" s="21" t="s">
        <v>23</v>
      </c>
      <c r="B26" s="22"/>
      <c r="C26" s="23"/>
      <c r="D26" s="29">
        <f t="shared" ref="D26:AA26" si="0">SUM(D4:D14)-SUM(D15:D25)</f>
        <v>110</v>
      </c>
      <c r="E26" s="22">
        <f t="shared" si="0"/>
        <v>0</v>
      </c>
      <c r="F26" s="37">
        <f t="shared" si="0"/>
        <v>0</v>
      </c>
      <c r="G26" s="24">
        <f t="shared" si="0"/>
        <v>5085</v>
      </c>
      <c r="H26" s="33">
        <f t="shared" si="0"/>
        <v>0</v>
      </c>
      <c r="I26" s="22">
        <f t="shared" si="0"/>
        <v>6200</v>
      </c>
      <c r="J26" s="37">
        <f t="shared" si="0"/>
        <v>0</v>
      </c>
      <c r="K26" s="24">
        <f t="shared" si="0"/>
        <v>561</v>
      </c>
      <c r="L26" s="37">
        <f t="shared" si="0"/>
        <v>2500</v>
      </c>
      <c r="M26" s="24">
        <f t="shared" si="0"/>
        <v>0</v>
      </c>
      <c r="N26" s="37">
        <f t="shared" si="0"/>
        <v>500</v>
      </c>
      <c r="O26" s="23">
        <f t="shared" si="0"/>
        <v>1260</v>
      </c>
      <c r="P26" s="29">
        <f t="shared" si="0"/>
        <v>1000</v>
      </c>
      <c r="Q26" s="24">
        <f t="shared" si="0"/>
        <v>1355</v>
      </c>
      <c r="R26" s="33">
        <f t="shared" si="0"/>
        <v>725</v>
      </c>
      <c r="S26" s="22">
        <f t="shared" si="0"/>
        <v>1268</v>
      </c>
      <c r="T26" s="22">
        <f t="shared" si="0"/>
        <v>30</v>
      </c>
      <c r="U26" s="22">
        <f t="shared" si="0"/>
        <v>3</v>
      </c>
      <c r="V26" s="33">
        <f t="shared" si="0"/>
        <v>282</v>
      </c>
      <c r="W26" s="22">
        <f t="shared" si="0"/>
        <v>645</v>
      </c>
      <c r="X26" s="33">
        <f t="shared" si="0"/>
        <v>1785</v>
      </c>
      <c r="Y26" s="22">
        <f t="shared" si="0"/>
        <v>19</v>
      </c>
      <c r="Z26" s="33">
        <f t="shared" si="0"/>
        <v>4200</v>
      </c>
      <c r="AA26" s="25">
        <f t="shared" si="0"/>
        <v>0</v>
      </c>
    </row>
    <row r="28" spans="1:27" x14ac:dyDescent="0.25">
      <c r="D28">
        <f>D26*0.33</f>
        <v>36.300000000000004</v>
      </c>
      <c r="E28">
        <f>+E26*0.3</f>
        <v>0</v>
      </c>
      <c r="F28">
        <f>+F26*0.28</f>
        <v>0</v>
      </c>
      <c r="G28">
        <f>+G26*0.33</f>
        <v>1678.0500000000002</v>
      </c>
      <c r="H28">
        <f>+H26*0.37</f>
        <v>0</v>
      </c>
      <c r="I28">
        <f>+I26*0.5</f>
        <v>3100</v>
      </c>
      <c r="J28">
        <f>+J26*0.51</f>
        <v>0</v>
      </c>
      <c r="K28" s="50">
        <f>+K26*0.82-(261*0.06398)</f>
        <v>443.32121999999998</v>
      </c>
      <c r="L28">
        <f>+L26*0.61</f>
        <v>1525</v>
      </c>
      <c r="M28">
        <f>+M26*0.66</f>
        <v>0</v>
      </c>
      <c r="N28">
        <f>+N26*0.63</f>
        <v>315</v>
      </c>
      <c r="O28">
        <f>+O26*0.54</f>
        <v>680.40000000000009</v>
      </c>
      <c r="P28">
        <f>+P26*2.04</f>
        <v>2040</v>
      </c>
      <c r="Q28">
        <f>+Q26*1.75</f>
        <v>2371.25</v>
      </c>
      <c r="R28">
        <f>+R26*1.57</f>
        <v>1138.25</v>
      </c>
      <c r="S28">
        <f>+S26*1.8</f>
        <v>2282.4</v>
      </c>
      <c r="T28">
        <f>+T26*1.85</f>
        <v>55.5</v>
      </c>
      <c r="U28">
        <f>+U26*2.18</f>
        <v>6.5400000000000009</v>
      </c>
      <c r="V28">
        <f>+V26*1.8+(22*0.17)</f>
        <v>511.34000000000003</v>
      </c>
      <c r="W28">
        <f>+W26*0.39</f>
        <v>251.55</v>
      </c>
      <c r="X28">
        <f>+X26*0.29</f>
        <v>517.65</v>
      </c>
      <c r="Y28" s="50">
        <f>+Y26*1.9</f>
        <v>36.1</v>
      </c>
      <c r="Z28">
        <f>+Z26*0.93</f>
        <v>3906</v>
      </c>
      <c r="AA28">
        <f>+AA26*2</f>
        <v>0</v>
      </c>
    </row>
    <row r="30" spans="1:27" x14ac:dyDescent="0.25">
      <c r="K30" s="50"/>
      <c r="Y30" s="71"/>
      <c r="AA30" s="39">
        <f>SUM(D28:AA28)</f>
        <v>20894.65122</v>
      </c>
    </row>
    <row r="31" spans="1:27" x14ac:dyDescent="0.25">
      <c r="M31">
        <f>480+80</f>
        <v>560</v>
      </c>
    </row>
    <row r="32" spans="1:27" x14ac:dyDescent="0.25">
      <c r="M32">
        <f>550+80</f>
        <v>630</v>
      </c>
    </row>
    <row r="33" spans="12:17" x14ac:dyDescent="0.25">
      <c r="M33">
        <f>750+110</f>
        <v>860</v>
      </c>
    </row>
    <row r="34" spans="12:17" x14ac:dyDescent="0.25">
      <c r="M34">
        <f>280+70</f>
        <v>350</v>
      </c>
    </row>
    <row r="35" spans="12:17" x14ac:dyDescent="0.25">
      <c r="M35">
        <f>340+60</f>
        <v>400</v>
      </c>
      <c r="O35" s="81"/>
    </row>
    <row r="36" spans="12:17" x14ac:dyDescent="0.25">
      <c r="Q36" s="85"/>
    </row>
    <row r="37" spans="12:17" x14ac:dyDescent="0.25">
      <c r="Q37" s="84"/>
    </row>
    <row r="38" spans="12:17" x14ac:dyDescent="0.25">
      <c r="L38">
        <f>1105*8</f>
        <v>8840</v>
      </c>
    </row>
    <row r="39" spans="12:17" x14ac:dyDescent="0.25">
      <c r="L39">
        <f>L38*3.799+2275</f>
        <v>35858.159999999996</v>
      </c>
    </row>
    <row r="40" spans="12:17" x14ac:dyDescent="0.25">
      <c r="L40">
        <f>L39-30500</f>
        <v>5358.1599999999962</v>
      </c>
    </row>
    <row r="43" spans="12:17" x14ac:dyDescent="0.25">
      <c r="L43" t="s">
        <v>84</v>
      </c>
    </row>
    <row r="45" spans="12:17" x14ac:dyDescent="0.25">
      <c r="L45">
        <v>250</v>
      </c>
      <c r="M45" t="s">
        <v>85</v>
      </c>
    </row>
  </sheetData>
  <mergeCells count="7">
    <mergeCell ref="W2:X2"/>
    <mergeCell ref="A4:A14"/>
    <mergeCell ref="A15:A25"/>
    <mergeCell ref="D2:H2"/>
    <mergeCell ref="I2:O2"/>
    <mergeCell ref="P2:R2"/>
    <mergeCell ref="S2:V2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203" verticalDpi="203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0C83-2F80-4BD7-A383-B34836CC6FC4}">
  <dimension ref="A1:AB39"/>
  <sheetViews>
    <sheetView zoomScale="60" zoomScaleNormal="60" workbookViewId="0">
      <pane xSplit="3" ySplit="3" topLeftCell="E10" activePane="bottomRight" state="frozen"/>
      <selection pane="topRight" activeCell="D1" sqref="D1"/>
      <selection pane="bottomLeft" activeCell="A4" sqref="A4"/>
      <selection pane="bottomRight" activeCell="D34" sqref="D3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28515625" customWidth="1"/>
    <col min="20" max="22" width="10.7109375" customWidth="1"/>
    <col min="23" max="23" width="15.140625" customWidth="1"/>
    <col min="24" max="24" width="14.42578125" customWidth="1"/>
    <col min="25" max="25" width="12.28515625" bestFit="1" customWidth="1"/>
    <col min="26" max="26" width="18.85546875" bestFit="1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5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34</v>
      </c>
    </row>
    <row r="4" spans="1:28" x14ac:dyDescent="0.25">
      <c r="A4" s="310" t="s">
        <v>19</v>
      </c>
      <c r="B4" s="49"/>
      <c r="C4" s="2"/>
      <c r="D4" s="42">
        <f>'STOCK 10 a  16'!D26</f>
        <v>110</v>
      </c>
      <c r="E4" s="42">
        <f>'STOCK 10 a  16'!E26</f>
        <v>0</v>
      </c>
      <c r="F4" s="42">
        <f>'STOCK 10 a  16'!F26</f>
        <v>0</v>
      </c>
      <c r="G4" s="42">
        <f>'STOCK 10 a  16'!G26</f>
        <v>5085</v>
      </c>
      <c r="H4" s="42">
        <f>'STOCK 10 a  16'!H26</f>
        <v>0</v>
      </c>
      <c r="I4" s="42">
        <f>'STOCK 10 a  16'!I26</f>
        <v>6200</v>
      </c>
      <c r="J4" s="42">
        <f>'STOCK 10 a  16'!J26</f>
        <v>0</v>
      </c>
      <c r="K4" s="42">
        <f>'STOCK 10 a  16'!K26</f>
        <v>561</v>
      </c>
      <c r="L4" s="42">
        <f>'STOCK 10 a  16'!L26</f>
        <v>2500</v>
      </c>
      <c r="M4" s="42">
        <f>'STOCK 10 a  16'!M26</f>
        <v>0</v>
      </c>
      <c r="N4" s="42">
        <f>'STOCK 10 a  16'!N26</f>
        <v>500</v>
      </c>
      <c r="O4" s="42">
        <f>'STOCK 10 a  16'!O26</f>
        <v>1260</v>
      </c>
      <c r="P4" s="42">
        <f>'STOCK 10 a  16'!P26</f>
        <v>1000</v>
      </c>
      <c r="Q4" s="42"/>
      <c r="R4" s="42">
        <f>'STOCK 10 a  16'!Q26</f>
        <v>1355</v>
      </c>
      <c r="S4" s="42">
        <f>'STOCK 10 a  16'!R26</f>
        <v>725</v>
      </c>
      <c r="T4" s="42">
        <f>'STOCK 10 a  16'!S26</f>
        <v>1268</v>
      </c>
      <c r="U4" s="42">
        <f>'STOCK 10 a  16'!T26</f>
        <v>30</v>
      </c>
      <c r="V4" s="42">
        <f>'STOCK 10 a  16'!U26</f>
        <v>3</v>
      </c>
      <c r="W4" s="42">
        <f>'STOCK 10 a  16'!V26</f>
        <v>282</v>
      </c>
      <c r="X4" s="42">
        <f>'STOCK 10 a  16'!W26</f>
        <v>645</v>
      </c>
      <c r="Y4" s="42">
        <f>'STOCK 10 a  16'!X26</f>
        <v>1785</v>
      </c>
      <c r="Z4" s="42">
        <f>'STOCK 10 a  16'!Y26</f>
        <v>19</v>
      </c>
      <c r="AA4" s="42">
        <f>'STOCK 10 a  16'!Z26</f>
        <v>4200</v>
      </c>
      <c r="AB4" s="42">
        <f>'STOCK 10 a  16'!AA26</f>
        <v>0</v>
      </c>
    </row>
    <row r="5" spans="1:28" x14ac:dyDescent="0.25">
      <c r="A5" s="311"/>
      <c r="B5" s="20">
        <v>45614</v>
      </c>
      <c r="C5" s="82" t="s">
        <v>27</v>
      </c>
      <c r="D5" s="27"/>
      <c r="F5" s="35"/>
      <c r="H5" s="31"/>
      <c r="I5" s="13"/>
      <c r="J5" s="35"/>
      <c r="L5" s="35"/>
      <c r="N5" s="35"/>
      <c r="O5" s="14"/>
      <c r="P5" s="27"/>
      <c r="S5" s="31"/>
      <c r="T5" s="13"/>
      <c r="W5" s="31"/>
      <c r="X5" s="13"/>
      <c r="Y5" s="31"/>
      <c r="AA5" s="31">
        <v>700</v>
      </c>
      <c r="AB5" s="15"/>
    </row>
    <row r="6" spans="1:28" x14ac:dyDescent="0.25">
      <c r="A6" s="311"/>
      <c r="B6" s="20">
        <v>45614</v>
      </c>
      <c r="C6" s="82" t="s">
        <v>86</v>
      </c>
      <c r="D6" s="27"/>
      <c r="F6" s="35"/>
      <c r="H6" s="31"/>
      <c r="I6" s="13"/>
      <c r="J6" s="35"/>
      <c r="L6" s="35">
        <v>1400</v>
      </c>
      <c r="N6" s="35"/>
      <c r="O6" s="14"/>
      <c r="P6" s="27"/>
      <c r="Q6">
        <v>1000</v>
      </c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45615</v>
      </c>
      <c r="C7" s="82" t="s">
        <v>27</v>
      </c>
      <c r="D7" s="27"/>
      <c r="F7" s="35"/>
      <c r="H7" s="31"/>
      <c r="I7" s="13"/>
      <c r="J7" s="35">
        <v>1000</v>
      </c>
      <c r="L7" s="35"/>
      <c r="N7" s="35"/>
      <c r="O7" s="14"/>
      <c r="P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45616</v>
      </c>
      <c r="C8" s="82" t="s">
        <v>46</v>
      </c>
      <c r="D8" s="27">
        <v>4000</v>
      </c>
      <c r="F8" s="35"/>
      <c r="H8" s="31"/>
      <c r="I8" s="13"/>
      <c r="J8" s="35"/>
      <c r="L8" s="35"/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45617</v>
      </c>
      <c r="C9" s="82" t="s">
        <v>27</v>
      </c>
      <c r="D9" s="27"/>
      <c r="F9" s="35"/>
      <c r="G9">
        <v>2000</v>
      </c>
      <c r="H9" s="31"/>
      <c r="I9" s="13"/>
      <c r="J9" s="35"/>
      <c r="L9" s="35"/>
      <c r="N9" s="35"/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>
        <v>45617</v>
      </c>
      <c r="C10" s="82" t="s">
        <v>46</v>
      </c>
      <c r="D10" s="27"/>
      <c r="F10" s="35"/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>
        <v>1000</v>
      </c>
      <c r="Y10" s="31"/>
      <c r="AA10" s="31"/>
      <c r="AB10" s="15"/>
    </row>
    <row r="11" spans="1:28" x14ac:dyDescent="0.25">
      <c r="A11" s="311"/>
      <c r="B11" s="20">
        <v>45618</v>
      </c>
      <c r="C11" s="14" t="s">
        <v>27</v>
      </c>
      <c r="D11" s="27">
        <v>4500</v>
      </c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>
        <v>45619</v>
      </c>
      <c r="C12" s="14" t="s">
        <v>46</v>
      </c>
      <c r="D12" s="27">
        <v>5000</v>
      </c>
      <c r="F12" s="35"/>
      <c r="H12" s="31"/>
      <c r="I12" s="13"/>
      <c r="J12" s="35"/>
      <c r="L12" s="35"/>
      <c r="N12" s="35"/>
      <c r="O12" s="14"/>
      <c r="P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N13" s="35"/>
      <c r="O13" s="14"/>
      <c r="P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/>
      <c r="C14" s="14"/>
      <c r="D14" s="27"/>
      <c r="F14" s="35"/>
      <c r="H14" s="31"/>
      <c r="I14" s="13"/>
      <c r="J14" s="35"/>
      <c r="L14" s="35"/>
      <c r="N14" s="35"/>
      <c r="O14" s="14"/>
      <c r="P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/>
      <c r="C15" s="14"/>
      <c r="D15" s="27"/>
      <c r="F15" s="35"/>
      <c r="H15" s="31"/>
      <c r="I15" s="13"/>
      <c r="J15" s="35"/>
      <c r="L15" s="35"/>
      <c r="N15" s="35"/>
      <c r="O15" s="14"/>
      <c r="P15" s="27"/>
      <c r="S15" s="31"/>
      <c r="T15" s="13"/>
      <c r="W15" s="31"/>
      <c r="X15" s="13"/>
      <c r="Y15" s="31"/>
      <c r="AA15" s="31"/>
      <c r="AB15" s="15"/>
    </row>
    <row r="16" spans="1:28" ht="15.75" thickBot="1" x14ac:dyDescent="0.3">
      <c r="A16" s="312"/>
      <c r="B16" s="72"/>
      <c r="C16" s="17"/>
      <c r="D16" s="28"/>
      <c r="E16" s="18"/>
      <c r="F16" s="36"/>
      <c r="G16" s="18"/>
      <c r="H16" s="32"/>
      <c r="I16" s="16"/>
      <c r="J16" s="36"/>
      <c r="K16" s="18"/>
      <c r="L16" s="36"/>
      <c r="M16" s="18"/>
      <c r="N16" s="36"/>
      <c r="O16" s="17"/>
      <c r="P16" s="28"/>
      <c r="Q16" s="18"/>
      <c r="R16" s="18"/>
      <c r="S16" s="32"/>
      <c r="T16" s="16"/>
      <c r="U16" s="18"/>
      <c r="V16" s="18"/>
      <c r="W16" s="32"/>
      <c r="X16" s="16"/>
      <c r="Y16" s="32"/>
      <c r="Z16" s="18"/>
      <c r="AA16" s="32"/>
      <c r="AB16" s="19"/>
    </row>
    <row r="17" spans="1:28" x14ac:dyDescent="0.25">
      <c r="A17" s="310" t="s">
        <v>62</v>
      </c>
      <c r="B17" s="20">
        <v>45614</v>
      </c>
      <c r="C17" s="14" t="s">
        <v>45</v>
      </c>
      <c r="D17" s="27"/>
      <c r="F17" s="35"/>
      <c r="H17" s="31"/>
      <c r="I17" s="13"/>
      <c r="J17" s="35"/>
      <c r="L17" s="35"/>
      <c r="N17" s="35"/>
      <c r="O17" s="14"/>
      <c r="P17" s="27"/>
      <c r="S17" s="31"/>
      <c r="T17" s="13"/>
      <c r="W17" s="31"/>
      <c r="X17" s="13"/>
      <c r="Y17" s="31"/>
      <c r="AA17" s="31">
        <v>2200</v>
      </c>
      <c r="AB17" s="15"/>
    </row>
    <row r="18" spans="1:28" x14ac:dyDescent="0.25">
      <c r="A18" s="311"/>
      <c r="B18" s="20">
        <v>45614</v>
      </c>
      <c r="C18" s="14" t="s">
        <v>22</v>
      </c>
      <c r="D18" s="27"/>
      <c r="F18" s="35"/>
      <c r="H18" s="31"/>
      <c r="I18" s="13"/>
      <c r="J18" s="35"/>
      <c r="L18" s="35">
        <v>1000</v>
      </c>
      <c r="N18" s="35"/>
      <c r="O18" s="14">
        <v>500</v>
      </c>
      <c r="P18" s="27"/>
      <c r="R18">
        <v>380</v>
      </c>
      <c r="S18" s="31"/>
      <c r="T18" s="13"/>
      <c r="W18" s="31"/>
      <c r="X18" s="13">
        <f>300+200+50+15</f>
        <v>565</v>
      </c>
      <c r="Y18" s="31">
        <v>200</v>
      </c>
      <c r="AA18" s="31"/>
      <c r="AB18" s="15"/>
    </row>
    <row r="19" spans="1:28" x14ac:dyDescent="0.25">
      <c r="A19" s="311"/>
      <c r="B19" s="20">
        <v>45615</v>
      </c>
      <c r="C19" s="14" t="s">
        <v>22</v>
      </c>
      <c r="D19" s="27"/>
      <c r="F19" s="35"/>
      <c r="G19">
        <v>3500</v>
      </c>
      <c r="H19" s="31"/>
      <c r="I19" s="13"/>
      <c r="J19" s="35"/>
      <c r="K19">
        <v>70</v>
      </c>
      <c r="L19" s="35"/>
      <c r="N19" s="35"/>
      <c r="O19" s="14"/>
      <c r="P19" s="27"/>
      <c r="S19" s="31"/>
      <c r="T19" s="13"/>
      <c r="W19" s="31"/>
      <c r="X19" s="13"/>
      <c r="Y19" s="31">
        <v>10</v>
      </c>
      <c r="AA19" s="31"/>
      <c r="AB19" s="15"/>
    </row>
    <row r="20" spans="1:28" x14ac:dyDescent="0.25">
      <c r="A20" s="311"/>
      <c r="B20" s="20">
        <v>45616</v>
      </c>
      <c r="C20" s="14" t="s">
        <v>22</v>
      </c>
      <c r="D20" s="27"/>
      <c r="F20" s="35"/>
      <c r="H20" s="31"/>
      <c r="I20" s="13"/>
      <c r="J20" s="35"/>
      <c r="K20">
        <v>20</v>
      </c>
      <c r="L20" s="35"/>
      <c r="N20" s="35"/>
      <c r="O20" s="14">
        <v>100</v>
      </c>
      <c r="P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>
        <v>45617</v>
      </c>
      <c r="C21" s="14" t="s">
        <v>22</v>
      </c>
      <c r="D21" s="27"/>
      <c r="F21" s="35"/>
      <c r="H21" s="31"/>
      <c r="I21" s="13"/>
      <c r="J21" s="35"/>
      <c r="L21" s="35"/>
      <c r="N21" s="35"/>
      <c r="O21" s="14"/>
      <c r="P21" s="27"/>
      <c r="S21" s="31"/>
      <c r="T21" s="13"/>
      <c r="W21" s="31"/>
      <c r="X21" s="13"/>
      <c r="Y21" s="31">
        <v>700</v>
      </c>
      <c r="AA21" s="31"/>
      <c r="AB21" s="15"/>
    </row>
    <row r="22" spans="1:28" x14ac:dyDescent="0.25">
      <c r="A22" s="311"/>
      <c r="B22" s="20">
        <v>45618</v>
      </c>
      <c r="C22" s="14" t="s">
        <v>22</v>
      </c>
      <c r="D22" s="27"/>
      <c r="F22" s="35"/>
      <c r="H22" s="31"/>
      <c r="I22" s="13"/>
      <c r="J22" s="35"/>
      <c r="L22" s="35"/>
      <c r="N22" s="35">
        <v>230</v>
      </c>
      <c r="O22" s="14"/>
      <c r="P22" s="27"/>
      <c r="R22">
        <v>15</v>
      </c>
      <c r="S22" s="31"/>
      <c r="T22" s="13"/>
      <c r="W22" s="31"/>
      <c r="X22" s="13">
        <v>200</v>
      </c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>
        <v>45602</v>
      </c>
      <c r="C24" s="14" t="s">
        <v>45</v>
      </c>
      <c r="D24" s="27"/>
      <c r="F24" s="35"/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/>
      <c r="AA24" s="31">
        <v>2200</v>
      </c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N25" s="35"/>
      <c r="O25" s="14"/>
      <c r="P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N26" s="35"/>
      <c r="O26" s="14"/>
      <c r="P26" s="27"/>
      <c r="S26" s="31"/>
      <c r="T26" s="13"/>
      <c r="W26" s="31"/>
      <c r="X26" s="13"/>
      <c r="Y26" s="31"/>
      <c r="AA26" s="31"/>
      <c r="AB26" s="15"/>
    </row>
    <row r="27" spans="1:28" ht="15.75" thickBot="1" x14ac:dyDescent="0.3">
      <c r="A27" s="312"/>
      <c r="B27" s="13"/>
      <c r="C27" s="14"/>
      <c r="D27" s="27"/>
      <c r="F27" s="35"/>
      <c r="H27" s="31"/>
      <c r="I27" s="13"/>
      <c r="J27" s="35"/>
      <c r="L27" s="35"/>
      <c r="N27" s="35"/>
      <c r="O27" s="14"/>
      <c r="P27" s="27"/>
      <c r="S27" s="31"/>
      <c r="T27" s="13"/>
      <c r="W27" s="31"/>
      <c r="X27" s="13"/>
      <c r="Y27" s="31"/>
      <c r="AA27" s="31"/>
      <c r="AB27" s="15"/>
    </row>
    <row r="28" spans="1:28" ht="21.75" thickBot="1" x14ac:dyDescent="0.3">
      <c r="A28" s="21" t="s">
        <v>23</v>
      </c>
      <c r="B28" s="22"/>
      <c r="C28" s="23"/>
      <c r="D28" s="29">
        <f t="shared" ref="D28:AB28" si="0">SUM(D4:D16)-SUM(D17:D27)</f>
        <v>13610</v>
      </c>
      <c r="E28" s="22">
        <f t="shared" si="0"/>
        <v>0</v>
      </c>
      <c r="F28" s="37">
        <f t="shared" si="0"/>
        <v>0</v>
      </c>
      <c r="G28" s="24">
        <f t="shared" si="0"/>
        <v>3585</v>
      </c>
      <c r="H28" s="33">
        <f t="shared" si="0"/>
        <v>0</v>
      </c>
      <c r="I28" s="22">
        <f t="shared" si="0"/>
        <v>6200</v>
      </c>
      <c r="J28" s="37">
        <f t="shared" si="0"/>
        <v>1000</v>
      </c>
      <c r="K28" s="24">
        <f t="shared" si="0"/>
        <v>471</v>
      </c>
      <c r="L28" s="37">
        <f t="shared" si="0"/>
        <v>2900</v>
      </c>
      <c r="M28" s="24">
        <f t="shared" si="0"/>
        <v>0</v>
      </c>
      <c r="N28" s="37">
        <f t="shared" si="0"/>
        <v>270</v>
      </c>
      <c r="O28" s="23">
        <f t="shared" si="0"/>
        <v>660</v>
      </c>
      <c r="P28" s="29">
        <f t="shared" si="0"/>
        <v>1000</v>
      </c>
      <c r="Q28" s="29">
        <f t="shared" si="0"/>
        <v>1000</v>
      </c>
      <c r="R28" s="24">
        <f t="shared" si="0"/>
        <v>960</v>
      </c>
      <c r="S28" s="33">
        <f t="shared" si="0"/>
        <v>725</v>
      </c>
      <c r="T28" s="22">
        <f t="shared" si="0"/>
        <v>1268</v>
      </c>
      <c r="U28" s="22">
        <f t="shared" si="0"/>
        <v>30</v>
      </c>
      <c r="V28" s="22">
        <f t="shared" si="0"/>
        <v>3</v>
      </c>
      <c r="W28" s="33">
        <f t="shared" si="0"/>
        <v>282</v>
      </c>
      <c r="X28" s="22">
        <f t="shared" si="0"/>
        <v>880</v>
      </c>
      <c r="Y28" s="33">
        <f t="shared" si="0"/>
        <v>875</v>
      </c>
      <c r="Z28" s="22">
        <f t="shared" si="0"/>
        <v>19</v>
      </c>
      <c r="AA28" s="33">
        <f t="shared" si="0"/>
        <v>500</v>
      </c>
      <c r="AB28" s="25">
        <f t="shared" si="0"/>
        <v>0</v>
      </c>
    </row>
    <row r="30" spans="1:28" x14ac:dyDescent="0.25">
      <c r="D30">
        <f>D28*0.33</f>
        <v>4491.3</v>
      </c>
      <c r="E30">
        <f>+E28*0.3</f>
        <v>0</v>
      </c>
      <c r="F30">
        <f>+F28*0.28</f>
        <v>0</v>
      </c>
      <c r="G30">
        <f>+G28*0.33</f>
        <v>1183.05</v>
      </c>
      <c r="H30">
        <f>+H28*0.37</f>
        <v>0</v>
      </c>
      <c r="I30">
        <f>+I28*0.53</f>
        <v>3286</v>
      </c>
      <c r="J30">
        <f>+J28*0.54</f>
        <v>540</v>
      </c>
      <c r="K30" s="50">
        <f>+K28*0.82-(171*0.06398)</f>
        <v>375.27941999999996</v>
      </c>
      <c r="L30">
        <f>+L28*0.61</f>
        <v>1769</v>
      </c>
      <c r="M30">
        <f>+M28*0.66</f>
        <v>0</v>
      </c>
      <c r="N30">
        <f>+N28*0.63</f>
        <v>170.1</v>
      </c>
      <c r="O30">
        <f>+O28*0.54</f>
        <v>356.40000000000003</v>
      </c>
      <c r="P30">
        <f>+P28*2.04</f>
        <v>2040</v>
      </c>
      <c r="Q30">
        <f>+Q28*1.57</f>
        <v>1570</v>
      </c>
      <c r="R30">
        <f>+R28*1.75</f>
        <v>1680</v>
      </c>
      <c r="S30">
        <f>+S28*1.57</f>
        <v>1138.25</v>
      </c>
      <c r="T30">
        <f>+T28*1.8</f>
        <v>2282.4</v>
      </c>
      <c r="U30">
        <f>+U28*1.85</f>
        <v>55.5</v>
      </c>
      <c r="V30">
        <f>+V28*2.18</f>
        <v>6.5400000000000009</v>
      </c>
      <c r="W30">
        <f>+W28*1.8+(22*0.17)</f>
        <v>511.34000000000003</v>
      </c>
      <c r="X30">
        <f>+X28*0.39</f>
        <v>343.2</v>
      </c>
      <c r="Y30">
        <f>+Y28*0.29</f>
        <v>253.74999999999997</v>
      </c>
      <c r="Z30" s="50">
        <f>+Z28*1.9</f>
        <v>36.1</v>
      </c>
      <c r="AA30">
        <f>+AA28*0.93</f>
        <v>465</v>
      </c>
      <c r="AB30">
        <f>+AB28*2</f>
        <v>0</v>
      </c>
    </row>
    <row r="32" spans="1:28" x14ac:dyDescent="0.25">
      <c r="K32" s="50"/>
      <c r="Z32" s="71"/>
      <c r="AB32" s="39">
        <f>SUM(D30:AB30)</f>
        <v>22553.209420000003</v>
      </c>
    </row>
    <row r="34" spans="4:28" x14ac:dyDescent="0.25">
      <c r="D34" s="86">
        <v>13670</v>
      </c>
      <c r="E34" s="86">
        <v>0</v>
      </c>
      <c r="F34" s="86">
        <v>0</v>
      </c>
      <c r="G34" s="86">
        <v>1630</v>
      </c>
      <c r="H34" s="86"/>
      <c r="I34" s="86">
        <v>7313</v>
      </c>
      <c r="J34" s="86">
        <v>1000</v>
      </c>
      <c r="K34" s="87">
        <v>215</v>
      </c>
      <c r="L34" s="86">
        <v>1900</v>
      </c>
      <c r="M34" s="86"/>
      <c r="N34" s="86">
        <v>270</v>
      </c>
      <c r="O34" s="86">
        <v>711</v>
      </c>
      <c r="P34" s="86">
        <v>1000</v>
      </c>
      <c r="Q34" s="86">
        <v>1000</v>
      </c>
      <c r="R34" s="86">
        <v>955</v>
      </c>
      <c r="S34" s="86">
        <v>725</v>
      </c>
      <c r="T34" s="86">
        <v>1268</v>
      </c>
      <c r="U34" s="86">
        <v>20</v>
      </c>
      <c r="V34" s="86">
        <v>0</v>
      </c>
      <c r="W34" s="86">
        <v>284</v>
      </c>
      <c r="X34" s="86">
        <v>1586</v>
      </c>
      <c r="Y34" s="86">
        <v>740</v>
      </c>
      <c r="Z34" s="88">
        <v>15</v>
      </c>
      <c r="AA34" s="86">
        <v>500</v>
      </c>
      <c r="AB34" s="86">
        <v>0</v>
      </c>
    </row>
    <row r="35" spans="4:28" x14ac:dyDescent="0.25">
      <c r="D35">
        <f>D34-D28</f>
        <v>60</v>
      </c>
      <c r="E35">
        <f t="shared" ref="E35:AB35" si="1">E34-E28</f>
        <v>0</v>
      </c>
      <c r="F35">
        <f t="shared" si="1"/>
        <v>0</v>
      </c>
      <c r="G35">
        <f t="shared" si="1"/>
        <v>-1955</v>
      </c>
      <c r="H35">
        <f t="shared" si="1"/>
        <v>0</v>
      </c>
      <c r="I35">
        <f>I34-I28</f>
        <v>1113</v>
      </c>
      <c r="J35">
        <f t="shared" si="1"/>
        <v>0</v>
      </c>
      <c r="K35" s="50">
        <f>K34-K28</f>
        <v>-256</v>
      </c>
      <c r="L35">
        <f t="shared" si="1"/>
        <v>-1000</v>
      </c>
      <c r="M35">
        <f t="shared" si="1"/>
        <v>0</v>
      </c>
      <c r="N35">
        <f t="shared" si="1"/>
        <v>0</v>
      </c>
      <c r="O35">
        <f t="shared" si="1"/>
        <v>51</v>
      </c>
      <c r="P35">
        <f t="shared" si="1"/>
        <v>0</v>
      </c>
      <c r="Q35">
        <f t="shared" si="1"/>
        <v>0</v>
      </c>
      <c r="R35">
        <f t="shared" si="1"/>
        <v>-5</v>
      </c>
      <c r="S35">
        <f t="shared" si="1"/>
        <v>0</v>
      </c>
      <c r="T35">
        <f t="shared" si="1"/>
        <v>0</v>
      </c>
      <c r="U35">
        <f t="shared" si="1"/>
        <v>-10</v>
      </c>
      <c r="V35">
        <f t="shared" si="1"/>
        <v>-3</v>
      </c>
      <c r="W35">
        <f t="shared" si="1"/>
        <v>2</v>
      </c>
      <c r="X35">
        <f t="shared" si="1"/>
        <v>706</v>
      </c>
      <c r="Y35">
        <f t="shared" si="1"/>
        <v>-135</v>
      </c>
      <c r="Z35">
        <f t="shared" si="1"/>
        <v>-4</v>
      </c>
      <c r="AA35">
        <f t="shared" si="1"/>
        <v>0</v>
      </c>
      <c r="AB35">
        <f t="shared" si="1"/>
        <v>0</v>
      </c>
    </row>
    <row r="36" spans="4:28" x14ac:dyDescent="0.25">
      <c r="D36">
        <f>D35*0.33</f>
        <v>19.8</v>
      </c>
      <c r="G36">
        <f>G35*0.33</f>
        <v>-645.15</v>
      </c>
      <c r="I36">
        <f>I35*0.53</f>
        <v>589.89</v>
      </c>
      <c r="K36">
        <f>-171*0.75602-85*0.82</f>
        <v>-198.97942</v>
      </c>
      <c r="L36">
        <f>L35*0.61</f>
        <v>-610</v>
      </c>
      <c r="O36">
        <f>O35*0.54</f>
        <v>27.540000000000003</v>
      </c>
      <c r="R36">
        <f>R35*1.75</f>
        <v>-8.75</v>
      </c>
      <c r="U36">
        <f>U35*1.85</f>
        <v>-18.5</v>
      </c>
      <c r="V36">
        <f>V35*2.18</f>
        <v>-6.5400000000000009</v>
      </c>
      <c r="W36">
        <f>W35*1.8</f>
        <v>3.6</v>
      </c>
      <c r="X36">
        <f>X35*0.39</f>
        <v>275.34000000000003</v>
      </c>
      <c r="Y36">
        <f>Y35*0.29</f>
        <v>-39.15</v>
      </c>
      <c r="Z36">
        <f>Z35*1.9</f>
        <v>-7.6</v>
      </c>
      <c r="AB36">
        <f>SUM(D36:AA36)</f>
        <v>-618.49941999999999</v>
      </c>
    </row>
    <row r="37" spans="4:28" x14ac:dyDescent="0.25">
      <c r="O37" s="81"/>
    </row>
    <row r="38" spans="4:28" x14ac:dyDescent="0.25">
      <c r="R38" s="85"/>
      <c r="AB38">
        <f>AB32+AB36</f>
        <v>21934.710000000003</v>
      </c>
    </row>
    <row r="39" spans="4:28" x14ac:dyDescent="0.25">
      <c r="R39" s="84"/>
    </row>
  </sheetData>
  <mergeCells count="7">
    <mergeCell ref="X2:Y2"/>
    <mergeCell ref="A4:A16"/>
    <mergeCell ref="A17:A27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F6F1-C8FE-47F5-8B7E-2452D7E04F1E}">
  <dimension ref="A1:AB48"/>
  <sheetViews>
    <sheetView view="pageBreakPreview"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2" sqref="D22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3.4257812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5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34</v>
      </c>
    </row>
    <row r="4" spans="1:28" x14ac:dyDescent="0.25">
      <c r="A4" s="310" t="s">
        <v>19</v>
      </c>
      <c r="B4" s="49"/>
      <c r="C4" s="2"/>
      <c r="D4" s="42">
        <f>'STOCK 17 a  23'!D34</f>
        <v>13670</v>
      </c>
      <c r="E4" s="42">
        <f>'STOCK 17 a  23'!E34</f>
        <v>0</v>
      </c>
      <c r="F4" s="42">
        <f>'STOCK 17 a  23'!F34</f>
        <v>0</v>
      </c>
      <c r="G4" s="42">
        <f>'STOCK 17 a  23'!G34</f>
        <v>1630</v>
      </c>
      <c r="H4" s="42">
        <f>'STOCK 17 a  23'!H34</f>
        <v>0</v>
      </c>
      <c r="I4" s="42">
        <f>'STOCK 17 a  23'!I34</f>
        <v>7313</v>
      </c>
      <c r="J4" s="42">
        <f>'STOCK 17 a  23'!J34</f>
        <v>1000</v>
      </c>
      <c r="K4" s="42">
        <f>'STOCK 17 a  23'!K34</f>
        <v>215</v>
      </c>
      <c r="L4" s="42">
        <f>'STOCK 17 a  23'!L34</f>
        <v>1900</v>
      </c>
      <c r="M4" s="42">
        <f>'STOCK 17 a  23'!M34</f>
        <v>0</v>
      </c>
      <c r="N4" s="42">
        <f>'STOCK 17 a  23'!N34</f>
        <v>270</v>
      </c>
      <c r="O4" s="42">
        <f>'STOCK 17 a  23'!O34</f>
        <v>711</v>
      </c>
      <c r="P4" s="42">
        <f>'STOCK 17 a  23'!P34</f>
        <v>1000</v>
      </c>
      <c r="Q4" s="42">
        <f>'STOCK 17 a  23'!Q34</f>
        <v>1000</v>
      </c>
      <c r="R4" s="42">
        <f>'STOCK 17 a  23'!R34</f>
        <v>955</v>
      </c>
      <c r="S4" s="42">
        <f>'STOCK 17 a  23'!S34</f>
        <v>725</v>
      </c>
      <c r="T4" s="42">
        <f>'STOCK 17 a  23'!T34</f>
        <v>1268</v>
      </c>
      <c r="U4" s="42">
        <f>'STOCK 17 a  23'!U34</f>
        <v>20</v>
      </c>
      <c r="V4" s="42">
        <f>'STOCK 17 a  23'!V34</f>
        <v>0</v>
      </c>
      <c r="W4" s="42">
        <f>'STOCK 17 a  23'!W34</f>
        <v>284</v>
      </c>
      <c r="X4" s="42">
        <f>'STOCK 17 a  23'!X34</f>
        <v>1586</v>
      </c>
      <c r="Y4" s="42">
        <f>'STOCK 17 a  23'!Y34</f>
        <v>740</v>
      </c>
      <c r="Z4" s="42">
        <f>'STOCK 17 a  23'!Z34</f>
        <v>15</v>
      </c>
      <c r="AA4" s="42">
        <f>'STOCK 17 a  23'!AA34</f>
        <v>500</v>
      </c>
      <c r="AB4" s="42">
        <f>'STOCK 17 a  23'!AB34</f>
        <v>0</v>
      </c>
    </row>
    <row r="5" spans="1:28" x14ac:dyDescent="0.25">
      <c r="A5" s="311"/>
      <c r="B5" s="20">
        <v>45621</v>
      </c>
      <c r="C5" s="82" t="s">
        <v>27</v>
      </c>
      <c r="D5" s="27">
        <v>4500</v>
      </c>
      <c r="F5" s="35"/>
      <c r="H5" s="31"/>
      <c r="I5" s="13"/>
      <c r="J5" s="35"/>
      <c r="L5" s="35"/>
      <c r="N5" s="35"/>
      <c r="O5" s="14"/>
      <c r="P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45623</v>
      </c>
      <c r="C6" s="82" t="s">
        <v>27</v>
      </c>
      <c r="D6" s="27"/>
      <c r="F6" s="35"/>
      <c r="G6">
        <v>8000</v>
      </c>
      <c r="H6" s="31"/>
      <c r="I6" s="13"/>
      <c r="J6" s="35"/>
      <c r="L6" s="35"/>
      <c r="N6" s="35"/>
      <c r="O6" s="14"/>
      <c r="P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45624</v>
      </c>
      <c r="C7" s="82" t="s">
        <v>27</v>
      </c>
      <c r="D7" s="27"/>
      <c r="F7" s="35"/>
      <c r="H7" s="31"/>
      <c r="I7" s="13"/>
      <c r="J7" s="35"/>
      <c r="L7" s="35"/>
      <c r="N7" s="35"/>
      <c r="O7" s="14">
        <v>2000</v>
      </c>
      <c r="P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45624</v>
      </c>
      <c r="C8" s="82" t="s">
        <v>82</v>
      </c>
      <c r="D8" s="27"/>
      <c r="F8" s="35"/>
      <c r="H8" s="31"/>
      <c r="I8" s="13"/>
      <c r="J8" s="35"/>
      <c r="L8" s="35"/>
      <c r="N8" s="35"/>
      <c r="O8" s="14"/>
      <c r="P8" s="27"/>
      <c r="R8">
        <v>1500</v>
      </c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45625</v>
      </c>
      <c r="C9" s="82" t="s">
        <v>27</v>
      </c>
      <c r="D9" s="27"/>
      <c r="F9" s="35"/>
      <c r="H9" s="31"/>
      <c r="I9" s="13"/>
      <c r="J9" s="35"/>
      <c r="L9" s="35"/>
      <c r="N9" s="35">
        <v>2000</v>
      </c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>
        <v>45626</v>
      </c>
      <c r="C10" s="82" t="s">
        <v>88</v>
      </c>
      <c r="D10" s="27"/>
      <c r="F10" s="35"/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>
        <v>1500</v>
      </c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N12" s="35"/>
      <c r="O12" s="14"/>
      <c r="P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N13" s="35"/>
      <c r="O13" s="14"/>
      <c r="P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/>
      <c r="C14" s="14"/>
      <c r="D14" s="27"/>
      <c r="F14" s="35"/>
      <c r="H14" s="31"/>
      <c r="I14" s="13"/>
      <c r="J14" s="35"/>
      <c r="L14" s="35"/>
      <c r="N14" s="35"/>
      <c r="O14" s="14"/>
      <c r="P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/>
      <c r="C15" s="14"/>
      <c r="D15" s="27"/>
      <c r="F15" s="35"/>
      <c r="H15" s="31"/>
      <c r="I15" s="13"/>
      <c r="J15" s="35"/>
      <c r="L15" s="35"/>
      <c r="N15" s="35"/>
      <c r="O15" s="14"/>
      <c r="P15" s="27"/>
      <c r="S15" s="31"/>
      <c r="T15" s="13"/>
      <c r="W15" s="31"/>
      <c r="X15" s="13"/>
      <c r="Y15" s="31"/>
      <c r="AA15" s="31"/>
      <c r="AB15" s="15"/>
    </row>
    <row r="16" spans="1:28" ht="15.75" thickBot="1" x14ac:dyDescent="0.3">
      <c r="A16" s="312"/>
      <c r="B16" s="72"/>
      <c r="C16" s="17"/>
      <c r="D16" s="28"/>
      <c r="E16" s="18"/>
      <c r="F16" s="36"/>
      <c r="G16" s="18"/>
      <c r="H16" s="32"/>
      <c r="I16" s="16"/>
      <c r="J16" s="36"/>
      <c r="K16" s="18"/>
      <c r="L16" s="36"/>
      <c r="M16" s="18"/>
      <c r="N16" s="36"/>
      <c r="O16" s="17"/>
      <c r="P16" s="28"/>
      <c r="Q16" s="18"/>
      <c r="R16" s="18"/>
      <c r="S16" s="32"/>
      <c r="T16" s="16"/>
      <c r="U16" s="18"/>
      <c r="V16" s="18"/>
      <c r="W16" s="32"/>
      <c r="X16" s="16"/>
      <c r="Y16" s="32"/>
      <c r="Z16" s="18"/>
      <c r="AA16" s="32"/>
      <c r="AB16" s="19"/>
    </row>
    <row r="17" spans="1:28" x14ac:dyDescent="0.25">
      <c r="A17" s="310" t="s">
        <v>62</v>
      </c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45622</v>
      </c>
      <c r="C18" s="14" t="s">
        <v>45</v>
      </c>
      <c r="D18" s="27"/>
      <c r="F18" s="35"/>
      <c r="H18" s="31"/>
      <c r="I18" s="13"/>
      <c r="J18" s="35"/>
      <c r="L18" s="35"/>
      <c r="N18" s="35"/>
      <c r="O18" s="14"/>
      <c r="P18" s="27"/>
      <c r="S18" s="31"/>
      <c r="T18" s="13"/>
      <c r="W18" s="31">
        <v>284</v>
      </c>
      <c r="X18" s="13"/>
      <c r="Y18" s="31"/>
      <c r="AA18" s="31"/>
      <c r="AB18" s="15"/>
    </row>
    <row r="19" spans="1:28" x14ac:dyDescent="0.25">
      <c r="A19" s="311"/>
      <c r="B19" s="20">
        <v>45622</v>
      </c>
      <c r="C19" s="14" t="s">
        <v>22</v>
      </c>
      <c r="D19" s="27"/>
      <c r="F19" s="35"/>
      <c r="H19" s="31"/>
      <c r="I19" s="13"/>
      <c r="J19" s="35"/>
      <c r="L19" s="35"/>
      <c r="N19" s="35"/>
      <c r="O19" s="14"/>
      <c r="P19" s="27"/>
      <c r="S19" s="31"/>
      <c r="T19" s="13"/>
      <c r="W19" s="31"/>
      <c r="X19" s="13">
        <v>40</v>
      </c>
      <c r="Y19" s="31">
        <v>100</v>
      </c>
      <c r="AA19" s="31"/>
      <c r="AB19" s="15"/>
    </row>
    <row r="20" spans="1:28" x14ac:dyDescent="0.25">
      <c r="A20" s="311"/>
      <c r="B20" s="20">
        <v>45623</v>
      </c>
      <c r="C20" s="14" t="s">
        <v>45</v>
      </c>
      <c r="D20" s="27"/>
      <c r="F20" s="35"/>
      <c r="H20" s="31"/>
      <c r="I20" s="13"/>
      <c r="J20" s="35"/>
      <c r="L20" s="35"/>
      <c r="N20" s="35"/>
      <c r="O20" s="14"/>
      <c r="P20" s="27"/>
      <c r="Q20">
        <v>500</v>
      </c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>
        <v>45623</v>
      </c>
      <c r="C21" s="14" t="s">
        <v>22</v>
      </c>
      <c r="D21" s="27"/>
      <c r="F21" s="35"/>
      <c r="H21" s="31"/>
      <c r="I21" s="13"/>
      <c r="J21" s="35"/>
      <c r="L21" s="35">
        <v>1000</v>
      </c>
      <c r="N21" s="35"/>
      <c r="O21" s="14"/>
      <c r="P21" s="27"/>
      <c r="S21" s="31"/>
      <c r="T21" s="13"/>
      <c r="W21" s="31"/>
      <c r="X21" s="13">
        <v>12</v>
      </c>
      <c r="Y21" s="31"/>
      <c r="AA21" s="31"/>
      <c r="AB21" s="15"/>
    </row>
    <row r="22" spans="1:28" x14ac:dyDescent="0.25">
      <c r="A22" s="311"/>
      <c r="B22" s="20">
        <v>45624</v>
      </c>
      <c r="C22" s="14" t="s">
        <v>22</v>
      </c>
      <c r="D22" s="27">
        <v>1000</v>
      </c>
      <c r="F22" s="35"/>
      <c r="G22">
        <v>50</v>
      </c>
      <c r="H22" s="31"/>
      <c r="I22" s="13">
        <f>30+80</f>
        <v>110</v>
      </c>
      <c r="J22" s="35"/>
      <c r="L22" s="35"/>
      <c r="N22" s="35"/>
      <c r="O22" s="14"/>
      <c r="P22" s="27"/>
      <c r="R22">
        <f>500+455</f>
        <v>955</v>
      </c>
      <c r="S22" s="31"/>
      <c r="T22" s="13">
        <v>500</v>
      </c>
      <c r="W22" s="31"/>
      <c r="X22" s="13"/>
      <c r="Y22" s="31">
        <v>400</v>
      </c>
      <c r="AA22" s="31"/>
      <c r="AB22" s="15"/>
    </row>
    <row r="23" spans="1:28" x14ac:dyDescent="0.25">
      <c r="A23" s="311"/>
      <c r="B23" s="20">
        <v>45625</v>
      </c>
      <c r="C23" s="14" t="s">
        <v>22</v>
      </c>
      <c r="D23" s="27"/>
      <c r="F23" s="35"/>
      <c r="H23" s="31"/>
      <c r="I23" s="13">
        <v>500</v>
      </c>
      <c r="J23" s="35"/>
      <c r="L23" s="35"/>
      <c r="N23" s="35"/>
      <c r="O23" s="14"/>
      <c r="P23" s="27"/>
      <c r="S23" s="31"/>
      <c r="T23" s="13"/>
      <c r="W23" s="31"/>
      <c r="X23" s="13"/>
      <c r="Y23" s="31">
        <v>50</v>
      </c>
      <c r="AA23" s="31"/>
      <c r="AB23" s="15"/>
    </row>
    <row r="24" spans="1:28" x14ac:dyDescent="0.25">
      <c r="A24" s="311"/>
      <c r="B24" s="20">
        <v>45626</v>
      </c>
      <c r="C24" s="14" t="s">
        <v>22</v>
      </c>
      <c r="D24" s="27"/>
      <c r="F24" s="35"/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>
        <v>300</v>
      </c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N25" s="35"/>
      <c r="O25" s="14"/>
      <c r="P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N26" s="35"/>
      <c r="O26" s="14"/>
      <c r="P26" s="27"/>
      <c r="S26" s="31"/>
      <c r="T26" s="13"/>
      <c r="W26" s="31"/>
      <c r="X26" s="13"/>
      <c r="Y26" s="31"/>
      <c r="AA26" s="31"/>
      <c r="AB26" s="15"/>
    </row>
    <row r="27" spans="1:28" ht="15.75" thickBot="1" x14ac:dyDescent="0.3">
      <c r="A27" s="312"/>
      <c r="B27" s="13"/>
      <c r="C27" s="14"/>
      <c r="D27" s="27"/>
      <c r="F27" s="35"/>
      <c r="H27" s="31"/>
      <c r="I27" s="13"/>
      <c r="J27" s="35"/>
      <c r="L27" s="35"/>
      <c r="N27" s="35"/>
      <c r="O27" s="14"/>
      <c r="P27" s="27"/>
      <c r="S27" s="31"/>
      <c r="T27" s="13"/>
      <c r="W27" s="31"/>
      <c r="X27" s="13"/>
      <c r="Y27" s="31"/>
      <c r="AA27" s="31"/>
      <c r="AB27" s="15"/>
    </row>
    <row r="28" spans="1:28" ht="21.75" thickBot="1" x14ac:dyDescent="0.3">
      <c r="A28" s="21" t="s">
        <v>23</v>
      </c>
      <c r="B28" s="22"/>
      <c r="C28" s="23"/>
      <c r="D28" s="29">
        <f t="shared" ref="D28:AB28" si="0">SUM(D4:D16)-SUM(D17:D27)</f>
        <v>17170</v>
      </c>
      <c r="E28" s="22">
        <f t="shared" si="0"/>
        <v>0</v>
      </c>
      <c r="F28" s="37">
        <f t="shared" si="0"/>
        <v>0</v>
      </c>
      <c r="G28" s="24">
        <f t="shared" si="0"/>
        <v>9580</v>
      </c>
      <c r="H28" s="33">
        <f t="shared" si="0"/>
        <v>0</v>
      </c>
      <c r="I28" s="22">
        <f t="shared" si="0"/>
        <v>6703</v>
      </c>
      <c r="J28" s="37">
        <f t="shared" si="0"/>
        <v>1000</v>
      </c>
      <c r="K28" s="24">
        <f t="shared" si="0"/>
        <v>215</v>
      </c>
      <c r="L28" s="37">
        <f t="shared" si="0"/>
        <v>900</v>
      </c>
      <c r="M28" s="24">
        <f t="shared" si="0"/>
        <v>0</v>
      </c>
      <c r="N28" s="37">
        <f t="shared" si="0"/>
        <v>2270</v>
      </c>
      <c r="O28" s="23">
        <f t="shared" si="0"/>
        <v>2711</v>
      </c>
      <c r="P28" s="29">
        <f t="shared" si="0"/>
        <v>1000</v>
      </c>
      <c r="Q28" s="29">
        <f t="shared" si="0"/>
        <v>500</v>
      </c>
      <c r="R28" s="24">
        <f t="shared" si="0"/>
        <v>1500</v>
      </c>
      <c r="S28" s="33">
        <f t="shared" si="0"/>
        <v>725</v>
      </c>
      <c r="T28" s="22">
        <f t="shared" si="0"/>
        <v>768</v>
      </c>
      <c r="U28" s="22">
        <f t="shared" si="0"/>
        <v>20</v>
      </c>
      <c r="V28" s="22">
        <f t="shared" si="0"/>
        <v>0</v>
      </c>
      <c r="W28" s="33">
        <f t="shared" si="0"/>
        <v>0</v>
      </c>
      <c r="X28" s="22">
        <f t="shared" si="0"/>
        <v>1534</v>
      </c>
      <c r="Y28" s="33">
        <f t="shared" si="0"/>
        <v>1390</v>
      </c>
      <c r="Z28" s="22">
        <f t="shared" si="0"/>
        <v>15</v>
      </c>
      <c r="AA28" s="33">
        <f t="shared" si="0"/>
        <v>500</v>
      </c>
      <c r="AB28" s="25">
        <f t="shared" si="0"/>
        <v>0</v>
      </c>
    </row>
    <row r="30" spans="1:28" x14ac:dyDescent="0.25">
      <c r="D30">
        <f>D28*0.33</f>
        <v>5666.1</v>
      </c>
      <c r="E30">
        <f>+E28*0.3</f>
        <v>0</v>
      </c>
      <c r="F30">
        <f>+F28*0.28</f>
        <v>0</v>
      </c>
      <c r="G30">
        <f>+G28*0.33</f>
        <v>3161.4</v>
      </c>
      <c r="H30">
        <f>+H28*0.37</f>
        <v>0</v>
      </c>
      <c r="I30">
        <f>+I28*0.53</f>
        <v>3552.59</v>
      </c>
      <c r="J30">
        <f>+J28*0.54</f>
        <v>540</v>
      </c>
      <c r="K30" s="50">
        <f>+K28*0.82</f>
        <v>176.29999999999998</v>
      </c>
      <c r="L30">
        <f>+L28*0.61</f>
        <v>549</v>
      </c>
      <c r="M30">
        <f>+M28*0.66</f>
        <v>0</v>
      </c>
      <c r="N30">
        <f>+N28*0.63</f>
        <v>1430.1</v>
      </c>
      <c r="O30">
        <f>+O28*0.54</f>
        <v>1463.94</v>
      </c>
      <c r="P30">
        <f>+P28*2.04</f>
        <v>2040</v>
      </c>
      <c r="Q30">
        <f>+Q28*1.57</f>
        <v>785</v>
      </c>
      <c r="R30">
        <f>+R28*1.8</f>
        <v>2700</v>
      </c>
      <c r="S30">
        <f>+S28*1.57</f>
        <v>1138.25</v>
      </c>
      <c r="T30">
        <f>+T28*1.8</f>
        <v>1382.4</v>
      </c>
      <c r="U30">
        <f>+U28*1.85</f>
        <v>37</v>
      </c>
      <c r="V30">
        <f>+V28*2.18</f>
        <v>0</v>
      </c>
      <c r="W30">
        <f>+W28*1.8</f>
        <v>0</v>
      </c>
      <c r="X30">
        <f>+X28*0.39</f>
        <v>598.26</v>
      </c>
      <c r="Y30">
        <f>+Y28*0.29</f>
        <v>403.09999999999997</v>
      </c>
      <c r="Z30" s="50">
        <f>+Z28*1.9</f>
        <v>28.5</v>
      </c>
      <c r="AA30">
        <f>+AA28*0.93</f>
        <v>465</v>
      </c>
      <c r="AB30">
        <f>+AB28*2</f>
        <v>0</v>
      </c>
    </row>
    <row r="32" spans="1:28" x14ac:dyDescent="0.25">
      <c r="K32" s="50"/>
      <c r="Z32" s="71"/>
      <c r="AB32" s="39">
        <f>SUM(D30:AB30)</f>
        <v>26116.94</v>
      </c>
    </row>
    <row r="41" spans="19:19" ht="15.75" x14ac:dyDescent="0.25">
      <c r="S41" s="89"/>
    </row>
    <row r="42" spans="19:19" ht="15.75" x14ac:dyDescent="0.25">
      <c r="S42" s="89"/>
    </row>
    <row r="43" spans="19:19" x14ac:dyDescent="0.25">
      <c r="S43" s="85"/>
    </row>
    <row r="44" spans="19:19" x14ac:dyDescent="0.25">
      <c r="S44" s="85"/>
    </row>
    <row r="45" spans="19:19" x14ac:dyDescent="0.25">
      <c r="S45" s="85"/>
    </row>
    <row r="46" spans="19:19" x14ac:dyDescent="0.25">
      <c r="S46" s="85"/>
    </row>
    <row r="47" spans="19:19" x14ac:dyDescent="0.25">
      <c r="S47" s="85"/>
    </row>
    <row r="48" spans="19:19" x14ac:dyDescent="0.25">
      <c r="S48" s="85"/>
    </row>
  </sheetData>
  <mergeCells count="7">
    <mergeCell ref="X2:Y2"/>
    <mergeCell ref="A4:A16"/>
    <mergeCell ref="A17:A27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E412-34B4-486A-A9AE-2C165AE0156A}">
  <dimension ref="A1:AB50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4" sqref="D2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5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34</v>
      </c>
    </row>
    <row r="4" spans="1:28" x14ac:dyDescent="0.25">
      <c r="A4" s="310" t="s">
        <v>19</v>
      </c>
      <c r="B4" s="49"/>
      <c r="C4" s="2"/>
      <c r="D4" s="42">
        <f>'STOCK 24 a  30'!D28</f>
        <v>17170</v>
      </c>
      <c r="E4" s="42">
        <f>'STOCK 24 a  30'!E28</f>
        <v>0</v>
      </c>
      <c r="F4" s="42">
        <f>'STOCK 24 a  30'!F28</f>
        <v>0</v>
      </c>
      <c r="G4" s="42">
        <f>'STOCK 24 a  30'!G28</f>
        <v>9580</v>
      </c>
      <c r="H4" s="42">
        <f>'STOCK 24 a  30'!H28</f>
        <v>0</v>
      </c>
      <c r="I4" s="42">
        <f>'STOCK 24 a  30'!I28</f>
        <v>6703</v>
      </c>
      <c r="J4" s="42">
        <f>'STOCK 24 a  30'!J28</f>
        <v>1000</v>
      </c>
      <c r="K4" s="42">
        <f>'STOCK 24 a  30'!K28</f>
        <v>215</v>
      </c>
      <c r="L4" s="42">
        <f>'STOCK 24 a  30'!L28</f>
        <v>900</v>
      </c>
      <c r="M4" s="42">
        <f>'STOCK 24 a  30'!M28</f>
        <v>0</v>
      </c>
      <c r="N4" s="42">
        <f>'STOCK 24 a  30'!N28</f>
        <v>2270</v>
      </c>
      <c r="O4" s="42">
        <f>'STOCK 24 a  30'!O28</f>
        <v>2711</v>
      </c>
      <c r="P4" s="42">
        <f>'STOCK 24 a  30'!P28</f>
        <v>1000</v>
      </c>
      <c r="Q4" s="42">
        <f>'STOCK 24 a  30'!Q28</f>
        <v>500</v>
      </c>
      <c r="R4" s="42">
        <f>'STOCK 24 a  30'!R28</f>
        <v>1500</v>
      </c>
      <c r="S4" s="42">
        <f>'STOCK 24 a  30'!S28</f>
        <v>725</v>
      </c>
      <c r="T4" s="42">
        <f>'STOCK 24 a  30'!T28</f>
        <v>768</v>
      </c>
      <c r="U4" s="42">
        <f>'STOCK 24 a  30'!U28</f>
        <v>20</v>
      </c>
      <c r="V4" s="42">
        <f>'STOCK 24 a  30'!V28</f>
        <v>0</v>
      </c>
      <c r="W4" s="42">
        <f>'STOCK 24 a  30'!W28</f>
        <v>0</v>
      </c>
      <c r="X4" s="42">
        <f>'STOCK 24 a  30'!X28</f>
        <v>1534</v>
      </c>
      <c r="Y4" s="42">
        <f>'STOCK 24 a  30'!Y28</f>
        <v>1390</v>
      </c>
      <c r="Z4" s="42">
        <f>'STOCK 24 a  30'!Z28</f>
        <v>15</v>
      </c>
      <c r="AA4" s="42">
        <f>'STOCK 24 a  30'!AA28</f>
        <v>500</v>
      </c>
      <c r="AB4" s="42">
        <f>'STOCK 24 a  30'!AB28</f>
        <v>0</v>
      </c>
    </row>
    <row r="5" spans="1:28" x14ac:dyDescent="0.25">
      <c r="A5" s="311"/>
      <c r="B5" s="20">
        <v>45628</v>
      </c>
      <c r="C5" s="82" t="s">
        <v>89</v>
      </c>
      <c r="D5" s="27"/>
      <c r="F5" s="35"/>
      <c r="H5" s="31"/>
      <c r="I5" s="13"/>
      <c r="J5" s="35"/>
      <c r="L5" s="35">
        <v>1000</v>
      </c>
      <c r="N5" s="35"/>
      <c r="O5" s="14"/>
      <c r="P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45629</v>
      </c>
      <c r="C6" s="82" t="s">
        <v>27</v>
      </c>
      <c r="D6" s="27"/>
      <c r="F6" s="35"/>
      <c r="H6" s="31"/>
      <c r="I6" s="13"/>
      <c r="J6" s="35"/>
      <c r="L6" s="35"/>
      <c r="N6" s="35"/>
      <c r="O6" s="14"/>
      <c r="P6" s="27"/>
      <c r="S6" s="31"/>
      <c r="T6" s="13"/>
      <c r="W6" s="31"/>
      <c r="X6" s="13">
        <v>3000</v>
      </c>
      <c r="Y6" s="31">
        <v>3000</v>
      </c>
      <c r="AA6" s="31"/>
      <c r="AB6" s="15"/>
    </row>
    <row r="7" spans="1:28" x14ac:dyDescent="0.25">
      <c r="A7" s="311"/>
      <c r="B7" s="20">
        <v>45630</v>
      </c>
      <c r="C7" s="82" t="s">
        <v>27</v>
      </c>
      <c r="D7" s="27"/>
      <c r="F7" s="35"/>
      <c r="H7" s="31"/>
      <c r="I7" s="13"/>
      <c r="J7" s="35"/>
      <c r="L7" s="35">
        <v>3500</v>
      </c>
      <c r="N7" s="35"/>
      <c r="O7" s="14"/>
      <c r="P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45631</v>
      </c>
      <c r="C8" s="82" t="s">
        <v>88</v>
      </c>
      <c r="D8" s="27"/>
      <c r="F8" s="35"/>
      <c r="H8" s="31"/>
      <c r="I8" s="13"/>
      <c r="J8" s="35"/>
      <c r="L8" s="35"/>
      <c r="N8" s="35"/>
      <c r="O8" s="14"/>
      <c r="P8" s="27"/>
      <c r="S8" s="31"/>
      <c r="T8" s="13"/>
      <c r="W8" s="31"/>
      <c r="X8" s="13"/>
      <c r="Y8" s="31">
        <v>1500</v>
      </c>
      <c r="AA8" s="31"/>
      <c r="AB8" s="15"/>
    </row>
    <row r="9" spans="1:28" x14ac:dyDescent="0.25">
      <c r="A9" s="311"/>
      <c r="B9" s="20">
        <v>45631</v>
      </c>
      <c r="C9" s="82" t="s">
        <v>46</v>
      </c>
      <c r="D9" s="27"/>
      <c r="F9" s="35"/>
      <c r="H9" s="31"/>
      <c r="I9" s="13"/>
      <c r="J9" s="35"/>
      <c r="L9" s="35"/>
      <c r="N9" s="35">
        <v>2000</v>
      </c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>
        <v>45632</v>
      </c>
      <c r="C10" s="82" t="s">
        <v>27</v>
      </c>
      <c r="D10" s="27"/>
      <c r="F10" s="35"/>
      <c r="G10">
        <v>5000</v>
      </c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>
        <v>45632</v>
      </c>
      <c r="C11" s="82" t="s">
        <v>90</v>
      </c>
      <c r="D11" s="27"/>
      <c r="F11" s="35"/>
      <c r="H11" s="31"/>
      <c r="I11" s="13"/>
      <c r="J11" s="35"/>
      <c r="L11" s="35"/>
      <c r="N11" s="35">
        <v>1000</v>
      </c>
      <c r="O11" s="14"/>
      <c r="P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N12" s="35"/>
      <c r="O12" s="14"/>
      <c r="P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N13" s="35"/>
      <c r="O13" s="14"/>
      <c r="P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/>
      <c r="C14" s="14"/>
      <c r="D14" s="27"/>
      <c r="F14" s="35"/>
      <c r="H14" s="31"/>
      <c r="I14" s="13"/>
      <c r="J14" s="35"/>
      <c r="L14" s="35"/>
      <c r="N14" s="35"/>
      <c r="O14" s="14"/>
      <c r="P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/>
      <c r="C15" s="14"/>
      <c r="D15" s="27"/>
      <c r="F15" s="35"/>
      <c r="H15" s="31"/>
      <c r="I15" s="13"/>
      <c r="J15" s="35"/>
      <c r="L15" s="35"/>
      <c r="N15" s="35"/>
      <c r="O15" s="14"/>
      <c r="P15" s="27"/>
      <c r="S15" s="31"/>
      <c r="T15" s="13"/>
      <c r="W15" s="31"/>
      <c r="X15" s="13"/>
      <c r="Y15" s="31"/>
      <c r="AA15" s="31"/>
      <c r="AB15" s="15"/>
    </row>
    <row r="16" spans="1:28" x14ac:dyDescent="0.25">
      <c r="A16" s="311"/>
      <c r="B16" s="20"/>
      <c r="C16" s="14"/>
      <c r="D16" s="27"/>
      <c r="F16" s="35"/>
      <c r="H16" s="31"/>
      <c r="I16" s="13"/>
      <c r="J16" s="35"/>
      <c r="L16" s="35"/>
      <c r="N16" s="35"/>
      <c r="O16" s="14"/>
      <c r="P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/>
      <c r="C17" s="14"/>
      <c r="D17" s="27"/>
      <c r="F17" s="35"/>
      <c r="H17" s="31"/>
      <c r="I17" s="13"/>
      <c r="J17" s="35"/>
      <c r="L17" s="35"/>
      <c r="N17" s="35"/>
      <c r="O17" s="14"/>
      <c r="P17" s="27"/>
      <c r="S17" s="31"/>
      <c r="T17" s="13"/>
      <c r="W17" s="31"/>
      <c r="X17" s="13"/>
      <c r="Y17" s="31"/>
      <c r="AA17" s="31"/>
      <c r="AB17" s="15"/>
    </row>
    <row r="18" spans="1:28" ht="15.75" thickBot="1" x14ac:dyDescent="0.3">
      <c r="A18" s="312"/>
      <c r="B18" s="72"/>
      <c r="C18" s="17"/>
      <c r="D18" s="28"/>
      <c r="E18" s="18"/>
      <c r="F18" s="36"/>
      <c r="G18" s="18"/>
      <c r="H18" s="32"/>
      <c r="I18" s="16"/>
      <c r="J18" s="36"/>
      <c r="K18" s="18"/>
      <c r="L18" s="36"/>
      <c r="M18" s="18"/>
      <c r="N18" s="36"/>
      <c r="O18" s="17"/>
      <c r="P18" s="28"/>
      <c r="Q18" s="18"/>
      <c r="R18" s="18"/>
      <c r="S18" s="32"/>
      <c r="T18" s="16"/>
      <c r="U18" s="18"/>
      <c r="V18" s="18"/>
      <c r="W18" s="32"/>
      <c r="X18" s="16"/>
      <c r="Y18" s="32"/>
      <c r="Z18" s="18"/>
      <c r="AA18" s="32"/>
      <c r="AB18" s="19"/>
    </row>
    <row r="19" spans="1:28" x14ac:dyDescent="0.25">
      <c r="A19" s="310" t="s">
        <v>62</v>
      </c>
      <c r="B19" s="20">
        <v>45627</v>
      </c>
      <c r="C19" s="14" t="s">
        <v>22</v>
      </c>
      <c r="D19" s="27"/>
      <c r="F19" s="35"/>
      <c r="H19" s="31"/>
      <c r="I19" s="13"/>
      <c r="J19" s="35"/>
      <c r="L19" s="35"/>
      <c r="N19" s="35"/>
      <c r="O19" s="14"/>
      <c r="P19" s="27"/>
      <c r="S19" s="31"/>
      <c r="T19" s="13"/>
      <c r="W19" s="31"/>
      <c r="X19" s="13"/>
      <c r="Y19" s="31">
        <v>322</v>
      </c>
      <c r="AA19" s="31"/>
      <c r="AB19" s="15"/>
    </row>
    <row r="20" spans="1:28" x14ac:dyDescent="0.25">
      <c r="A20" s="311"/>
      <c r="B20" s="20">
        <v>45628</v>
      </c>
      <c r="C20" s="14" t="s">
        <v>22</v>
      </c>
      <c r="D20" s="27"/>
      <c r="F20" s="35"/>
      <c r="G20">
        <f>1000+500</f>
        <v>1500</v>
      </c>
      <c r="H20" s="31"/>
      <c r="I20" s="13"/>
      <c r="J20" s="35"/>
      <c r="L20" s="35"/>
      <c r="N20" s="35"/>
      <c r="O20" s="14">
        <v>100</v>
      </c>
      <c r="P20" s="27"/>
      <c r="R20">
        <v>170</v>
      </c>
      <c r="S20" s="31"/>
      <c r="T20" s="13"/>
      <c r="W20" s="31"/>
      <c r="X20" s="13">
        <v>100</v>
      </c>
      <c r="Y20" s="31">
        <f>200+100</f>
        <v>300</v>
      </c>
      <c r="AA20" s="31"/>
      <c r="AB20" s="15"/>
    </row>
    <row r="21" spans="1:28" x14ac:dyDescent="0.25">
      <c r="A21" s="311"/>
      <c r="B21" s="20">
        <v>45629</v>
      </c>
      <c r="C21" s="14" t="s">
        <v>22</v>
      </c>
      <c r="D21" s="27"/>
      <c r="F21" s="35"/>
      <c r="H21" s="31"/>
      <c r="I21" s="13"/>
      <c r="J21" s="35"/>
      <c r="L21" s="35"/>
      <c r="N21" s="35"/>
      <c r="O21" s="14">
        <v>400</v>
      </c>
      <c r="P21" s="27">
        <v>64</v>
      </c>
      <c r="R21">
        <v>35</v>
      </c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>
        <v>45630</v>
      </c>
      <c r="C22" s="14" t="s">
        <v>22</v>
      </c>
      <c r="D22" s="27"/>
      <c r="F22" s="35"/>
      <c r="G22">
        <f>1000+2000</f>
        <v>3000</v>
      </c>
      <c r="H22" s="31"/>
      <c r="I22" s="13"/>
      <c r="J22" s="35"/>
      <c r="L22" s="35"/>
      <c r="N22" s="35"/>
      <c r="O22" s="14">
        <v>1000</v>
      </c>
      <c r="P22" s="27"/>
      <c r="R22">
        <v>220</v>
      </c>
      <c r="S22" s="31"/>
      <c r="T22" s="13">
        <v>360</v>
      </c>
      <c r="W22" s="31"/>
      <c r="X22" s="13">
        <v>350</v>
      </c>
      <c r="Y22" s="31">
        <f>450+500</f>
        <v>950</v>
      </c>
      <c r="AA22" s="31"/>
      <c r="AB22" s="15"/>
    </row>
    <row r="23" spans="1:28" x14ac:dyDescent="0.25">
      <c r="A23" s="311"/>
      <c r="B23" s="20">
        <v>45631</v>
      </c>
      <c r="C23" s="14" t="s">
        <v>22</v>
      </c>
      <c r="D23" s="27"/>
      <c r="F23" s="35"/>
      <c r="H23" s="31"/>
      <c r="I23" s="13"/>
      <c r="J23" s="35"/>
      <c r="L23" s="35"/>
      <c r="N23" s="35"/>
      <c r="O23" s="14"/>
      <c r="P23" s="27"/>
      <c r="R23">
        <v>70</v>
      </c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>
        <v>45632</v>
      </c>
      <c r="C24" s="14" t="s">
        <v>22</v>
      </c>
      <c r="D24" s="27">
        <v>1000</v>
      </c>
      <c r="F24" s="35"/>
      <c r="G24">
        <v>3000</v>
      </c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>
        <v>50</v>
      </c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N25" s="35"/>
      <c r="O25" s="14"/>
      <c r="P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N26" s="35"/>
      <c r="O26" s="14"/>
      <c r="P26" s="27"/>
      <c r="S26" s="31"/>
      <c r="T26" s="13"/>
      <c r="W26" s="31"/>
      <c r="X26" s="13"/>
      <c r="Y26" s="31"/>
      <c r="AA26" s="31"/>
      <c r="AB26" s="15"/>
    </row>
    <row r="27" spans="1:28" x14ac:dyDescent="0.25">
      <c r="A27" s="311"/>
      <c r="B27" s="20"/>
      <c r="C27" s="14"/>
      <c r="D27" s="27"/>
      <c r="F27" s="35"/>
      <c r="H27" s="31"/>
      <c r="I27" s="13"/>
      <c r="J27" s="35"/>
      <c r="L27" s="35"/>
      <c r="N27" s="35"/>
      <c r="O27" s="14"/>
      <c r="P27" s="27"/>
      <c r="S27" s="31"/>
      <c r="T27" s="13"/>
      <c r="W27" s="31"/>
      <c r="X27" s="13"/>
      <c r="Y27" s="31"/>
      <c r="AA27" s="31"/>
      <c r="AB27" s="15"/>
    </row>
    <row r="28" spans="1:28" x14ac:dyDescent="0.25">
      <c r="A28" s="311"/>
      <c r="B28" s="20"/>
      <c r="C28" s="14"/>
      <c r="D28" s="27"/>
      <c r="F28" s="35"/>
      <c r="H28" s="31"/>
      <c r="I28" s="13"/>
      <c r="J28" s="35"/>
      <c r="L28" s="35"/>
      <c r="N28" s="35"/>
      <c r="O28" s="14"/>
      <c r="P28" s="27"/>
      <c r="S28" s="31"/>
      <c r="T28" s="13"/>
      <c r="W28" s="31"/>
      <c r="X28" s="13"/>
      <c r="Y28" s="31"/>
      <c r="AA28" s="31"/>
      <c r="AB28" s="15"/>
    </row>
    <row r="29" spans="1:28" ht="15.75" thickBot="1" x14ac:dyDescent="0.3">
      <c r="A29" s="312"/>
      <c r="B29" s="13"/>
      <c r="C29" s="14"/>
      <c r="D29" s="27"/>
      <c r="F29" s="35"/>
      <c r="H29" s="31"/>
      <c r="I29" s="13"/>
      <c r="J29" s="35"/>
      <c r="L29" s="35"/>
      <c r="N29" s="35"/>
      <c r="O29" s="14"/>
      <c r="P29" s="27"/>
      <c r="S29" s="31"/>
      <c r="T29" s="13"/>
      <c r="W29" s="31"/>
      <c r="X29" s="13"/>
      <c r="Y29" s="31"/>
      <c r="AA29" s="31"/>
      <c r="AB29" s="15"/>
    </row>
    <row r="30" spans="1:28" ht="21.75" thickBot="1" x14ac:dyDescent="0.3">
      <c r="A30" s="21" t="s">
        <v>23</v>
      </c>
      <c r="B30" s="22"/>
      <c r="C30" s="23"/>
      <c r="D30" s="29">
        <f t="shared" ref="D30:AB30" si="0">SUM(D4:D18)-SUM(D19:D29)</f>
        <v>16170</v>
      </c>
      <c r="E30" s="22">
        <f t="shared" si="0"/>
        <v>0</v>
      </c>
      <c r="F30" s="37">
        <f t="shared" si="0"/>
        <v>0</v>
      </c>
      <c r="G30" s="24">
        <f t="shared" si="0"/>
        <v>7080</v>
      </c>
      <c r="H30" s="33">
        <f t="shared" si="0"/>
        <v>0</v>
      </c>
      <c r="I30" s="22">
        <f t="shared" si="0"/>
        <v>6703</v>
      </c>
      <c r="J30" s="37">
        <f t="shared" si="0"/>
        <v>1000</v>
      </c>
      <c r="K30" s="24">
        <f t="shared" si="0"/>
        <v>215</v>
      </c>
      <c r="L30" s="37">
        <f t="shared" si="0"/>
        <v>5400</v>
      </c>
      <c r="M30" s="24">
        <f t="shared" si="0"/>
        <v>0</v>
      </c>
      <c r="N30" s="37">
        <f t="shared" si="0"/>
        <v>5270</v>
      </c>
      <c r="O30" s="23">
        <f t="shared" si="0"/>
        <v>1211</v>
      </c>
      <c r="P30" s="29">
        <f t="shared" si="0"/>
        <v>936</v>
      </c>
      <c r="Q30" s="29">
        <f t="shared" si="0"/>
        <v>500</v>
      </c>
      <c r="R30" s="24">
        <f t="shared" si="0"/>
        <v>1005</v>
      </c>
      <c r="S30" s="33">
        <f t="shared" si="0"/>
        <v>725</v>
      </c>
      <c r="T30" s="22">
        <f t="shared" si="0"/>
        <v>408</v>
      </c>
      <c r="U30" s="22">
        <f t="shared" si="0"/>
        <v>20</v>
      </c>
      <c r="V30" s="22">
        <f t="shared" si="0"/>
        <v>0</v>
      </c>
      <c r="W30" s="33">
        <f t="shared" si="0"/>
        <v>0</v>
      </c>
      <c r="X30" s="22">
        <f t="shared" si="0"/>
        <v>4084</v>
      </c>
      <c r="Y30" s="33">
        <f t="shared" si="0"/>
        <v>4268</v>
      </c>
      <c r="Z30" s="22">
        <f t="shared" si="0"/>
        <v>15</v>
      </c>
      <c r="AA30" s="33">
        <f t="shared" si="0"/>
        <v>500</v>
      </c>
      <c r="AB30" s="25">
        <f t="shared" si="0"/>
        <v>0</v>
      </c>
    </row>
    <row r="32" spans="1:28" x14ac:dyDescent="0.25">
      <c r="D32">
        <f>D30*0.33</f>
        <v>5336.1</v>
      </c>
      <c r="E32">
        <f>+E30*0.3</f>
        <v>0</v>
      </c>
      <c r="F32">
        <f>+F30*0.28</f>
        <v>0</v>
      </c>
      <c r="G32">
        <f>+G30*0.33</f>
        <v>2336.4</v>
      </c>
      <c r="H32">
        <f>+H30*0.37</f>
        <v>0</v>
      </c>
      <c r="I32">
        <f>+I30*0.53</f>
        <v>3552.59</v>
      </c>
      <c r="J32">
        <f>+J30*0.54</f>
        <v>540</v>
      </c>
      <c r="K32" s="50">
        <f>+K30*0.82</f>
        <v>176.29999999999998</v>
      </c>
      <c r="L32">
        <f>+L30*0.61</f>
        <v>3294</v>
      </c>
      <c r="M32">
        <f>+M30*0.66</f>
        <v>0</v>
      </c>
      <c r="N32">
        <f>+N30*0.63</f>
        <v>3320.1</v>
      </c>
      <c r="O32">
        <f>+O30*0.54</f>
        <v>653.94000000000005</v>
      </c>
      <c r="P32">
        <f>+P30*2.04</f>
        <v>1909.44</v>
      </c>
      <c r="Q32">
        <f>+Q30*1.57</f>
        <v>785</v>
      </c>
      <c r="R32">
        <f>+R30*1.8</f>
        <v>1809</v>
      </c>
      <c r="S32">
        <f>+S30*1.57</f>
        <v>1138.25</v>
      </c>
      <c r="T32">
        <f>+T30*1.8</f>
        <v>734.4</v>
      </c>
      <c r="U32">
        <f>+U30*1.85</f>
        <v>37</v>
      </c>
      <c r="V32">
        <f>+V30*2.18</f>
        <v>0</v>
      </c>
      <c r="W32">
        <f>+W30*1.8</f>
        <v>0</v>
      </c>
      <c r="X32">
        <f>+X30*0.39</f>
        <v>1592.76</v>
      </c>
      <c r="Y32">
        <f>+Y30*0.29</f>
        <v>1237.72</v>
      </c>
      <c r="Z32" s="50">
        <f>+Z30*1.9</f>
        <v>28.5</v>
      </c>
      <c r="AA32">
        <f>+AA30*0.93</f>
        <v>465</v>
      </c>
      <c r="AB32">
        <f>+AB30*2</f>
        <v>0</v>
      </c>
    </row>
    <row r="34" spans="11:28" x14ac:dyDescent="0.25">
      <c r="K34" s="50"/>
      <c r="Z34" s="71"/>
      <c r="AB34" s="39">
        <f>SUM(D32:AB32)</f>
        <v>28946.499999999996</v>
      </c>
    </row>
    <row r="43" spans="11:28" ht="15.75" x14ac:dyDescent="0.25">
      <c r="S43" s="89"/>
    </row>
    <row r="44" spans="11:28" ht="15.75" x14ac:dyDescent="0.25">
      <c r="S44" s="89"/>
    </row>
    <row r="45" spans="11:28" x14ac:dyDescent="0.25">
      <c r="S45" s="85"/>
    </row>
    <row r="46" spans="11:28" x14ac:dyDescent="0.25">
      <c r="S46" s="85"/>
    </row>
    <row r="47" spans="11:28" x14ac:dyDescent="0.25">
      <c r="S47" s="85"/>
    </row>
    <row r="48" spans="11:28" x14ac:dyDescent="0.25">
      <c r="S48" s="85"/>
    </row>
    <row r="49" spans="19:19" x14ac:dyDescent="0.25">
      <c r="S49" s="85"/>
    </row>
    <row r="50" spans="19:19" x14ac:dyDescent="0.25">
      <c r="S50" s="85"/>
    </row>
  </sheetData>
  <mergeCells count="7">
    <mergeCell ref="X2:Y2"/>
    <mergeCell ref="A4:A18"/>
    <mergeCell ref="A19:A29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1A3D-8879-4095-82A5-E3760A1C953F}">
  <dimension ref="A1:AB4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26" sqref="I26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5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34</v>
      </c>
    </row>
    <row r="4" spans="1:28" x14ac:dyDescent="0.25">
      <c r="A4" s="310" t="s">
        <v>19</v>
      </c>
      <c r="B4" s="49"/>
      <c r="C4" s="2"/>
      <c r="D4" s="42">
        <f>'STOCK 01 a  07'!D30</f>
        <v>16170</v>
      </c>
      <c r="E4" s="42">
        <f>'STOCK 01 a  07'!E30</f>
        <v>0</v>
      </c>
      <c r="F4" s="42">
        <f>'STOCK 01 a  07'!F30</f>
        <v>0</v>
      </c>
      <c r="G4" s="42">
        <f>'STOCK 01 a  07'!G30</f>
        <v>7080</v>
      </c>
      <c r="H4" s="42">
        <f>'STOCK 01 a  07'!H30</f>
        <v>0</v>
      </c>
      <c r="I4" s="42">
        <f>'STOCK 01 a  07'!I30</f>
        <v>6703</v>
      </c>
      <c r="J4" s="42">
        <f>'STOCK 01 a  07'!J30</f>
        <v>1000</v>
      </c>
      <c r="K4" s="42">
        <f>'STOCK 01 a  07'!K30</f>
        <v>215</v>
      </c>
      <c r="L4" s="42">
        <f>'STOCK 01 a  07'!L30</f>
        <v>5400</v>
      </c>
      <c r="M4" s="42">
        <f>'STOCK 01 a  07'!M30</f>
        <v>0</v>
      </c>
      <c r="N4" s="42">
        <f>'STOCK 01 a  07'!N30</f>
        <v>5270</v>
      </c>
      <c r="O4" s="42">
        <f>'STOCK 01 a  07'!O30</f>
        <v>1211</v>
      </c>
      <c r="P4" s="42">
        <f>'STOCK 01 a  07'!P30</f>
        <v>936</v>
      </c>
      <c r="Q4" s="42">
        <f>'STOCK 01 a  07'!Q30</f>
        <v>500</v>
      </c>
      <c r="R4" s="42">
        <f>'STOCK 01 a  07'!R30</f>
        <v>1005</v>
      </c>
      <c r="S4" s="42">
        <f>'STOCK 01 a  07'!S30</f>
        <v>725</v>
      </c>
      <c r="T4" s="42">
        <f>'STOCK 01 a  07'!T30</f>
        <v>408</v>
      </c>
      <c r="U4" s="42">
        <f>'STOCK 01 a  07'!U30</f>
        <v>20</v>
      </c>
      <c r="V4" s="42">
        <f>'STOCK 01 a  07'!V30</f>
        <v>0</v>
      </c>
      <c r="W4" s="42">
        <f>'STOCK 01 a  07'!W30</f>
        <v>0</v>
      </c>
      <c r="X4" s="42">
        <f>'STOCK 01 a  07'!X30</f>
        <v>4084</v>
      </c>
      <c r="Y4" s="42">
        <f>'STOCK 01 a  07'!Y30</f>
        <v>4268</v>
      </c>
      <c r="Z4" s="42">
        <f>'STOCK 01 a  07'!Z30</f>
        <v>15</v>
      </c>
      <c r="AA4" s="42">
        <f>'STOCK 01 a  07'!AA30</f>
        <v>500</v>
      </c>
      <c r="AB4" s="42">
        <f>'STOCK 01 a  07'!AB30</f>
        <v>0</v>
      </c>
    </row>
    <row r="5" spans="1:28" x14ac:dyDescent="0.25">
      <c r="A5" s="311"/>
      <c r="B5" s="20">
        <v>45636</v>
      </c>
      <c r="C5" s="82" t="s">
        <v>27</v>
      </c>
      <c r="D5" s="27"/>
      <c r="F5" s="35"/>
      <c r="G5">
        <v>6000</v>
      </c>
      <c r="H5" s="31"/>
      <c r="I5" s="13"/>
      <c r="J5" s="35"/>
      <c r="L5" s="35"/>
      <c r="N5" s="35"/>
      <c r="O5" s="14"/>
      <c r="P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45637</v>
      </c>
      <c r="C6" s="82" t="s">
        <v>46</v>
      </c>
      <c r="D6" s="27"/>
      <c r="F6" s="35"/>
      <c r="G6">
        <v>8000</v>
      </c>
      <c r="H6" s="31"/>
      <c r="I6" s="13"/>
      <c r="J6" s="35"/>
      <c r="L6" s="35"/>
      <c r="N6" s="35"/>
      <c r="O6" s="14"/>
      <c r="P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45637</v>
      </c>
      <c r="C7" s="82" t="s">
        <v>27</v>
      </c>
      <c r="D7" s="27"/>
      <c r="F7" s="35"/>
      <c r="G7">
        <v>1000</v>
      </c>
      <c r="H7" s="31"/>
      <c r="I7" s="13"/>
      <c r="J7" s="35"/>
      <c r="L7" s="35"/>
      <c r="N7" s="35"/>
      <c r="O7" s="14"/>
      <c r="P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45640</v>
      </c>
      <c r="C8" s="14" t="s">
        <v>46</v>
      </c>
      <c r="D8" s="27"/>
      <c r="F8" s="35"/>
      <c r="H8" s="31"/>
      <c r="I8" s="13"/>
      <c r="J8" s="35"/>
      <c r="L8" s="35"/>
      <c r="N8" s="35"/>
      <c r="O8" s="14"/>
      <c r="P8" s="27"/>
      <c r="S8" s="31"/>
      <c r="T8" s="13">
        <v>1200</v>
      </c>
      <c r="W8" s="31"/>
      <c r="X8" s="13"/>
      <c r="Y8" s="31"/>
      <c r="AA8" s="31"/>
      <c r="AB8" s="15"/>
    </row>
    <row r="9" spans="1:28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 t="s">
        <v>59</v>
      </c>
      <c r="C10" s="14"/>
      <c r="D10" s="27"/>
      <c r="F10" s="35"/>
      <c r="H10" s="31"/>
      <c r="I10" s="13"/>
      <c r="J10" s="35"/>
      <c r="L10" s="35"/>
      <c r="N10" s="35"/>
      <c r="O10" s="14"/>
      <c r="P10" s="27"/>
      <c r="S10" s="31"/>
      <c r="T10" s="13">
        <v>-12</v>
      </c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18"/>
      <c r="N12" s="36"/>
      <c r="O12" s="17"/>
      <c r="P12" s="2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32"/>
      <c r="AB12" s="19"/>
    </row>
    <row r="13" spans="1:28" x14ac:dyDescent="0.25">
      <c r="A13" s="310" t="s">
        <v>62</v>
      </c>
      <c r="B13" s="20">
        <v>45635</v>
      </c>
      <c r="C13" s="14" t="s">
        <v>22</v>
      </c>
      <c r="D13" s="27">
        <v>1500</v>
      </c>
      <c r="F13" s="35"/>
      <c r="G13">
        <v>1000</v>
      </c>
      <c r="H13" s="31"/>
      <c r="I13" s="13"/>
      <c r="J13" s="35"/>
      <c r="L13" s="35">
        <v>540</v>
      </c>
      <c r="N13" s="35"/>
      <c r="O13" s="14"/>
      <c r="P13" s="27"/>
      <c r="R13">
        <v>18</v>
      </c>
      <c r="S13" s="31"/>
      <c r="T13" s="13"/>
      <c r="W13" s="31"/>
      <c r="X13" s="13"/>
      <c r="Y13" s="31">
        <v>60</v>
      </c>
      <c r="AA13" s="31"/>
      <c r="AB13" s="15"/>
    </row>
    <row r="14" spans="1:28" x14ac:dyDescent="0.25">
      <c r="A14" s="311"/>
      <c r="B14" s="20">
        <v>45636</v>
      </c>
      <c r="C14" s="14" t="s">
        <v>22</v>
      </c>
      <c r="D14" s="27">
        <v>1000</v>
      </c>
      <c r="F14" s="35"/>
      <c r="G14">
        <f>50+3000+1000+1000</f>
        <v>5050</v>
      </c>
      <c r="H14" s="31"/>
      <c r="I14" s="13"/>
      <c r="J14" s="35"/>
      <c r="K14">
        <v>215</v>
      </c>
      <c r="L14" s="35"/>
      <c r="N14" s="35"/>
      <c r="O14" s="14"/>
      <c r="P14" s="27"/>
      <c r="S14" s="31"/>
      <c r="T14" s="13"/>
      <c r="W14" s="31"/>
      <c r="X14" s="13">
        <v>50</v>
      </c>
      <c r="Y14" s="31">
        <v>50</v>
      </c>
      <c r="AA14" s="31"/>
      <c r="AB14" s="15"/>
    </row>
    <row r="15" spans="1:28" x14ac:dyDescent="0.25">
      <c r="A15" s="311"/>
      <c r="B15" s="20">
        <v>45637</v>
      </c>
      <c r="C15" s="14" t="s">
        <v>22</v>
      </c>
      <c r="D15" s="27">
        <v>100</v>
      </c>
      <c r="F15" s="35"/>
      <c r="G15">
        <v>1000</v>
      </c>
      <c r="H15" s="31"/>
      <c r="I15" s="13"/>
      <c r="J15" s="35"/>
      <c r="L15" s="35"/>
      <c r="N15" s="35"/>
      <c r="O15" s="14"/>
      <c r="P15" s="27"/>
      <c r="S15" s="31"/>
      <c r="T15" s="13"/>
      <c r="W15" s="31"/>
      <c r="X15" s="13">
        <v>60</v>
      </c>
      <c r="Y15" s="31"/>
      <c r="AA15" s="31"/>
      <c r="AB15" s="15"/>
    </row>
    <row r="16" spans="1:28" x14ac:dyDescent="0.25">
      <c r="A16" s="311"/>
      <c r="B16" s="20">
        <v>45638</v>
      </c>
      <c r="C16" s="14" t="s">
        <v>22</v>
      </c>
      <c r="D16" s="27"/>
      <c r="F16" s="35"/>
      <c r="G16">
        <v>1000</v>
      </c>
      <c r="H16" s="31"/>
      <c r="I16" s="13"/>
      <c r="J16" s="35"/>
      <c r="L16" s="35"/>
      <c r="N16" s="35"/>
      <c r="O16" s="14">
        <v>500</v>
      </c>
      <c r="P16" s="27"/>
      <c r="R16">
        <v>300</v>
      </c>
      <c r="S16" s="31"/>
      <c r="T16" s="13">
        <v>300</v>
      </c>
      <c r="W16" s="31"/>
      <c r="X16" s="13"/>
      <c r="Y16" s="31"/>
      <c r="AA16" s="31"/>
      <c r="AB16" s="15"/>
    </row>
    <row r="17" spans="1:28" x14ac:dyDescent="0.25">
      <c r="A17" s="311"/>
      <c r="B17" s="20">
        <v>45639</v>
      </c>
      <c r="C17" s="14" t="s">
        <v>22</v>
      </c>
      <c r="D17" s="27"/>
      <c r="F17" s="35"/>
      <c r="H17" s="31"/>
      <c r="I17" s="13">
        <v>1000</v>
      </c>
      <c r="J17" s="35"/>
      <c r="L17" s="35"/>
      <c r="N17" s="35"/>
      <c r="O17" s="14"/>
      <c r="P17" s="27"/>
      <c r="R17">
        <v>200</v>
      </c>
      <c r="S17" s="31"/>
      <c r="T17" s="13">
        <v>96</v>
      </c>
      <c r="W17" s="31"/>
      <c r="X17" s="13"/>
      <c r="Y17" s="31"/>
      <c r="AA17" s="31"/>
      <c r="AB17" s="15"/>
    </row>
    <row r="18" spans="1:28" x14ac:dyDescent="0.25">
      <c r="A18" s="311"/>
      <c r="B18" s="20">
        <v>45640</v>
      </c>
      <c r="C18" s="14" t="s">
        <v>22</v>
      </c>
      <c r="D18" s="27"/>
      <c r="F18" s="35"/>
      <c r="G18">
        <v>1000</v>
      </c>
      <c r="H18" s="31"/>
      <c r="I18" s="13"/>
      <c r="J18" s="35"/>
      <c r="L18" s="35"/>
      <c r="N18" s="35"/>
      <c r="O18" s="14"/>
      <c r="P18" s="27"/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S22" s="31"/>
      <c r="T22" s="13"/>
      <c r="W22" s="31"/>
      <c r="X22" s="13"/>
      <c r="Y22" s="31"/>
      <c r="AA22" s="31"/>
      <c r="AB22" s="15"/>
    </row>
    <row r="23" spans="1:28" ht="15.75" thickBot="1" x14ac:dyDescent="0.3">
      <c r="A23" s="312"/>
      <c r="B23" s="13"/>
      <c r="C23" s="14"/>
      <c r="D23" s="27"/>
      <c r="F23" s="35"/>
      <c r="H23" s="31"/>
      <c r="I23" s="13"/>
      <c r="J23" s="35"/>
      <c r="L23" s="35"/>
      <c r="N23" s="35"/>
      <c r="O23" s="14"/>
      <c r="P23" s="27"/>
      <c r="S23" s="31"/>
      <c r="T23" s="13"/>
      <c r="W23" s="31"/>
      <c r="X23" s="13"/>
      <c r="Y23" s="31"/>
      <c r="AA23" s="31"/>
      <c r="AB23" s="15"/>
    </row>
    <row r="24" spans="1:28" ht="21.75" thickBot="1" x14ac:dyDescent="0.3">
      <c r="A24" s="21" t="s">
        <v>23</v>
      </c>
      <c r="B24" s="22"/>
      <c r="C24" s="23"/>
      <c r="D24" s="29">
        <f t="shared" ref="D24:AB24" si="0">SUM(D4:D12)-SUM(D13:D23)</f>
        <v>13570</v>
      </c>
      <c r="E24" s="22">
        <f t="shared" si="0"/>
        <v>0</v>
      </c>
      <c r="F24" s="37">
        <f t="shared" si="0"/>
        <v>0</v>
      </c>
      <c r="G24" s="24">
        <f t="shared" si="0"/>
        <v>13030</v>
      </c>
      <c r="H24" s="33">
        <f t="shared" si="0"/>
        <v>0</v>
      </c>
      <c r="I24" s="22">
        <f t="shared" si="0"/>
        <v>5703</v>
      </c>
      <c r="J24" s="37">
        <f t="shared" si="0"/>
        <v>1000</v>
      </c>
      <c r="K24" s="24">
        <f t="shared" si="0"/>
        <v>0</v>
      </c>
      <c r="L24" s="37">
        <f t="shared" si="0"/>
        <v>4860</v>
      </c>
      <c r="M24" s="24">
        <f t="shared" si="0"/>
        <v>0</v>
      </c>
      <c r="N24" s="37">
        <f t="shared" si="0"/>
        <v>5270</v>
      </c>
      <c r="O24" s="23">
        <f t="shared" si="0"/>
        <v>711</v>
      </c>
      <c r="P24" s="29">
        <f t="shared" si="0"/>
        <v>936</v>
      </c>
      <c r="Q24" s="29">
        <f t="shared" si="0"/>
        <v>500</v>
      </c>
      <c r="R24" s="24">
        <f t="shared" si="0"/>
        <v>487</v>
      </c>
      <c r="S24" s="33">
        <f t="shared" si="0"/>
        <v>725</v>
      </c>
      <c r="T24" s="22">
        <f t="shared" si="0"/>
        <v>1200</v>
      </c>
      <c r="U24" s="22">
        <f t="shared" si="0"/>
        <v>20</v>
      </c>
      <c r="V24" s="22">
        <f t="shared" si="0"/>
        <v>0</v>
      </c>
      <c r="W24" s="33">
        <f t="shared" si="0"/>
        <v>0</v>
      </c>
      <c r="X24" s="22">
        <f t="shared" si="0"/>
        <v>3974</v>
      </c>
      <c r="Y24" s="33">
        <f t="shared" si="0"/>
        <v>4158</v>
      </c>
      <c r="Z24" s="22">
        <f t="shared" si="0"/>
        <v>15</v>
      </c>
      <c r="AA24" s="33">
        <f t="shared" si="0"/>
        <v>500</v>
      </c>
      <c r="AB24" s="25">
        <f t="shared" si="0"/>
        <v>0</v>
      </c>
    </row>
    <row r="26" spans="1:28" x14ac:dyDescent="0.25">
      <c r="D26">
        <f>D24*0.33</f>
        <v>4478.1000000000004</v>
      </c>
      <c r="E26">
        <f>+E24*0.3</f>
        <v>0</v>
      </c>
      <c r="F26">
        <f>+F24*0.28</f>
        <v>0</v>
      </c>
      <c r="G26">
        <f>+G24*0.33</f>
        <v>4299.9000000000005</v>
      </c>
      <c r="H26">
        <f>+H24*0.37</f>
        <v>0</v>
      </c>
      <c r="I26">
        <f>+I24*0.53</f>
        <v>3022.59</v>
      </c>
      <c r="J26">
        <f>+J24*0.54</f>
        <v>540</v>
      </c>
      <c r="K26" s="50">
        <f>+K24*0.82</f>
        <v>0</v>
      </c>
      <c r="L26">
        <f>+L24*0.61</f>
        <v>2964.6</v>
      </c>
      <c r="M26">
        <f>+M24*0.66</f>
        <v>0</v>
      </c>
      <c r="N26">
        <f>+N24*0.63</f>
        <v>3320.1</v>
      </c>
      <c r="O26">
        <f>+O24*0.54</f>
        <v>383.94</v>
      </c>
      <c r="P26">
        <f>+P24*2.04</f>
        <v>1909.44</v>
      </c>
      <c r="Q26">
        <f>+Q24*1.57</f>
        <v>785</v>
      </c>
      <c r="R26">
        <f>+R24*1.8</f>
        <v>876.6</v>
      </c>
      <c r="S26">
        <f>+S24*1.57</f>
        <v>1138.25</v>
      </c>
      <c r="T26">
        <f>+T24*1.81</f>
        <v>2172</v>
      </c>
      <c r="U26">
        <f>+U24*1.85</f>
        <v>37</v>
      </c>
      <c r="V26">
        <f>+V24*2.18</f>
        <v>0</v>
      </c>
      <c r="W26">
        <f>+W24*1.8</f>
        <v>0</v>
      </c>
      <c r="X26">
        <f>+X24*0.39</f>
        <v>1549.8600000000001</v>
      </c>
      <c r="Y26">
        <f>+Y24*0.29</f>
        <v>1205.82</v>
      </c>
      <c r="Z26" s="50">
        <f>+Z24*1.9</f>
        <v>28.5</v>
      </c>
      <c r="AA26">
        <f>+AA24*0.93</f>
        <v>465</v>
      </c>
      <c r="AB26">
        <f>+AB24*2</f>
        <v>0</v>
      </c>
    </row>
    <row r="28" spans="1:28" x14ac:dyDescent="0.25">
      <c r="K28" s="50"/>
      <c r="Z28" s="71"/>
      <c r="AB28" s="39">
        <f>SUM(D26:AB26)</f>
        <v>29176.699999999997</v>
      </c>
    </row>
    <row r="31" spans="1:28" x14ac:dyDescent="0.25">
      <c r="M31">
        <v>3274.4</v>
      </c>
    </row>
    <row r="32" spans="1:28" x14ac:dyDescent="0.25">
      <c r="M32">
        <f>+M31-4044.74</f>
        <v>-770.33999999999969</v>
      </c>
    </row>
    <row r="37" spans="19:19" ht="15.75" x14ac:dyDescent="0.25">
      <c r="S37" s="89"/>
    </row>
    <row r="38" spans="19:19" ht="15.75" x14ac:dyDescent="0.25">
      <c r="S38" s="89"/>
    </row>
    <row r="39" spans="19:19" x14ac:dyDescent="0.25">
      <c r="S39" s="85"/>
    </row>
    <row r="40" spans="19:19" x14ac:dyDescent="0.25">
      <c r="S40" s="85"/>
    </row>
    <row r="41" spans="19:19" x14ac:dyDescent="0.25">
      <c r="S41" s="85"/>
    </row>
    <row r="42" spans="19:19" x14ac:dyDescent="0.25">
      <c r="S42" s="85"/>
    </row>
    <row r="43" spans="19:19" x14ac:dyDescent="0.25">
      <c r="S43" s="85"/>
    </row>
    <row r="44" spans="19:19" x14ac:dyDescent="0.25">
      <c r="S44" s="85"/>
    </row>
  </sheetData>
  <mergeCells count="7">
    <mergeCell ref="X2:Y2"/>
    <mergeCell ref="A4:A12"/>
    <mergeCell ref="A13:A23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BA95-B999-4CB8-8FC3-70C6A823B194}">
  <dimension ref="A1:AB45"/>
  <sheetViews>
    <sheetView view="pageBreakPreview" zoomScale="60" zoomScaleNormal="6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D25" sqref="D2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08 a  14'!D24</f>
        <v>13570</v>
      </c>
      <c r="E4" s="42">
        <f>'STOCK 08 a  14'!E24</f>
        <v>0</v>
      </c>
      <c r="F4" s="42">
        <f>'STOCK 08 a  14'!F24</f>
        <v>0</v>
      </c>
      <c r="G4" s="42">
        <f>'STOCK 08 a  14'!G24</f>
        <v>13030</v>
      </c>
      <c r="H4" s="42">
        <f>'STOCK 08 a  14'!H24</f>
        <v>0</v>
      </c>
      <c r="I4" s="42">
        <f>'STOCK 08 a  14'!I24</f>
        <v>5703</v>
      </c>
      <c r="J4" s="42">
        <f>'STOCK 08 a  14'!J24</f>
        <v>1000</v>
      </c>
      <c r="K4" s="42">
        <f>'STOCK 08 a  14'!K24</f>
        <v>0</v>
      </c>
      <c r="L4" s="42">
        <f>'STOCK 08 a  14'!L24</f>
        <v>4860</v>
      </c>
      <c r="M4" s="42">
        <f>'STOCK 08 a  14'!M24</f>
        <v>0</v>
      </c>
      <c r="N4" s="42">
        <f>'STOCK 08 a  14'!N24</f>
        <v>5270</v>
      </c>
      <c r="O4" s="42">
        <f>'STOCK 08 a  14'!O24</f>
        <v>711</v>
      </c>
      <c r="P4" s="42">
        <f>'STOCK 08 a  14'!P24</f>
        <v>936</v>
      </c>
      <c r="Q4" s="42">
        <f>'STOCK 08 a  14'!Q24</f>
        <v>500</v>
      </c>
      <c r="R4" s="42">
        <f>'STOCK 08 a  14'!R24</f>
        <v>487</v>
      </c>
      <c r="S4" s="42">
        <f>'STOCK 08 a  14'!S24</f>
        <v>725</v>
      </c>
      <c r="T4" s="42">
        <f>'STOCK 08 a  14'!T24</f>
        <v>1200</v>
      </c>
      <c r="U4" s="42">
        <f>'STOCK 08 a  14'!U24</f>
        <v>20</v>
      </c>
      <c r="V4" s="42">
        <f>'STOCK 08 a  14'!V24</f>
        <v>0</v>
      </c>
      <c r="W4" s="42">
        <f>'STOCK 08 a  14'!W24</f>
        <v>0</v>
      </c>
      <c r="X4" s="42">
        <f>'STOCK 08 a  14'!X24</f>
        <v>3974</v>
      </c>
      <c r="Y4" s="42">
        <f>'STOCK 08 a  14'!Y24</f>
        <v>4158</v>
      </c>
      <c r="Z4" s="42">
        <f>'STOCK 08 a  14'!Z24</f>
        <v>15</v>
      </c>
      <c r="AA4" s="42">
        <f>'STOCK 08 a  14'!AA24</f>
        <v>500</v>
      </c>
      <c r="AB4" s="42">
        <f>'STOCK 08 a  14'!AB24</f>
        <v>0</v>
      </c>
    </row>
    <row r="5" spans="1:28" x14ac:dyDescent="0.25">
      <c r="A5" s="311"/>
      <c r="B5" s="20">
        <v>45642</v>
      </c>
      <c r="C5" s="82" t="s">
        <v>27</v>
      </c>
      <c r="D5" s="27"/>
      <c r="F5" s="35"/>
      <c r="H5" s="31"/>
      <c r="I5" s="13"/>
      <c r="J5" s="35"/>
      <c r="L5" s="35"/>
      <c r="N5" s="35"/>
      <c r="O5" s="14"/>
      <c r="P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45647</v>
      </c>
      <c r="C6" s="82" t="s">
        <v>27</v>
      </c>
      <c r="D6" s="27"/>
      <c r="F6" s="35"/>
      <c r="H6" s="31"/>
      <c r="I6" s="13"/>
      <c r="J6" s="35"/>
      <c r="L6" s="35"/>
      <c r="N6" s="35"/>
      <c r="O6" s="14"/>
      <c r="P6" s="27"/>
      <c r="R6">
        <v>1200</v>
      </c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45647</v>
      </c>
      <c r="C7" s="82" t="s">
        <v>93</v>
      </c>
      <c r="D7" s="27"/>
      <c r="F7" s="35"/>
      <c r="H7" s="31"/>
      <c r="I7" s="13"/>
      <c r="J7" s="35"/>
      <c r="L7" s="35"/>
      <c r="N7" s="35"/>
      <c r="O7" s="14"/>
      <c r="P7" s="27"/>
      <c r="S7" s="31"/>
      <c r="T7" s="13"/>
      <c r="W7" s="31"/>
      <c r="X7" s="13"/>
      <c r="Y7" s="31"/>
      <c r="AA7" s="31"/>
      <c r="AB7" s="15">
        <v>424</v>
      </c>
    </row>
    <row r="8" spans="1:28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 t="s">
        <v>59</v>
      </c>
      <c r="C9" s="14"/>
      <c r="D9" s="27"/>
      <c r="F9" s="35"/>
      <c r="H9" s="31"/>
      <c r="I9" s="13"/>
      <c r="J9" s="35"/>
      <c r="L9" s="35"/>
      <c r="N9" s="35"/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18"/>
      <c r="N12" s="36"/>
      <c r="O12" s="17"/>
      <c r="P12" s="2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32"/>
      <c r="AB12" s="19"/>
    </row>
    <row r="13" spans="1:28" x14ac:dyDescent="0.25">
      <c r="A13" s="310" t="s">
        <v>62</v>
      </c>
      <c r="B13" s="20">
        <v>45641</v>
      </c>
      <c r="C13" s="14" t="s">
        <v>22</v>
      </c>
      <c r="D13" s="27"/>
      <c r="F13" s="35"/>
      <c r="H13" s="31"/>
      <c r="I13" s="13"/>
      <c r="J13" s="35"/>
      <c r="L13" s="35"/>
      <c r="N13" s="35"/>
      <c r="O13" s="14"/>
      <c r="P13" s="27"/>
      <c r="S13" s="31"/>
      <c r="T13" s="13"/>
      <c r="W13" s="31"/>
      <c r="X13" s="13">
        <v>100</v>
      </c>
      <c r="Y13" s="31">
        <f>1000+50+500</f>
        <v>1550</v>
      </c>
      <c r="AA13" s="31"/>
      <c r="AB13" s="15"/>
    </row>
    <row r="14" spans="1:28" x14ac:dyDescent="0.25">
      <c r="A14" s="311"/>
      <c r="B14" s="20">
        <v>45642</v>
      </c>
      <c r="C14" s="14" t="s">
        <v>22</v>
      </c>
      <c r="D14" s="27"/>
      <c r="F14" s="35"/>
      <c r="G14">
        <f>1000+2000+1500</f>
        <v>4500</v>
      </c>
      <c r="H14" s="31"/>
      <c r="I14" s="13"/>
      <c r="J14" s="35"/>
      <c r="L14" s="35"/>
      <c r="N14" s="35"/>
      <c r="O14" s="14"/>
      <c r="P14" s="27"/>
      <c r="R14">
        <v>482</v>
      </c>
      <c r="S14" s="31"/>
      <c r="T14" s="13"/>
      <c r="W14" s="31"/>
      <c r="X14" s="13"/>
      <c r="Y14" s="31">
        <f>1000+10+50</f>
        <v>1060</v>
      </c>
      <c r="AA14" s="31"/>
      <c r="AB14" s="15"/>
    </row>
    <row r="15" spans="1:28" x14ac:dyDescent="0.25">
      <c r="A15" s="311"/>
      <c r="B15" s="20">
        <v>45643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>
        <v>20</v>
      </c>
      <c r="P15" s="27"/>
      <c r="S15" s="31"/>
      <c r="T15" s="13"/>
      <c r="W15" s="31"/>
      <c r="X15" s="13"/>
      <c r="Y15" s="31"/>
      <c r="AA15" s="31"/>
      <c r="AB15" s="15"/>
    </row>
    <row r="16" spans="1:28" x14ac:dyDescent="0.25">
      <c r="A16" s="311"/>
      <c r="B16" s="20">
        <v>45644</v>
      </c>
      <c r="C16" s="14" t="s">
        <v>22</v>
      </c>
      <c r="D16" s="27">
        <v>1000</v>
      </c>
      <c r="F16" s="35"/>
      <c r="H16" s="31"/>
      <c r="I16" s="13"/>
      <c r="J16" s="35">
        <v>500</v>
      </c>
      <c r="L16" s="35"/>
      <c r="N16" s="35"/>
      <c r="O16" s="14"/>
      <c r="P16" s="27"/>
      <c r="S16" s="31"/>
      <c r="T16" s="13">
        <v>235</v>
      </c>
      <c r="W16" s="31"/>
      <c r="X16" s="13"/>
      <c r="Y16" s="31"/>
      <c r="AA16" s="31"/>
      <c r="AB16" s="15"/>
    </row>
    <row r="17" spans="1:28" x14ac:dyDescent="0.25">
      <c r="A17" s="311"/>
      <c r="B17" s="20">
        <v>45645</v>
      </c>
      <c r="C17" s="14" t="s">
        <v>22</v>
      </c>
      <c r="D17" s="27"/>
      <c r="F17" s="35"/>
      <c r="H17" s="31"/>
      <c r="I17" s="13">
        <v>500</v>
      </c>
      <c r="J17" s="35"/>
      <c r="L17" s="35"/>
      <c r="N17" s="35">
        <v>50</v>
      </c>
      <c r="O17" s="14"/>
      <c r="P17" s="27"/>
      <c r="S17" s="31"/>
      <c r="T17" s="13"/>
      <c r="W17" s="31"/>
      <c r="X17" s="13">
        <v>500</v>
      </c>
      <c r="Y17" s="31">
        <f>35+25+10</f>
        <v>70</v>
      </c>
      <c r="AA17" s="31"/>
      <c r="AB17" s="15"/>
    </row>
    <row r="18" spans="1:28" x14ac:dyDescent="0.25">
      <c r="A18" s="311"/>
      <c r="B18" s="20">
        <v>45645</v>
      </c>
      <c r="C18" s="14" t="s">
        <v>45</v>
      </c>
      <c r="D18" s="27"/>
      <c r="F18" s="35"/>
      <c r="H18" s="31"/>
      <c r="I18" s="13"/>
      <c r="J18" s="35"/>
      <c r="L18" s="35">
        <v>1000</v>
      </c>
      <c r="N18" s="35"/>
      <c r="O18" s="14"/>
      <c r="P18" s="27"/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>
        <v>45646</v>
      </c>
      <c r="C19" s="14" t="s">
        <v>45</v>
      </c>
      <c r="D19" s="27"/>
      <c r="F19" s="35"/>
      <c r="G19">
        <v>2000</v>
      </c>
      <c r="H19" s="31"/>
      <c r="I19" s="13"/>
      <c r="J19" s="35"/>
      <c r="L19" s="35"/>
      <c r="N19" s="35"/>
      <c r="O19" s="14"/>
      <c r="P19" s="27"/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>
        <v>45646</v>
      </c>
      <c r="C20" s="14" t="s">
        <v>22</v>
      </c>
      <c r="D20" s="27"/>
      <c r="F20" s="35"/>
      <c r="H20" s="31"/>
      <c r="I20" s="13"/>
      <c r="J20" s="35">
        <v>110</v>
      </c>
      <c r="L20" s="35"/>
      <c r="N20" s="35"/>
      <c r="O20" s="14"/>
      <c r="P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>
        <v>45647</v>
      </c>
      <c r="C21" s="14" t="s">
        <v>22</v>
      </c>
      <c r="D21" s="27"/>
      <c r="F21" s="35"/>
      <c r="H21" s="31"/>
      <c r="I21" s="13"/>
      <c r="J21" s="35"/>
      <c r="L21" s="35"/>
      <c r="N21" s="35"/>
      <c r="O21" s="14"/>
      <c r="P21" s="27"/>
      <c r="S21" s="31"/>
      <c r="T21" s="13"/>
      <c r="W21" s="31"/>
      <c r="X21" s="13">
        <v>100</v>
      </c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S23" s="31"/>
      <c r="T23" s="13"/>
      <c r="W23" s="31"/>
      <c r="X23" s="13"/>
      <c r="Y23" s="31"/>
      <c r="AA23" s="31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/>
      <c r="AA24" s="31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SUM(D4:D12)-SUM(D13:D24)</f>
        <v>12570</v>
      </c>
      <c r="E25" s="22">
        <f t="shared" si="0"/>
        <v>0</v>
      </c>
      <c r="F25" s="37">
        <f t="shared" si="0"/>
        <v>0</v>
      </c>
      <c r="G25" s="24">
        <f t="shared" si="0"/>
        <v>6530</v>
      </c>
      <c r="H25" s="33">
        <f t="shared" si="0"/>
        <v>0</v>
      </c>
      <c r="I25" s="22">
        <f t="shared" si="0"/>
        <v>5203</v>
      </c>
      <c r="J25" s="37">
        <f t="shared" si="0"/>
        <v>390</v>
      </c>
      <c r="K25" s="24">
        <f t="shared" si="0"/>
        <v>0</v>
      </c>
      <c r="L25" s="37">
        <f>SUM(L4:L12)-SUM(L13:L24)</f>
        <v>3860</v>
      </c>
      <c r="M25" s="24">
        <f t="shared" si="0"/>
        <v>0</v>
      </c>
      <c r="N25" s="37">
        <f t="shared" si="0"/>
        <v>5220</v>
      </c>
      <c r="O25" s="23">
        <f t="shared" si="0"/>
        <v>691</v>
      </c>
      <c r="P25" s="29">
        <f t="shared" si="0"/>
        <v>936</v>
      </c>
      <c r="Q25" s="29">
        <f t="shared" si="0"/>
        <v>500</v>
      </c>
      <c r="R25" s="24">
        <f t="shared" si="0"/>
        <v>1205</v>
      </c>
      <c r="S25" s="33">
        <f t="shared" si="0"/>
        <v>725</v>
      </c>
      <c r="T25" s="22">
        <f t="shared" si="0"/>
        <v>965</v>
      </c>
      <c r="U25" s="22">
        <f t="shared" si="0"/>
        <v>20</v>
      </c>
      <c r="V25" s="22">
        <f t="shared" si="0"/>
        <v>0</v>
      </c>
      <c r="W25" s="33">
        <f t="shared" si="0"/>
        <v>0</v>
      </c>
      <c r="X25" s="22">
        <f t="shared" si="0"/>
        <v>3274</v>
      </c>
      <c r="Y25" s="33">
        <f t="shared" si="0"/>
        <v>1478</v>
      </c>
      <c r="Z25" s="22">
        <f t="shared" si="0"/>
        <v>15</v>
      </c>
      <c r="AA25" s="33">
        <f t="shared" si="0"/>
        <v>500</v>
      </c>
      <c r="AB25" s="25">
        <f t="shared" si="0"/>
        <v>424</v>
      </c>
    </row>
    <row r="27" spans="1:28" x14ac:dyDescent="0.25">
      <c r="D27">
        <f>D25*0.33</f>
        <v>4148.1000000000004</v>
      </c>
      <c r="E27">
        <f>+E25*0.3</f>
        <v>0</v>
      </c>
      <c r="F27">
        <f>+F25*0.28</f>
        <v>0</v>
      </c>
      <c r="G27">
        <f>+G25*0.33</f>
        <v>2154.9</v>
      </c>
      <c r="H27">
        <f>+H25*0.37</f>
        <v>0</v>
      </c>
      <c r="I27">
        <f>+I25*0.53</f>
        <v>2757.59</v>
      </c>
      <c r="J27">
        <f>+J25*0.54</f>
        <v>210.60000000000002</v>
      </c>
      <c r="K27" s="50">
        <f>+K25*0.82</f>
        <v>0</v>
      </c>
      <c r="L27">
        <f>+L25*0.61</f>
        <v>2354.6</v>
      </c>
      <c r="M27">
        <f>+M25*0.66</f>
        <v>0</v>
      </c>
      <c r="N27">
        <f>+N25*0.63</f>
        <v>3288.6</v>
      </c>
      <c r="O27">
        <f>+O25*0.54</f>
        <v>373.14000000000004</v>
      </c>
      <c r="P27">
        <f>+P25*2.04</f>
        <v>1909.44</v>
      </c>
      <c r="Q27">
        <f>+Q25*1.57</f>
        <v>785</v>
      </c>
      <c r="R27">
        <f>+R25*1.76</f>
        <v>2120.8000000000002</v>
      </c>
      <c r="S27">
        <f>+S25*1.57</f>
        <v>1138.25</v>
      </c>
      <c r="T27">
        <f>+T25*1.81</f>
        <v>1746.65</v>
      </c>
      <c r="U27">
        <f>+U25*1.85</f>
        <v>37</v>
      </c>
      <c r="V27">
        <f>+V25*2.18</f>
        <v>0</v>
      </c>
      <c r="W27">
        <f>+W25*1.8</f>
        <v>0</v>
      </c>
      <c r="X27">
        <f>+X25*0.39</f>
        <v>1276.8600000000001</v>
      </c>
      <c r="Y27">
        <f>+Y25*0.29</f>
        <v>428.61999999999995</v>
      </c>
      <c r="Z27" s="50">
        <f>+Z25*1.9</f>
        <v>28.5</v>
      </c>
      <c r="AA27">
        <f>+AA25*0.93</f>
        <v>465</v>
      </c>
      <c r="AB27">
        <f>+AB25*1.5</f>
        <v>636</v>
      </c>
    </row>
    <row r="28" spans="1:28" x14ac:dyDescent="0.25">
      <c r="AB28" s="39">
        <f>SUM(D27:AB27)</f>
        <v>25859.65</v>
      </c>
    </row>
    <row r="29" spans="1:28" x14ac:dyDescent="0.25">
      <c r="C29" s="55" t="s">
        <v>35</v>
      </c>
      <c r="D29" s="55">
        <f>12334+132</f>
        <v>12466</v>
      </c>
      <c r="E29" s="55"/>
      <c r="F29" s="55"/>
      <c r="G29" s="55">
        <v>6578</v>
      </c>
      <c r="H29" s="55"/>
      <c r="I29" s="55">
        <v>5211</v>
      </c>
      <c r="J29" s="55">
        <v>409</v>
      </c>
      <c r="K29" s="76"/>
      <c r="L29" s="55">
        <v>3864</v>
      </c>
      <c r="M29" s="55"/>
      <c r="N29" s="55">
        <v>5225</v>
      </c>
      <c r="O29" s="55">
        <v>697</v>
      </c>
      <c r="P29" s="55">
        <v>937</v>
      </c>
      <c r="Q29" s="55">
        <v>450</v>
      </c>
      <c r="R29" s="55">
        <v>1200</v>
      </c>
      <c r="S29" s="55">
        <v>725</v>
      </c>
      <c r="T29" s="55">
        <v>965</v>
      </c>
      <c r="U29" s="55">
        <v>20</v>
      </c>
      <c r="V29" s="55"/>
      <c r="W29" s="55"/>
      <c r="X29" s="55">
        <v>3278</v>
      </c>
      <c r="Y29" s="55">
        <v>1448</v>
      </c>
      <c r="Z29" s="75"/>
      <c r="AA29" s="55">
        <v>500</v>
      </c>
      <c r="AB29" s="55">
        <v>424</v>
      </c>
    </row>
    <row r="31" spans="1:28" x14ac:dyDescent="0.25">
      <c r="C31" s="52" t="s">
        <v>94</v>
      </c>
      <c r="D31" s="52">
        <f>D29-D25</f>
        <v>-104</v>
      </c>
      <c r="E31" s="52">
        <f t="shared" ref="E31:AA31" si="1">E29-E25</f>
        <v>0</v>
      </c>
      <c r="F31" s="52">
        <f t="shared" si="1"/>
        <v>0</v>
      </c>
      <c r="G31" s="52">
        <f t="shared" si="1"/>
        <v>48</v>
      </c>
      <c r="H31" s="52">
        <f t="shared" si="1"/>
        <v>0</v>
      </c>
      <c r="I31" s="52">
        <f t="shared" si="1"/>
        <v>8</v>
      </c>
      <c r="J31" s="52">
        <f t="shared" si="1"/>
        <v>19</v>
      </c>
      <c r="K31" s="52">
        <f t="shared" si="1"/>
        <v>0</v>
      </c>
      <c r="L31" s="52">
        <f>L29-L25</f>
        <v>4</v>
      </c>
      <c r="M31" s="52">
        <f t="shared" si="1"/>
        <v>0</v>
      </c>
      <c r="N31" s="52">
        <f t="shared" si="1"/>
        <v>5</v>
      </c>
      <c r="O31" s="90">
        <f t="shared" si="1"/>
        <v>6</v>
      </c>
      <c r="P31" s="52">
        <f t="shared" si="1"/>
        <v>1</v>
      </c>
      <c r="Q31" s="52">
        <f>Q29-Q25</f>
        <v>-50</v>
      </c>
      <c r="R31" s="52">
        <f t="shared" si="1"/>
        <v>-5</v>
      </c>
      <c r="S31" s="52">
        <f t="shared" si="1"/>
        <v>0</v>
      </c>
      <c r="T31" s="52">
        <f t="shared" si="1"/>
        <v>0</v>
      </c>
      <c r="U31" s="52">
        <f t="shared" si="1"/>
        <v>0</v>
      </c>
      <c r="V31" s="52">
        <f t="shared" si="1"/>
        <v>0</v>
      </c>
      <c r="W31" s="52">
        <f t="shared" si="1"/>
        <v>0</v>
      </c>
      <c r="X31" s="52">
        <f t="shared" si="1"/>
        <v>4</v>
      </c>
      <c r="Y31" s="52">
        <f t="shared" si="1"/>
        <v>-30</v>
      </c>
      <c r="Z31" s="52">
        <f t="shared" si="1"/>
        <v>-15</v>
      </c>
      <c r="AA31" s="52">
        <f t="shared" si="1"/>
        <v>0</v>
      </c>
      <c r="AB31" s="52">
        <f>AB29-AB25</f>
        <v>0</v>
      </c>
    </row>
    <row r="32" spans="1:28" x14ac:dyDescent="0.25">
      <c r="C32" t="s">
        <v>74</v>
      </c>
      <c r="D32">
        <v>0.33</v>
      </c>
      <c r="G32">
        <v>0.33</v>
      </c>
      <c r="I32">
        <v>0.53</v>
      </c>
      <c r="J32">
        <v>0.54</v>
      </c>
      <c r="L32">
        <v>0.61</v>
      </c>
      <c r="N32">
        <v>0.63</v>
      </c>
      <c r="O32">
        <v>0.54</v>
      </c>
      <c r="P32">
        <v>2.04</v>
      </c>
      <c r="Q32">
        <v>1.57</v>
      </c>
      <c r="R32">
        <v>1.76</v>
      </c>
      <c r="S32">
        <v>1.57</v>
      </c>
      <c r="X32">
        <v>0.39</v>
      </c>
      <c r="Y32">
        <v>0.28999999999999998</v>
      </c>
      <c r="Z32">
        <v>1.9</v>
      </c>
    </row>
    <row r="34" spans="3:28" x14ac:dyDescent="0.25">
      <c r="C34" s="55" t="s">
        <v>53</v>
      </c>
      <c r="D34" s="55">
        <f>D31*D32</f>
        <v>-34.32</v>
      </c>
      <c r="E34" s="55">
        <f t="shared" ref="E34:Z34" si="2">E31*E32</f>
        <v>0</v>
      </c>
      <c r="F34" s="55">
        <f t="shared" si="2"/>
        <v>0</v>
      </c>
      <c r="G34" s="55">
        <f t="shared" si="2"/>
        <v>15.84</v>
      </c>
      <c r="H34" s="55">
        <f t="shared" si="2"/>
        <v>0</v>
      </c>
      <c r="I34" s="55">
        <f t="shared" si="2"/>
        <v>4.24</v>
      </c>
      <c r="J34" s="55">
        <f t="shared" si="2"/>
        <v>10.260000000000002</v>
      </c>
      <c r="K34" s="55">
        <f t="shared" si="2"/>
        <v>0</v>
      </c>
      <c r="L34" s="55">
        <f t="shared" si="2"/>
        <v>2.44</v>
      </c>
      <c r="M34" s="55">
        <f t="shared" si="2"/>
        <v>0</v>
      </c>
      <c r="N34" s="55">
        <f t="shared" si="2"/>
        <v>3.15</v>
      </c>
      <c r="O34" s="55">
        <f t="shared" si="2"/>
        <v>3.24</v>
      </c>
      <c r="P34" s="55">
        <f t="shared" si="2"/>
        <v>2.04</v>
      </c>
      <c r="Q34" s="55">
        <f t="shared" si="2"/>
        <v>-78.5</v>
      </c>
      <c r="R34" s="55">
        <f t="shared" si="2"/>
        <v>-8.8000000000000007</v>
      </c>
      <c r="S34" s="55">
        <f t="shared" si="2"/>
        <v>0</v>
      </c>
      <c r="T34" s="55">
        <f t="shared" si="2"/>
        <v>0</v>
      </c>
      <c r="U34" s="55">
        <f t="shared" si="2"/>
        <v>0</v>
      </c>
      <c r="V34" s="55">
        <f t="shared" si="2"/>
        <v>0</v>
      </c>
      <c r="W34" s="55">
        <f t="shared" si="2"/>
        <v>0</v>
      </c>
      <c r="X34" s="55">
        <f t="shared" si="2"/>
        <v>1.56</v>
      </c>
      <c r="Y34" s="55">
        <f t="shared" si="2"/>
        <v>-8.6999999999999993</v>
      </c>
      <c r="Z34" s="55">
        <f t="shared" si="2"/>
        <v>-28.5</v>
      </c>
      <c r="AA34" s="55"/>
      <c r="AB34" s="55"/>
    </row>
    <row r="36" spans="3:28" x14ac:dyDescent="0.25">
      <c r="Z36" s="39">
        <f>SUM(D34:Z34)</f>
        <v>-116.05</v>
      </c>
      <c r="AB36" s="39">
        <f>AB28+Z36</f>
        <v>25743.600000000002</v>
      </c>
    </row>
    <row r="38" spans="3:28" ht="15.75" x14ac:dyDescent="0.25">
      <c r="S38" s="89"/>
    </row>
    <row r="39" spans="3:28" ht="15.75" x14ac:dyDescent="0.25">
      <c r="S39" s="89"/>
    </row>
    <row r="40" spans="3:28" x14ac:dyDescent="0.25">
      <c r="S40" s="85"/>
    </row>
    <row r="41" spans="3:28" x14ac:dyDescent="0.25">
      <c r="S41" s="85"/>
    </row>
    <row r="42" spans="3:28" x14ac:dyDescent="0.25">
      <c r="S42" s="85"/>
    </row>
    <row r="43" spans="3:28" x14ac:dyDescent="0.25">
      <c r="S43" s="85"/>
    </row>
    <row r="44" spans="3:28" x14ac:dyDescent="0.25">
      <c r="S44" s="85"/>
    </row>
    <row r="45" spans="3:28" x14ac:dyDescent="0.25">
      <c r="S45" s="85"/>
    </row>
  </sheetData>
  <mergeCells count="7">
    <mergeCell ref="X2:Y2"/>
    <mergeCell ref="A4:A12"/>
    <mergeCell ref="A13:A24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A729-A571-4F0F-BB37-27F6CC0F752D}">
  <dimension ref="A1:AB37"/>
  <sheetViews>
    <sheetView view="pageBreakPreview"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7" sqref="R1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15 a  21'!D29</f>
        <v>12466</v>
      </c>
      <c r="E4" s="42">
        <f>'STOCK 15 a  21'!E29</f>
        <v>0</v>
      </c>
      <c r="F4" s="42">
        <f>'STOCK 15 a  21'!F29</f>
        <v>0</v>
      </c>
      <c r="G4" s="42">
        <f>'STOCK 15 a  21'!G29</f>
        <v>6578</v>
      </c>
      <c r="H4" s="42">
        <f>'STOCK 15 a  21'!H29</f>
        <v>0</v>
      </c>
      <c r="I4" s="42">
        <f>'STOCK 15 a  21'!I29</f>
        <v>5211</v>
      </c>
      <c r="J4" s="42">
        <f>'STOCK 15 a  21'!J29</f>
        <v>409</v>
      </c>
      <c r="K4" s="42">
        <f>'STOCK 15 a  21'!K29</f>
        <v>0</v>
      </c>
      <c r="L4" s="42">
        <f>'STOCK 15 a  21'!L29</f>
        <v>3864</v>
      </c>
      <c r="M4" s="42">
        <f>'STOCK 15 a  21'!M29</f>
        <v>0</v>
      </c>
      <c r="N4" s="42">
        <f>'STOCK 15 a  21'!N29</f>
        <v>5225</v>
      </c>
      <c r="O4" s="42">
        <f>'STOCK 15 a  21'!O29</f>
        <v>697</v>
      </c>
      <c r="P4" s="42">
        <f>'STOCK 15 a  21'!P29</f>
        <v>937</v>
      </c>
      <c r="Q4" s="42">
        <f>'STOCK 15 a  21'!Q29</f>
        <v>450</v>
      </c>
      <c r="R4" s="42">
        <f>'STOCK 15 a  21'!R29</f>
        <v>1200</v>
      </c>
      <c r="S4" s="42">
        <f>'STOCK 15 a  21'!S29</f>
        <v>725</v>
      </c>
      <c r="T4" s="42">
        <f>'STOCK 15 a  21'!T29</f>
        <v>965</v>
      </c>
      <c r="U4" s="42">
        <f>'STOCK 15 a  21'!U29</f>
        <v>20</v>
      </c>
      <c r="V4" s="42">
        <f>'STOCK 15 a  21'!V29</f>
        <v>0</v>
      </c>
      <c r="W4" s="42">
        <f>'STOCK 15 a  21'!W29</f>
        <v>0</v>
      </c>
      <c r="X4" s="42">
        <f>'STOCK 15 a  21'!X29</f>
        <v>3278</v>
      </c>
      <c r="Y4" s="42">
        <f>'STOCK 15 a  21'!Y29</f>
        <v>1448</v>
      </c>
      <c r="Z4" s="42">
        <f>'STOCK 15 a  21'!Z29</f>
        <v>0</v>
      </c>
      <c r="AA4" s="42">
        <f>'STOCK 15 a  21'!AA29</f>
        <v>500</v>
      </c>
      <c r="AB4" s="42">
        <f>'STOCK 15 a  21'!AB29</f>
        <v>424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N5" s="35"/>
      <c r="O5" s="14"/>
      <c r="P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45650</v>
      </c>
      <c r="C6" s="82" t="s">
        <v>27</v>
      </c>
      <c r="D6" s="27">
        <v>4500</v>
      </c>
      <c r="F6" s="35"/>
      <c r="H6" s="31"/>
      <c r="I6" s="13"/>
      <c r="J6" s="35"/>
      <c r="L6" s="35"/>
      <c r="N6" s="35"/>
      <c r="O6" s="14"/>
      <c r="P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/>
      <c r="C7" s="82"/>
      <c r="D7" s="27"/>
      <c r="F7" s="35"/>
      <c r="H7" s="31"/>
      <c r="I7" s="13"/>
      <c r="J7" s="35"/>
      <c r="L7" s="35"/>
      <c r="N7" s="35"/>
      <c r="O7" s="14"/>
      <c r="P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18"/>
      <c r="N12" s="36"/>
      <c r="O12" s="17"/>
      <c r="P12" s="2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32"/>
      <c r="AB12" s="19"/>
    </row>
    <row r="13" spans="1:28" x14ac:dyDescent="0.25">
      <c r="A13" s="310" t="s">
        <v>62</v>
      </c>
      <c r="B13" s="20">
        <v>45649</v>
      </c>
      <c r="C13" s="14" t="s">
        <v>22</v>
      </c>
      <c r="D13" s="27"/>
      <c r="F13" s="35"/>
      <c r="H13" s="31"/>
      <c r="I13" s="13"/>
      <c r="J13" s="35"/>
      <c r="L13" s="35"/>
      <c r="N13" s="35"/>
      <c r="O13" s="14"/>
      <c r="P13" s="27"/>
      <c r="S13" s="31"/>
      <c r="T13" s="13"/>
      <c r="W13" s="31"/>
      <c r="X13" s="13"/>
      <c r="Y13" s="31"/>
      <c r="AA13" s="31"/>
      <c r="AB13" s="15">
        <v>60</v>
      </c>
    </row>
    <row r="14" spans="1:28" x14ac:dyDescent="0.25">
      <c r="A14" s="311"/>
      <c r="B14" s="20">
        <v>45650</v>
      </c>
      <c r="C14" s="14" t="s">
        <v>45</v>
      </c>
      <c r="D14" s="27"/>
      <c r="F14" s="35"/>
      <c r="G14">
        <v>4000</v>
      </c>
      <c r="H14" s="31"/>
      <c r="I14" s="13"/>
      <c r="J14" s="35"/>
      <c r="L14" s="35"/>
      <c r="N14" s="35"/>
      <c r="O14" s="14"/>
      <c r="P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>
        <v>45652</v>
      </c>
      <c r="C15" s="14" t="s">
        <v>22</v>
      </c>
      <c r="D15" s="27">
        <v>20</v>
      </c>
      <c r="F15" s="35"/>
      <c r="H15" s="31"/>
      <c r="I15" s="13"/>
      <c r="J15" s="35"/>
      <c r="L15" s="35"/>
      <c r="N15" s="35"/>
      <c r="O15" s="14"/>
      <c r="P15" s="27"/>
      <c r="S15" s="31"/>
      <c r="T15" s="13">
        <v>320</v>
      </c>
      <c r="W15" s="31"/>
      <c r="X15" s="13"/>
      <c r="Y15" s="31"/>
      <c r="AA15" s="31"/>
      <c r="AB15" s="15">
        <v>22</v>
      </c>
    </row>
    <row r="16" spans="1:28" x14ac:dyDescent="0.25">
      <c r="A16" s="311"/>
      <c r="B16" s="20">
        <v>45653</v>
      </c>
      <c r="C16" s="14" t="s">
        <v>22</v>
      </c>
      <c r="D16" s="27"/>
      <c r="F16" s="35"/>
      <c r="G16">
        <f>200+2000</f>
        <v>2200</v>
      </c>
      <c r="H16" s="31"/>
      <c r="I16" s="13"/>
      <c r="J16" s="35"/>
      <c r="L16" s="35"/>
      <c r="N16" s="35"/>
      <c r="O16" s="14">
        <v>300</v>
      </c>
      <c r="P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45654</v>
      </c>
      <c r="C17" s="14" t="s">
        <v>22</v>
      </c>
      <c r="D17" s="27"/>
      <c r="F17" s="35"/>
      <c r="H17" s="31"/>
      <c r="I17" s="13"/>
      <c r="J17" s="35"/>
      <c r="L17" s="35"/>
      <c r="N17" s="35"/>
      <c r="O17" s="14"/>
      <c r="P17" s="27"/>
      <c r="Q17">
        <v>29</v>
      </c>
      <c r="R17">
        <v>6</v>
      </c>
      <c r="S17" s="31">
        <v>3</v>
      </c>
      <c r="T17" s="13"/>
      <c r="W17" s="31"/>
      <c r="X17" s="13"/>
      <c r="Y17" s="31"/>
      <c r="AA17" s="31"/>
      <c r="AB17" s="15"/>
    </row>
    <row r="18" spans="1:28" x14ac:dyDescent="0.25">
      <c r="A18" s="311"/>
      <c r="B18" s="20"/>
      <c r="C18" s="14"/>
      <c r="D18" s="27"/>
      <c r="F18" s="35"/>
      <c r="H18" s="31"/>
      <c r="I18" s="13"/>
      <c r="J18" s="35"/>
      <c r="L18" s="35"/>
      <c r="N18" s="35"/>
      <c r="O18" s="14"/>
      <c r="P18" s="27"/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S23" s="31"/>
      <c r="T23" s="13"/>
      <c r="W23" s="31"/>
      <c r="X23" s="13"/>
      <c r="Y23" s="31"/>
      <c r="AA23" s="31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/>
      <c r="AA24" s="31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SUM(D4:D12)-SUM(D13:D24)</f>
        <v>16946</v>
      </c>
      <c r="E25" s="22">
        <f t="shared" si="0"/>
        <v>0</v>
      </c>
      <c r="F25" s="37">
        <f t="shared" si="0"/>
        <v>0</v>
      </c>
      <c r="G25" s="24">
        <f t="shared" si="0"/>
        <v>378</v>
      </c>
      <c r="H25" s="33">
        <f t="shared" si="0"/>
        <v>0</v>
      </c>
      <c r="I25" s="22">
        <f t="shared" si="0"/>
        <v>5211</v>
      </c>
      <c r="J25" s="37">
        <f t="shared" si="0"/>
        <v>409</v>
      </c>
      <c r="K25" s="24">
        <f t="shared" si="0"/>
        <v>0</v>
      </c>
      <c r="L25" s="37">
        <f>SUM(L4:L12)-SUM(L13:L24)</f>
        <v>3864</v>
      </c>
      <c r="M25" s="24">
        <f t="shared" si="0"/>
        <v>0</v>
      </c>
      <c r="N25" s="37">
        <f t="shared" si="0"/>
        <v>5225</v>
      </c>
      <c r="O25" s="23">
        <f t="shared" si="0"/>
        <v>397</v>
      </c>
      <c r="P25" s="29">
        <f t="shared" si="0"/>
        <v>937</v>
      </c>
      <c r="Q25" s="29">
        <f t="shared" si="0"/>
        <v>421</v>
      </c>
      <c r="R25" s="24">
        <f t="shared" si="0"/>
        <v>1194</v>
      </c>
      <c r="S25" s="33">
        <f t="shared" si="0"/>
        <v>722</v>
      </c>
      <c r="T25" s="22">
        <f t="shared" si="0"/>
        <v>645</v>
      </c>
      <c r="U25" s="22">
        <f t="shared" si="0"/>
        <v>20</v>
      </c>
      <c r="V25" s="22">
        <f t="shared" si="0"/>
        <v>0</v>
      </c>
      <c r="W25" s="33">
        <f t="shared" si="0"/>
        <v>0</v>
      </c>
      <c r="X25" s="22">
        <f t="shared" si="0"/>
        <v>3278</v>
      </c>
      <c r="Y25" s="33">
        <f t="shared" si="0"/>
        <v>1448</v>
      </c>
      <c r="Z25" s="22">
        <f t="shared" si="0"/>
        <v>0</v>
      </c>
      <c r="AA25" s="33">
        <f t="shared" si="0"/>
        <v>500</v>
      </c>
      <c r="AB25" s="25">
        <f t="shared" si="0"/>
        <v>342</v>
      </c>
    </row>
    <row r="27" spans="1:28" x14ac:dyDescent="0.25">
      <c r="D27">
        <f>D25*0.33</f>
        <v>5592.18</v>
      </c>
      <c r="E27">
        <f>+E25*0.3</f>
        <v>0</v>
      </c>
      <c r="F27">
        <f>+F25*0.28</f>
        <v>0</v>
      </c>
      <c r="G27">
        <f>+G25*0.33</f>
        <v>124.74000000000001</v>
      </c>
      <c r="H27">
        <f>+H25*0.37</f>
        <v>0</v>
      </c>
      <c r="I27">
        <f>+I25*0.53</f>
        <v>2761.83</v>
      </c>
      <c r="J27">
        <f>+J25*0.54</f>
        <v>220.86</v>
      </c>
      <c r="K27" s="50">
        <f>+K25*0.82</f>
        <v>0</v>
      </c>
      <c r="L27">
        <f>+L25*0.61</f>
        <v>2357.04</v>
      </c>
      <c r="M27">
        <f>+M25*0.66</f>
        <v>0</v>
      </c>
      <c r="N27">
        <f>+N25*0.63</f>
        <v>3291.75</v>
      </c>
      <c r="O27">
        <f>+O25*0.54</f>
        <v>214.38000000000002</v>
      </c>
      <c r="P27">
        <f>+P25*2.04</f>
        <v>1911.48</v>
      </c>
      <c r="Q27">
        <f>+Q25*1.57</f>
        <v>660.97</v>
      </c>
      <c r="R27">
        <f>+R25*1.76</f>
        <v>2101.44</v>
      </c>
      <c r="S27">
        <f>+S25*1.57</f>
        <v>1133.54</v>
      </c>
      <c r="T27">
        <f>+T25*1.81</f>
        <v>1167.45</v>
      </c>
      <c r="U27">
        <f>+U25*1.85</f>
        <v>37</v>
      </c>
      <c r="V27">
        <f>+V25*2.18</f>
        <v>0</v>
      </c>
      <c r="W27">
        <f>+W25*1.8</f>
        <v>0</v>
      </c>
      <c r="X27">
        <f>+X25*0.39</f>
        <v>1278.42</v>
      </c>
      <c r="Y27">
        <f>+Y25*0.29</f>
        <v>419.91999999999996</v>
      </c>
      <c r="Z27" s="50">
        <f>+Z25*1.9</f>
        <v>0</v>
      </c>
      <c r="AA27">
        <f>+AA25*0.93</f>
        <v>465</v>
      </c>
      <c r="AB27">
        <f>+AB25*1.5</f>
        <v>513</v>
      </c>
    </row>
    <row r="28" spans="1:28" x14ac:dyDescent="0.25">
      <c r="AB28" s="39">
        <f>SUM(D27:AB27)</f>
        <v>24251</v>
      </c>
    </row>
    <row r="30" spans="1:28" ht="15.75" x14ac:dyDescent="0.25">
      <c r="S30" s="89"/>
    </row>
    <row r="31" spans="1:28" ht="15.75" x14ac:dyDescent="0.25">
      <c r="S31" s="89"/>
    </row>
    <row r="32" spans="1:28" x14ac:dyDescent="0.25">
      <c r="S32" s="85"/>
    </row>
    <row r="33" spans="19:19" x14ac:dyDescent="0.25">
      <c r="S33" s="85"/>
    </row>
    <row r="34" spans="19:19" x14ac:dyDescent="0.25">
      <c r="S34" s="85"/>
    </row>
    <row r="35" spans="19:19" x14ac:dyDescent="0.25">
      <c r="S35" s="85"/>
    </row>
    <row r="36" spans="19:19" x14ac:dyDescent="0.25">
      <c r="S36" s="85"/>
    </row>
    <row r="37" spans="19:19" x14ac:dyDescent="0.25">
      <c r="S37" s="85"/>
    </row>
  </sheetData>
  <mergeCells count="7">
    <mergeCell ref="X2:Y2"/>
    <mergeCell ref="A4:A12"/>
    <mergeCell ref="A13:A24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FC34-34BD-4681-BF0A-E8D2ED6CD9F9}">
  <dimension ref="A1:AB37"/>
  <sheetViews>
    <sheetView zoomScale="60" zoomScaleNormal="6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R13" sqref="R13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21 a  28'!D25</f>
        <v>16946</v>
      </c>
      <c r="E4" s="42">
        <f>'STOCK 21 a  28'!E25</f>
        <v>0</v>
      </c>
      <c r="F4" s="42">
        <f>'STOCK 21 a  28'!F25</f>
        <v>0</v>
      </c>
      <c r="G4" s="42">
        <f>'STOCK 21 a  28'!G25</f>
        <v>378</v>
      </c>
      <c r="H4" s="42">
        <f>'STOCK 21 a  28'!H25</f>
        <v>0</v>
      </c>
      <c r="I4" s="42">
        <f>'STOCK 21 a  28'!I25</f>
        <v>5211</v>
      </c>
      <c r="J4" s="42">
        <f>'STOCK 21 a  28'!J25</f>
        <v>409</v>
      </c>
      <c r="K4" s="42">
        <f>'STOCK 21 a  28'!K25</f>
        <v>0</v>
      </c>
      <c r="L4" s="42">
        <f>'STOCK 21 a  28'!L25</f>
        <v>3864</v>
      </c>
      <c r="M4" s="42">
        <f>'STOCK 21 a  28'!M25</f>
        <v>0</v>
      </c>
      <c r="N4" s="42">
        <f>'STOCK 21 a  28'!N25</f>
        <v>5225</v>
      </c>
      <c r="O4" s="42">
        <f>'STOCK 21 a  28'!O25</f>
        <v>397</v>
      </c>
      <c r="P4" s="42">
        <f>'STOCK 21 a  28'!P25</f>
        <v>937</v>
      </c>
      <c r="Q4" s="42">
        <f>'STOCK 21 a  28'!Q25</f>
        <v>421</v>
      </c>
      <c r="R4" s="42">
        <f>'STOCK 21 a  28'!R25</f>
        <v>1194</v>
      </c>
      <c r="S4" s="42">
        <f>'STOCK 21 a  28'!S25</f>
        <v>722</v>
      </c>
      <c r="T4" s="42">
        <f>'STOCK 21 a  28'!T25</f>
        <v>645</v>
      </c>
      <c r="U4" s="42">
        <f>'STOCK 21 a  28'!U25</f>
        <v>20</v>
      </c>
      <c r="V4" s="42">
        <f>'STOCK 21 a  28'!V25</f>
        <v>0</v>
      </c>
      <c r="W4" s="42">
        <f>'STOCK 21 a  28'!W25</f>
        <v>0</v>
      </c>
      <c r="X4" s="42">
        <f>'STOCK 21 a  28'!X25</f>
        <v>3278</v>
      </c>
      <c r="Y4" s="42">
        <f>'STOCK 21 a  28'!Y25</f>
        <v>1448</v>
      </c>
      <c r="Z4" s="42">
        <f>'STOCK 21 a  28'!Z25</f>
        <v>0</v>
      </c>
      <c r="AA4" s="42">
        <f>'STOCK 21 a  28'!AA25</f>
        <v>500</v>
      </c>
      <c r="AB4" s="42">
        <f>'STOCK 21 a  28'!AB25</f>
        <v>342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N5" s="35"/>
      <c r="O5" s="14"/>
      <c r="P5" s="27"/>
      <c r="S5" s="31"/>
      <c r="T5" s="13"/>
      <c r="W5" s="31"/>
      <c r="X5" s="13"/>
      <c r="Y5" s="31"/>
      <c r="AA5" s="31"/>
      <c r="AB5" s="15">
        <v>58</v>
      </c>
    </row>
    <row r="6" spans="1:28" x14ac:dyDescent="0.25">
      <c r="A6" s="311"/>
      <c r="B6" s="20">
        <v>45656</v>
      </c>
      <c r="C6" s="82" t="s">
        <v>27</v>
      </c>
      <c r="D6" s="27"/>
      <c r="F6" s="35"/>
      <c r="H6" s="31"/>
      <c r="I6" s="13"/>
      <c r="J6" s="35"/>
      <c r="L6" s="35"/>
      <c r="N6" s="35"/>
      <c r="O6" s="14"/>
      <c r="P6" s="27"/>
      <c r="S6" s="31"/>
      <c r="T6" s="13">
        <v>1000</v>
      </c>
      <c r="W6" s="31"/>
      <c r="X6" s="13"/>
      <c r="Y6" s="31"/>
      <c r="AA6" s="31"/>
      <c r="AB6" s="15"/>
    </row>
    <row r="7" spans="1:28" x14ac:dyDescent="0.25">
      <c r="A7" s="311"/>
      <c r="B7" s="20"/>
      <c r="C7" s="82"/>
      <c r="D7" s="27"/>
      <c r="F7" s="35"/>
      <c r="H7" s="31"/>
      <c r="I7" s="13"/>
      <c r="J7" s="35"/>
      <c r="L7" s="35"/>
      <c r="N7" s="35"/>
      <c r="O7" s="14"/>
      <c r="P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/>
      <c r="C8" s="14"/>
      <c r="D8" s="27"/>
      <c r="F8" s="35"/>
      <c r="H8" s="31"/>
      <c r="I8" s="13"/>
      <c r="J8" s="35"/>
      <c r="L8" s="35"/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18"/>
      <c r="N12" s="36"/>
      <c r="O12" s="17"/>
      <c r="P12" s="2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32"/>
      <c r="AB12" s="19"/>
    </row>
    <row r="13" spans="1:28" x14ac:dyDescent="0.25">
      <c r="A13" s="310" t="s">
        <v>62</v>
      </c>
      <c r="B13" s="20">
        <v>45656</v>
      </c>
      <c r="C13" s="14" t="s">
        <v>22</v>
      </c>
      <c r="D13" s="27">
        <v>2500</v>
      </c>
      <c r="F13" s="35"/>
      <c r="H13" s="31"/>
      <c r="I13" s="13">
        <v>500</v>
      </c>
      <c r="J13" s="35"/>
      <c r="L13" s="35"/>
      <c r="N13" s="35"/>
      <c r="O13" s="14"/>
      <c r="P13" s="27"/>
      <c r="R13">
        <v>220</v>
      </c>
      <c r="S13" s="31"/>
      <c r="T13" s="13">
        <f>400+245</f>
        <v>645</v>
      </c>
      <c r="U13">
        <v>5</v>
      </c>
      <c r="W13" s="31"/>
      <c r="X13" s="13"/>
      <c r="Y13" s="31"/>
      <c r="AA13" s="31"/>
      <c r="AB13" s="15"/>
    </row>
    <row r="14" spans="1:28" x14ac:dyDescent="0.25">
      <c r="A14" s="311"/>
      <c r="B14" s="20">
        <v>45656</v>
      </c>
      <c r="C14" s="14" t="s">
        <v>45</v>
      </c>
      <c r="D14" s="27"/>
      <c r="F14" s="35"/>
      <c r="H14" s="31"/>
      <c r="I14" s="13">
        <v>3000</v>
      </c>
      <c r="J14" s="35"/>
      <c r="L14" s="35"/>
      <c r="N14" s="35"/>
      <c r="O14" s="14"/>
      <c r="P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>
        <v>45657</v>
      </c>
      <c r="C15" s="14" t="s">
        <v>45</v>
      </c>
      <c r="D15" s="27"/>
      <c r="F15" s="35"/>
      <c r="H15" s="31"/>
      <c r="I15" s="13"/>
      <c r="J15" s="35"/>
      <c r="L15" s="35"/>
      <c r="N15" s="35"/>
      <c r="O15" s="14"/>
      <c r="P15" s="27"/>
      <c r="S15" s="31"/>
      <c r="T15" s="13"/>
      <c r="W15" s="31"/>
      <c r="X15" s="13"/>
      <c r="Y15" s="31"/>
      <c r="AA15" s="31"/>
      <c r="AB15" s="15">
        <v>400</v>
      </c>
    </row>
    <row r="16" spans="1:28" x14ac:dyDescent="0.25">
      <c r="A16" s="311"/>
      <c r="B16" s="20">
        <v>45659</v>
      </c>
      <c r="C16" s="14" t="s">
        <v>22</v>
      </c>
      <c r="D16" s="27">
        <v>3000</v>
      </c>
      <c r="F16" s="35"/>
      <c r="H16" s="31"/>
      <c r="I16" s="13">
        <v>500</v>
      </c>
      <c r="J16" s="35"/>
      <c r="L16" s="35"/>
      <c r="N16" s="35"/>
      <c r="O16" s="14"/>
      <c r="P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45660</v>
      </c>
      <c r="C17" s="14" t="s">
        <v>22</v>
      </c>
      <c r="D17" s="27">
        <v>3500</v>
      </c>
      <c r="F17" s="35"/>
      <c r="G17">
        <v>100</v>
      </c>
      <c r="H17" s="31"/>
      <c r="I17" s="13"/>
      <c r="J17" s="35"/>
      <c r="L17" s="35"/>
      <c r="N17" s="35"/>
      <c r="O17" s="14"/>
      <c r="P17" s="27"/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45661</v>
      </c>
      <c r="C18" s="14" t="s">
        <v>22</v>
      </c>
      <c r="D18" s="27">
        <v>500</v>
      </c>
      <c r="F18" s="35"/>
      <c r="H18" s="31"/>
      <c r="I18" s="13"/>
      <c r="J18" s="35"/>
      <c r="L18" s="35">
        <v>600</v>
      </c>
      <c r="N18" s="35"/>
      <c r="O18" s="14"/>
      <c r="P18" s="27"/>
      <c r="S18" s="31"/>
      <c r="T18" s="13"/>
      <c r="W18" s="31"/>
      <c r="X18" s="13"/>
      <c r="Y18" s="31">
        <f>1000+30</f>
        <v>1030</v>
      </c>
      <c r="AA18" s="31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>
        <v>46020</v>
      </c>
      <c r="C20" s="14" t="s">
        <v>45</v>
      </c>
      <c r="D20" s="27"/>
      <c r="F20" s="35"/>
      <c r="H20" s="31"/>
      <c r="I20" s="13"/>
      <c r="J20" s="35"/>
      <c r="L20" s="35">
        <v>3000</v>
      </c>
      <c r="N20" s="35"/>
      <c r="O20" s="14"/>
      <c r="P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S23" s="31"/>
      <c r="T23" s="13"/>
      <c r="W23" s="31"/>
      <c r="X23" s="13"/>
      <c r="Y23" s="31"/>
      <c r="AA23" s="31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/>
      <c r="AA24" s="31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SUM(D4:D12)-SUM(D13:D24)</f>
        <v>7446</v>
      </c>
      <c r="E25" s="22">
        <f t="shared" si="0"/>
        <v>0</v>
      </c>
      <c r="F25" s="37">
        <f t="shared" si="0"/>
        <v>0</v>
      </c>
      <c r="G25" s="24">
        <f t="shared" si="0"/>
        <v>278</v>
      </c>
      <c r="H25" s="33">
        <f t="shared" si="0"/>
        <v>0</v>
      </c>
      <c r="I25" s="22">
        <f t="shared" si="0"/>
        <v>1211</v>
      </c>
      <c r="J25" s="37">
        <f t="shared" si="0"/>
        <v>409</v>
      </c>
      <c r="K25" s="24">
        <f t="shared" si="0"/>
        <v>0</v>
      </c>
      <c r="L25" s="37">
        <f t="shared" si="0"/>
        <v>264</v>
      </c>
      <c r="M25" s="24">
        <f t="shared" si="0"/>
        <v>0</v>
      </c>
      <c r="N25" s="37">
        <f t="shared" si="0"/>
        <v>5225</v>
      </c>
      <c r="O25" s="23">
        <f t="shared" si="0"/>
        <v>397</v>
      </c>
      <c r="P25" s="29">
        <f t="shared" si="0"/>
        <v>937</v>
      </c>
      <c r="Q25" s="29">
        <f t="shared" si="0"/>
        <v>421</v>
      </c>
      <c r="R25" s="24">
        <f t="shared" si="0"/>
        <v>974</v>
      </c>
      <c r="S25" s="33">
        <f t="shared" si="0"/>
        <v>722</v>
      </c>
      <c r="T25" s="22">
        <f t="shared" si="0"/>
        <v>1000</v>
      </c>
      <c r="U25" s="22">
        <f t="shared" si="0"/>
        <v>15</v>
      </c>
      <c r="V25" s="22">
        <f t="shared" si="0"/>
        <v>0</v>
      </c>
      <c r="W25" s="33">
        <f t="shared" si="0"/>
        <v>0</v>
      </c>
      <c r="X25" s="22">
        <f t="shared" si="0"/>
        <v>3278</v>
      </c>
      <c r="Y25" s="33">
        <f t="shared" si="0"/>
        <v>418</v>
      </c>
      <c r="Z25" s="22">
        <f t="shared" si="0"/>
        <v>0</v>
      </c>
      <c r="AA25" s="33">
        <f t="shared" si="0"/>
        <v>500</v>
      </c>
      <c r="AB25" s="25">
        <f t="shared" si="0"/>
        <v>0</v>
      </c>
    </row>
    <row r="27" spans="1:28" x14ac:dyDescent="0.25">
      <c r="D27">
        <f>D25*0.33</f>
        <v>2457.1800000000003</v>
      </c>
      <c r="E27">
        <f>+E25*0.3</f>
        <v>0</v>
      </c>
      <c r="F27">
        <f>+F25*0.28</f>
        <v>0</v>
      </c>
      <c r="G27">
        <f>+G25*0.33</f>
        <v>91.740000000000009</v>
      </c>
      <c r="H27">
        <f>+H25*0.37</f>
        <v>0</v>
      </c>
      <c r="I27">
        <f>+I25*0.53</f>
        <v>641.83000000000004</v>
      </c>
      <c r="J27">
        <f>+J25*0.54</f>
        <v>220.86</v>
      </c>
      <c r="K27" s="50">
        <f>+K25*0.82</f>
        <v>0</v>
      </c>
      <c r="L27">
        <f>+L25*0.61</f>
        <v>161.04</v>
      </c>
      <c r="M27">
        <f>+M25*0.66</f>
        <v>0</v>
      </c>
      <c r="N27">
        <f>+N25*0.63</f>
        <v>3291.75</v>
      </c>
      <c r="O27">
        <f>+O25*0.54</f>
        <v>214.38000000000002</v>
      </c>
      <c r="P27">
        <f>+P25*2.04</f>
        <v>1911.48</v>
      </c>
      <c r="Q27">
        <f>+Q25*1.57</f>
        <v>660.97</v>
      </c>
      <c r="R27">
        <f>+R25*1.76</f>
        <v>1714.24</v>
      </c>
      <c r="S27">
        <f>+S25*1.57</f>
        <v>1133.54</v>
      </c>
      <c r="T27">
        <f>+T25*1.81</f>
        <v>1810</v>
      </c>
      <c r="U27">
        <f>+U25*1.85</f>
        <v>27.75</v>
      </c>
      <c r="V27">
        <f>+V25*2.18</f>
        <v>0</v>
      </c>
      <c r="W27">
        <f>+W25*1.8</f>
        <v>0</v>
      </c>
      <c r="X27">
        <f>+X25*0.39</f>
        <v>1278.42</v>
      </c>
      <c r="Y27">
        <f>+Y25*0.29</f>
        <v>121.21999999999998</v>
      </c>
      <c r="Z27" s="50">
        <f>+Z25*1.9</f>
        <v>0</v>
      </c>
      <c r="AA27">
        <f>+AA25*0.93</f>
        <v>465</v>
      </c>
      <c r="AB27">
        <f>+AB25*1.5</f>
        <v>0</v>
      </c>
    </row>
    <row r="28" spans="1:28" x14ac:dyDescent="0.25">
      <c r="AB28" s="39">
        <f>SUM(D27:AB27)</f>
        <v>16201.399999999998</v>
      </c>
    </row>
    <row r="30" spans="1:28" ht="15.75" x14ac:dyDescent="0.25">
      <c r="S30" s="89"/>
    </row>
    <row r="31" spans="1:28" ht="15.75" x14ac:dyDescent="0.25">
      <c r="S31" s="89"/>
    </row>
    <row r="32" spans="1:28" x14ac:dyDescent="0.25">
      <c r="S32" s="85"/>
    </row>
    <row r="33" spans="19:19" x14ac:dyDescent="0.25">
      <c r="S33" s="85"/>
    </row>
    <row r="34" spans="19:19" x14ac:dyDescent="0.25">
      <c r="S34" s="85"/>
    </row>
    <row r="35" spans="19:19" x14ac:dyDescent="0.25">
      <c r="S35" s="85"/>
    </row>
    <row r="36" spans="19:19" x14ac:dyDescent="0.25">
      <c r="S36" s="85"/>
    </row>
    <row r="37" spans="19:19" x14ac:dyDescent="0.25">
      <c r="S37" s="85"/>
    </row>
  </sheetData>
  <mergeCells count="7">
    <mergeCell ref="X2:Y2"/>
    <mergeCell ref="A4:A12"/>
    <mergeCell ref="A13:A24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CD2E-3044-4D2E-96C0-2FC517C56FDB}">
  <dimension ref="A1:AB37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5" activeCellId="1" sqref="H12 H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29 a  04'!D25</f>
        <v>7446</v>
      </c>
      <c r="E4" s="42">
        <f>'STOCK 29 a  04'!E25</f>
        <v>0</v>
      </c>
      <c r="F4" s="42">
        <f>'STOCK 29 a  04'!F25</f>
        <v>0</v>
      </c>
      <c r="G4" s="42">
        <f>'STOCK 29 a  04'!G25</f>
        <v>278</v>
      </c>
      <c r="H4" s="42">
        <f>'STOCK 29 a  04'!H25</f>
        <v>0</v>
      </c>
      <c r="I4" s="42">
        <f>'STOCK 29 a  04'!I25</f>
        <v>1211</v>
      </c>
      <c r="J4" s="42">
        <f>'STOCK 29 a  04'!J25</f>
        <v>409</v>
      </c>
      <c r="K4" s="42">
        <f>'STOCK 29 a  04'!K25</f>
        <v>0</v>
      </c>
      <c r="L4" s="42">
        <f>'STOCK 29 a  04'!L25</f>
        <v>264</v>
      </c>
      <c r="M4" s="42">
        <f>'STOCK 29 a  04'!M25</f>
        <v>0</v>
      </c>
      <c r="N4" s="42">
        <f>'STOCK 29 a  04'!N25</f>
        <v>5225</v>
      </c>
      <c r="O4" s="42">
        <f>'STOCK 29 a  04'!O25</f>
        <v>397</v>
      </c>
      <c r="P4" s="42">
        <f>'STOCK 29 a  04'!P25</f>
        <v>937</v>
      </c>
      <c r="Q4" s="42">
        <f>'STOCK 29 a  04'!Q25</f>
        <v>421</v>
      </c>
      <c r="R4" s="42">
        <f>'STOCK 29 a  04'!R25</f>
        <v>974</v>
      </c>
      <c r="S4" s="42">
        <f>'STOCK 29 a  04'!S25</f>
        <v>722</v>
      </c>
      <c r="T4" s="42">
        <f>'STOCK 29 a  04'!T25</f>
        <v>1000</v>
      </c>
      <c r="U4" s="42">
        <f>'STOCK 29 a  04'!U25</f>
        <v>15</v>
      </c>
      <c r="V4" s="42">
        <f>'STOCK 29 a  04'!V25</f>
        <v>0</v>
      </c>
      <c r="W4" s="42">
        <f>'STOCK 29 a  04'!W25</f>
        <v>0</v>
      </c>
      <c r="X4" s="42">
        <f>'STOCK 29 a  04'!X25</f>
        <v>3278</v>
      </c>
      <c r="Y4" s="42">
        <f>'STOCK 29 a  04'!Y25</f>
        <v>418</v>
      </c>
      <c r="Z4" s="42">
        <f>'STOCK 29 a  04'!Z25</f>
        <v>0</v>
      </c>
      <c r="AA4" s="42">
        <f>'STOCK 29 a  04'!AA25</f>
        <v>500</v>
      </c>
      <c r="AB4" s="42">
        <f>'STOCK 29 a  04'!AB25</f>
        <v>0</v>
      </c>
    </row>
    <row r="5" spans="1:28" x14ac:dyDescent="0.25">
      <c r="A5" s="311"/>
      <c r="B5" s="20">
        <v>45663</v>
      </c>
      <c r="C5" s="82" t="s">
        <v>46</v>
      </c>
      <c r="D5" s="27"/>
      <c r="F5" s="35"/>
      <c r="H5" s="31">
        <v>2500</v>
      </c>
      <c r="I5" s="13"/>
      <c r="J5" s="35"/>
      <c r="L5" s="35"/>
      <c r="N5" s="35"/>
      <c r="O5" s="14"/>
      <c r="P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45664</v>
      </c>
      <c r="C6" s="82" t="s">
        <v>27</v>
      </c>
      <c r="D6" s="27"/>
      <c r="F6" s="35"/>
      <c r="G6">
        <v>8000</v>
      </c>
      <c r="H6" s="31"/>
      <c r="I6" s="13"/>
      <c r="J6" s="35"/>
      <c r="L6" s="35"/>
      <c r="N6" s="35"/>
      <c r="O6" s="14"/>
      <c r="P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45665</v>
      </c>
      <c r="C7" s="82" t="s">
        <v>27</v>
      </c>
      <c r="D7" s="27"/>
      <c r="F7" s="35"/>
      <c r="H7" s="31"/>
      <c r="I7" s="13"/>
      <c r="J7" s="35"/>
      <c r="L7" s="35"/>
      <c r="N7" s="35"/>
      <c r="O7" s="14"/>
      <c r="P7" s="27"/>
      <c r="S7" s="31"/>
      <c r="T7" s="13">
        <v>600</v>
      </c>
      <c r="W7" s="31"/>
      <c r="X7" s="13">
        <v>3000</v>
      </c>
      <c r="Y7" s="31"/>
      <c r="AA7" s="31"/>
      <c r="AB7" s="15"/>
    </row>
    <row r="8" spans="1:28" x14ac:dyDescent="0.25">
      <c r="A8" s="311"/>
      <c r="B8" s="20">
        <v>45666</v>
      </c>
      <c r="C8" s="14" t="s">
        <v>46</v>
      </c>
      <c r="D8" s="27"/>
      <c r="F8" s="35"/>
      <c r="H8" s="31"/>
      <c r="I8" s="13">
        <v>2500</v>
      </c>
      <c r="J8" s="35"/>
      <c r="L8" s="35"/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45667</v>
      </c>
      <c r="C9" s="14" t="s">
        <v>27</v>
      </c>
      <c r="D9" s="27"/>
      <c r="F9" s="35"/>
      <c r="G9">
        <v>6000</v>
      </c>
      <c r="H9" s="31"/>
      <c r="I9" s="13"/>
      <c r="J9" s="35"/>
      <c r="L9" s="35"/>
      <c r="N9" s="35"/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>
        <v>45667</v>
      </c>
      <c r="C10" s="14" t="s">
        <v>46</v>
      </c>
      <c r="D10" s="27"/>
      <c r="F10" s="35"/>
      <c r="H10" s="31"/>
      <c r="I10" s="13">
        <v>4000</v>
      </c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>
        <v>45668</v>
      </c>
      <c r="C11" s="14" t="s">
        <v>46</v>
      </c>
      <c r="D11" s="27">
        <v>6000</v>
      </c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ht="15.75" thickBot="1" x14ac:dyDescent="0.3">
      <c r="A12" s="312"/>
      <c r="B12" s="72">
        <v>45668</v>
      </c>
      <c r="C12" s="17" t="s">
        <v>27</v>
      </c>
      <c r="D12" s="28"/>
      <c r="E12" s="18"/>
      <c r="F12" s="36"/>
      <c r="G12" s="18"/>
      <c r="H12" s="32">
        <v>3000</v>
      </c>
      <c r="I12" s="16"/>
      <c r="J12" s="36"/>
      <c r="K12" s="18"/>
      <c r="L12" s="36"/>
      <c r="M12" s="18"/>
      <c r="N12" s="36"/>
      <c r="O12" s="17"/>
      <c r="P12" s="2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32"/>
      <c r="AB12" s="19"/>
    </row>
    <row r="13" spans="1:28" x14ac:dyDescent="0.25">
      <c r="A13" s="310" t="s">
        <v>62</v>
      </c>
      <c r="B13" s="20">
        <v>45663</v>
      </c>
      <c r="C13" s="14" t="s">
        <v>45</v>
      </c>
      <c r="D13" s="27">
        <v>4500</v>
      </c>
      <c r="F13" s="35"/>
      <c r="H13" s="31"/>
      <c r="I13" s="13"/>
      <c r="J13" s="35"/>
      <c r="L13" s="35"/>
      <c r="N13" s="35"/>
      <c r="O13" s="14"/>
      <c r="P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>
        <v>45663</v>
      </c>
      <c r="C14" s="14" t="s">
        <v>22</v>
      </c>
      <c r="D14" s="27">
        <f>1000+20+938</f>
        <v>1958</v>
      </c>
      <c r="F14" s="35"/>
      <c r="H14" s="31"/>
      <c r="I14" s="13"/>
      <c r="J14" s="35"/>
      <c r="L14" s="35"/>
      <c r="N14" s="35"/>
      <c r="O14" s="14"/>
      <c r="P14" s="27"/>
      <c r="S14" s="31"/>
      <c r="T14" s="13">
        <v>40</v>
      </c>
      <c r="W14" s="31"/>
      <c r="X14" s="13">
        <v>500</v>
      </c>
      <c r="Y14" s="31">
        <f>150+250</f>
        <v>400</v>
      </c>
      <c r="AA14" s="31"/>
      <c r="AB14" s="15"/>
    </row>
    <row r="15" spans="1:28" x14ac:dyDescent="0.25">
      <c r="A15" s="311"/>
      <c r="B15" s="20">
        <v>45664</v>
      </c>
      <c r="C15" s="14" t="s">
        <v>22</v>
      </c>
      <c r="D15" s="27"/>
      <c r="F15" s="35"/>
      <c r="H15" s="31"/>
      <c r="I15" s="13"/>
      <c r="J15" s="35"/>
      <c r="L15" s="35"/>
      <c r="N15" s="35"/>
      <c r="O15" s="14"/>
      <c r="P15" s="27"/>
      <c r="S15" s="31"/>
      <c r="T15" s="13">
        <v>230</v>
      </c>
      <c r="W15" s="31"/>
      <c r="X15" s="13"/>
      <c r="Y15" s="31"/>
      <c r="AA15" s="31"/>
      <c r="AB15" s="15"/>
    </row>
    <row r="16" spans="1:28" x14ac:dyDescent="0.25">
      <c r="A16" s="311"/>
      <c r="B16" s="20">
        <v>45665</v>
      </c>
      <c r="C16" s="14" t="s">
        <v>45</v>
      </c>
      <c r="D16" s="27"/>
      <c r="F16" s="35"/>
      <c r="G16">
        <v>1000</v>
      </c>
      <c r="H16" s="31"/>
      <c r="I16" s="13"/>
      <c r="J16" s="35"/>
      <c r="L16" s="35"/>
      <c r="N16" s="35"/>
      <c r="O16" s="14"/>
      <c r="P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45665</v>
      </c>
      <c r="C17" s="14" t="s">
        <v>22</v>
      </c>
      <c r="D17" s="27"/>
      <c r="F17" s="35"/>
      <c r="H17" s="31"/>
      <c r="I17" s="13"/>
      <c r="J17" s="35"/>
      <c r="L17" s="35"/>
      <c r="N17" s="35"/>
      <c r="O17" s="14"/>
      <c r="P17" s="27"/>
      <c r="S17" s="31"/>
      <c r="T17" s="13"/>
      <c r="W17" s="31"/>
      <c r="X17" s="13">
        <f>500+25+10+2000</f>
        <v>2535</v>
      </c>
      <c r="Y17" s="31"/>
      <c r="AA17" s="31"/>
      <c r="AB17" s="15"/>
    </row>
    <row r="18" spans="1:28" x14ac:dyDescent="0.25">
      <c r="A18" s="311"/>
      <c r="B18" s="20">
        <v>45666</v>
      </c>
      <c r="C18" s="14" t="s">
        <v>22</v>
      </c>
      <c r="D18" s="27"/>
      <c r="F18" s="35"/>
      <c r="H18" s="31"/>
      <c r="I18" s="13"/>
      <c r="J18" s="35"/>
      <c r="L18" s="35"/>
      <c r="N18" s="35"/>
      <c r="O18" s="14"/>
      <c r="P18" s="27"/>
      <c r="S18" s="31"/>
      <c r="T18" s="13"/>
      <c r="W18" s="31"/>
      <c r="X18" s="13">
        <v>300</v>
      </c>
      <c r="Y18" s="31"/>
      <c r="AA18" s="31"/>
      <c r="AB18" s="15"/>
    </row>
    <row r="19" spans="1:28" x14ac:dyDescent="0.25">
      <c r="A19" s="311"/>
      <c r="B19" s="20">
        <v>45667</v>
      </c>
      <c r="C19" s="14" t="s">
        <v>45</v>
      </c>
      <c r="D19" s="27"/>
      <c r="F19" s="35"/>
      <c r="G19">
        <v>3000</v>
      </c>
      <c r="H19" s="31"/>
      <c r="I19" s="13"/>
      <c r="J19" s="35"/>
      <c r="L19" s="35"/>
      <c r="N19" s="35"/>
      <c r="O19" s="14"/>
      <c r="P19" s="27"/>
      <c r="S19" s="31"/>
      <c r="T19" s="13"/>
      <c r="W19" s="31"/>
      <c r="X19" s="13"/>
      <c r="Y19" s="31"/>
      <c r="AA19" s="31">
        <v>500</v>
      </c>
      <c r="AB19" s="15"/>
    </row>
    <row r="20" spans="1:28" x14ac:dyDescent="0.25">
      <c r="A20" s="311"/>
      <c r="B20" s="20">
        <v>45667</v>
      </c>
      <c r="C20" s="14" t="s">
        <v>22</v>
      </c>
      <c r="D20" s="27"/>
      <c r="F20" s="35"/>
      <c r="G20">
        <v>150</v>
      </c>
      <c r="H20" s="31"/>
      <c r="I20" s="13">
        <v>1000</v>
      </c>
      <c r="J20" s="35"/>
      <c r="L20" s="35"/>
      <c r="N20" s="35"/>
      <c r="O20" s="14"/>
      <c r="P20" s="27"/>
      <c r="S20" s="31">
        <v>450</v>
      </c>
      <c r="T20" s="13"/>
      <c r="W20" s="31"/>
      <c r="X20" s="13">
        <v>120</v>
      </c>
      <c r="Y20" s="31"/>
      <c r="AA20" s="31"/>
      <c r="AB20" s="15"/>
    </row>
    <row r="21" spans="1:28" x14ac:dyDescent="0.25">
      <c r="A21" s="311"/>
      <c r="B21" s="20">
        <v>45668</v>
      </c>
      <c r="C21" s="14" t="s">
        <v>22</v>
      </c>
      <c r="D21" s="27"/>
      <c r="F21" s="35"/>
      <c r="G21">
        <v>75</v>
      </c>
      <c r="H21" s="31"/>
      <c r="I21" s="13">
        <v>350</v>
      </c>
      <c r="J21" s="35"/>
      <c r="L21" s="35"/>
      <c r="N21" s="35"/>
      <c r="O21" s="14"/>
      <c r="P21" s="27"/>
      <c r="S21" s="31"/>
      <c r="T21" s="13"/>
      <c r="W21" s="31"/>
      <c r="X21" s="13">
        <v>80</v>
      </c>
      <c r="Y21" s="31"/>
      <c r="AA21" s="31"/>
      <c r="AB21" s="15"/>
    </row>
    <row r="22" spans="1:28" x14ac:dyDescent="0.25">
      <c r="A22" s="311"/>
      <c r="B22" s="20">
        <v>45668</v>
      </c>
      <c r="C22" s="14" t="s">
        <v>95</v>
      </c>
      <c r="D22" s="27">
        <v>988</v>
      </c>
      <c r="F22" s="35"/>
      <c r="H22" s="31"/>
      <c r="I22" s="13"/>
      <c r="J22" s="35"/>
      <c r="L22" s="35"/>
      <c r="N22" s="35"/>
      <c r="O22" s="14"/>
      <c r="P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S23" s="31"/>
      <c r="T23" s="13"/>
      <c r="W23" s="31"/>
      <c r="X23" s="13"/>
      <c r="Y23" s="31"/>
      <c r="AA23" s="31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/>
      <c r="AA24" s="31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SUM(D4:D12)-SUM(D13:D24)</f>
        <v>6000</v>
      </c>
      <c r="E25" s="22">
        <f t="shared" si="0"/>
        <v>0</v>
      </c>
      <c r="F25" s="37">
        <f t="shared" si="0"/>
        <v>0</v>
      </c>
      <c r="G25" s="24">
        <f t="shared" si="0"/>
        <v>10053</v>
      </c>
      <c r="H25" s="33">
        <f t="shared" si="0"/>
        <v>5500</v>
      </c>
      <c r="I25" s="22">
        <f t="shared" si="0"/>
        <v>6361</v>
      </c>
      <c r="J25" s="37">
        <f t="shared" si="0"/>
        <v>409</v>
      </c>
      <c r="K25" s="24">
        <f t="shared" si="0"/>
        <v>0</v>
      </c>
      <c r="L25" s="37">
        <f t="shared" si="0"/>
        <v>264</v>
      </c>
      <c r="M25" s="24">
        <f t="shared" si="0"/>
        <v>0</v>
      </c>
      <c r="N25" s="37">
        <f t="shared" si="0"/>
        <v>5225</v>
      </c>
      <c r="O25" s="23">
        <f t="shared" si="0"/>
        <v>397</v>
      </c>
      <c r="P25" s="29">
        <f t="shared" si="0"/>
        <v>937</v>
      </c>
      <c r="Q25" s="29">
        <f t="shared" si="0"/>
        <v>421</v>
      </c>
      <c r="R25" s="24">
        <f t="shared" si="0"/>
        <v>974</v>
      </c>
      <c r="S25" s="33">
        <f t="shared" si="0"/>
        <v>272</v>
      </c>
      <c r="T25" s="22">
        <f t="shared" si="0"/>
        <v>1330</v>
      </c>
      <c r="U25" s="22">
        <f t="shared" si="0"/>
        <v>15</v>
      </c>
      <c r="V25" s="22">
        <f t="shared" si="0"/>
        <v>0</v>
      </c>
      <c r="W25" s="33">
        <f t="shared" si="0"/>
        <v>0</v>
      </c>
      <c r="X25" s="22">
        <f t="shared" si="0"/>
        <v>2743</v>
      </c>
      <c r="Y25" s="33">
        <f t="shared" si="0"/>
        <v>18</v>
      </c>
      <c r="Z25" s="22">
        <f t="shared" si="0"/>
        <v>0</v>
      </c>
      <c r="AA25" s="33">
        <f t="shared" si="0"/>
        <v>0</v>
      </c>
      <c r="AB25" s="25">
        <f t="shared" si="0"/>
        <v>0</v>
      </c>
    </row>
    <row r="27" spans="1:28" x14ac:dyDescent="0.25">
      <c r="D27">
        <f>D25*0.33</f>
        <v>1980</v>
      </c>
      <c r="E27">
        <f>+E25*0.3</f>
        <v>0</v>
      </c>
      <c r="F27">
        <f>+F25*0.28</f>
        <v>0</v>
      </c>
      <c r="G27">
        <f>+G25*0.33</f>
        <v>3317.4900000000002</v>
      </c>
      <c r="H27">
        <f>+H25*0.4</f>
        <v>2200</v>
      </c>
      <c r="I27">
        <f>+I25*0.54-(861*0.01)</f>
        <v>3426.33</v>
      </c>
      <c r="J27">
        <f>+J25*0.54</f>
        <v>220.86</v>
      </c>
      <c r="K27" s="50">
        <f>+K25*0.82</f>
        <v>0</v>
      </c>
      <c r="L27">
        <f>+L25*0.61</f>
        <v>161.04</v>
      </c>
      <c r="M27">
        <f>+M25*0.66</f>
        <v>0</v>
      </c>
      <c r="N27">
        <f>+N25*0.63</f>
        <v>3291.75</v>
      </c>
      <c r="O27">
        <f>+O25*0.54</f>
        <v>214.38000000000002</v>
      </c>
      <c r="P27">
        <f>+P25*2.04</f>
        <v>1911.48</v>
      </c>
      <c r="Q27">
        <f>+Q25*1.57</f>
        <v>660.97</v>
      </c>
      <c r="R27">
        <f>+R25*1.76</f>
        <v>1714.24</v>
      </c>
      <c r="S27">
        <f>+S25*1.57</f>
        <v>427.04</v>
      </c>
      <c r="T27">
        <f>+T25*1.81</f>
        <v>2407.3000000000002</v>
      </c>
      <c r="U27">
        <f>+U25*1.85</f>
        <v>27.75</v>
      </c>
      <c r="V27">
        <f>+V25*2.18</f>
        <v>0</v>
      </c>
      <c r="W27">
        <f>+W25*1.8</f>
        <v>0</v>
      </c>
      <c r="X27">
        <f>+X25*0.39</f>
        <v>1069.77</v>
      </c>
      <c r="Y27">
        <f>+Y25*0.29</f>
        <v>5.22</v>
      </c>
      <c r="Z27" s="50">
        <f>+Z25*1.9</f>
        <v>0</v>
      </c>
      <c r="AA27">
        <f>+AA25*0.93</f>
        <v>0</v>
      </c>
      <c r="AB27">
        <f>+AB25*1.5</f>
        <v>0</v>
      </c>
    </row>
    <row r="28" spans="1:28" x14ac:dyDescent="0.25">
      <c r="AB28" s="39">
        <f>SUM(D27:AB27)</f>
        <v>23035.620000000006</v>
      </c>
    </row>
    <row r="30" spans="1:28" ht="15.75" x14ac:dyDescent="0.25">
      <c r="S30" s="89"/>
    </row>
    <row r="31" spans="1:28" ht="15.75" x14ac:dyDescent="0.25">
      <c r="S31" s="89"/>
    </row>
    <row r="32" spans="1:28" x14ac:dyDescent="0.25">
      <c r="Q32">
        <f>1680/2</f>
        <v>840</v>
      </c>
      <c r="S32" s="85"/>
      <c r="X32">
        <f>50*11</f>
        <v>550</v>
      </c>
    </row>
    <row r="33" spans="17:24" x14ac:dyDescent="0.25">
      <c r="Q33">
        <f>+Q32*4</f>
        <v>3360</v>
      </c>
      <c r="S33" s="85"/>
      <c r="X33">
        <f>15*42.5</f>
        <v>637.5</v>
      </c>
    </row>
    <row r="34" spans="17:24" x14ac:dyDescent="0.25">
      <c r="S34" s="85"/>
    </row>
    <row r="35" spans="17:24" x14ac:dyDescent="0.25">
      <c r="S35" s="85"/>
    </row>
    <row r="36" spans="17:24" x14ac:dyDescent="0.25">
      <c r="S36" s="85"/>
    </row>
    <row r="37" spans="17:24" x14ac:dyDescent="0.25">
      <c r="S37" s="85"/>
    </row>
  </sheetData>
  <mergeCells count="7">
    <mergeCell ref="X2:Y2"/>
    <mergeCell ref="A4:A12"/>
    <mergeCell ref="A13:A24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BF8F-6E0A-4E4C-BD3E-D9CF6B390829}">
  <dimension ref="A1:AB3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7" sqref="R1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05 a  11'!D25</f>
        <v>6000</v>
      </c>
      <c r="E4" s="42">
        <f>'STOCK 05 a  11'!E25</f>
        <v>0</v>
      </c>
      <c r="F4" s="42">
        <f>'STOCK 05 a  11'!F25</f>
        <v>0</v>
      </c>
      <c r="G4" s="42">
        <f>'STOCK 05 a  11'!G25</f>
        <v>10053</v>
      </c>
      <c r="H4" s="42">
        <f>'STOCK 05 a  11'!H25</f>
        <v>5500</v>
      </c>
      <c r="I4" s="42">
        <f>'STOCK 05 a  11'!I25</f>
        <v>6361</v>
      </c>
      <c r="J4" s="42">
        <f>'STOCK 05 a  11'!J25</f>
        <v>409</v>
      </c>
      <c r="K4" s="42">
        <f>'STOCK 05 a  11'!K25</f>
        <v>0</v>
      </c>
      <c r="L4" s="42">
        <f>'STOCK 05 a  11'!L25</f>
        <v>264</v>
      </c>
      <c r="M4" s="42">
        <f>'STOCK 05 a  11'!M25</f>
        <v>0</v>
      </c>
      <c r="N4" s="42">
        <f>'STOCK 05 a  11'!N25</f>
        <v>5225</v>
      </c>
      <c r="O4" s="42">
        <f>'STOCK 05 a  11'!O25</f>
        <v>397</v>
      </c>
      <c r="P4" s="42">
        <f>'STOCK 05 a  11'!P25</f>
        <v>937</v>
      </c>
      <c r="Q4" s="42">
        <f>'STOCK 05 a  11'!Q25</f>
        <v>421</v>
      </c>
      <c r="R4" s="42">
        <f>'STOCK 05 a  11'!R25</f>
        <v>974</v>
      </c>
      <c r="S4" s="42">
        <f>'STOCK 05 a  11'!S25</f>
        <v>272</v>
      </c>
      <c r="T4" s="42">
        <f>'STOCK 05 a  11'!T25</f>
        <v>1330</v>
      </c>
      <c r="U4" s="42">
        <f>'STOCK 05 a  11'!U25</f>
        <v>15</v>
      </c>
      <c r="V4" s="42">
        <f>'STOCK 05 a  11'!V25</f>
        <v>0</v>
      </c>
      <c r="W4" s="42">
        <f>'STOCK 05 a  11'!W25</f>
        <v>0</v>
      </c>
      <c r="X4" s="42">
        <f>'STOCK 05 a  11'!X25</f>
        <v>2743</v>
      </c>
      <c r="Y4" s="42">
        <f>'STOCK 05 a  11'!Y25</f>
        <v>18</v>
      </c>
      <c r="Z4" s="42">
        <f>'STOCK 05 a  11'!Z25</f>
        <v>0</v>
      </c>
      <c r="AA4" s="42">
        <f>'STOCK 05 a  11'!AA25</f>
        <v>0</v>
      </c>
      <c r="AB4" s="42">
        <f>'STOCK 05 a  11'!AB25</f>
        <v>0</v>
      </c>
    </row>
    <row r="5" spans="1:28" x14ac:dyDescent="0.25">
      <c r="A5" s="311"/>
      <c r="B5" s="20">
        <v>45304</v>
      </c>
      <c r="C5" s="82" t="s">
        <v>46</v>
      </c>
      <c r="D5" s="27"/>
      <c r="F5" s="35"/>
      <c r="H5" s="31"/>
      <c r="I5" s="13"/>
      <c r="J5" s="35"/>
      <c r="L5" s="35"/>
      <c r="N5" s="35"/>
      <c r="O5" s="14"/>
      <c r="P5" s="27"/>
      <c r="S5" s="31"/>
      <c r="T5" s="13">
        <v>550</v>
      </c>
      <c r="W5" s="31"/>
      <c r="X5" s="13"/>
      <c r="Y5" s="31"/>
      <c r="AA5" s="31"/>
      <c r="AB5" s="15"/>
    </row>
    <row r="6" spans="1:28" x14ac:dyDescent="0.25">
      <c r="A6" s="311"/>
      <c r="B6" s="20">
        <v>45670</v>
      </c>
      <c r="C6" s="82" t="s">
        <v>27</v>
      </c>
      <c r="D6" s="27"/>
      <c r="F6" s="35"/>
      <c r="G6">
        <v>1500</v>
      </c>
      <c r="H6" s="31"/>
      <c r="I6" s="13"/>
      <c r="J6" s="35"/>
      <c r="L6" s="35"/>
      <c r="N6" s="35"/>
      <c r="O6" s="14"/>
      <c r="P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45304</v>
      </c>
      <c r="C7" s="82" t="s">
        <v>88</v>
      </c>
      <c r="D7" s="27"/>
      <c r="F7" s="35"/>
      <c r="H7" s="31"/>
      <c r="I7" s="13"/>
      <c r="J7" s="35"/>
      <c r="L7" s="35"/>
      <c r="N7" s="35"/>
      <c r="O7" s="14"/>
      <c r="P7" s="27"/>
      <c r="S7" s="31"/>
      <c r="T7" s="13"/>
      <c r="W7" s="31"/>
      <c r="X7" s="13"/>
      <c r="Y7" s="31">
        <v>500</v>
      </c>
      <c r="AA7" s="31"/>
      <c r="AB7" s="15"/>
    </row>
    <row r="8" spans="1:28" x14ac:dyDescent="0.25">
      <c r="A8" s="311"/>
      <c r="B8" s="20">
        <v>45674</v>
      </c>
      <c r="C8" s="82" t="s">
        <v>27</v>
      </c>
      <c r="D8" s="27"/>
      <c r="F8" s="35"/>
      <c r="H8" s="31"/>
      <c r="I8" s="13">
        <v>3500</v>
      </c>
      <c r="J8" s="35"/>
      <c r="L8" s="35"/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45675</v>
      </c>
      <c r="C9" s="14" t="s">
        <v>27</v>
      </c>
      <c r="D9" s="27"/>
      <c r="F9" s="35"/>
      <c r="H9" s="31"/>
      <c r="I9" s="13"/>
      <c r="J9" s="35"/>
      <c r="L9" s="35"/>
      <c r="N9" s="35"/>
      <c r="O9" s="14">
        <v>1000</v>
      </c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>
        <v>45675</v>
      </c>
      <c r="C10" s="14" t="s">
        <v>46</v>
      </c>
      <c r="D10" s="27"/>
      <c r="F10" s="35"/>
      <c r="G10">
        <v>2000</v>
      </c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N12" s="35"/>
      <c r="O12" s="14"/>
      <c r="P12" s="27"/>
      <c r="S12" s="31"/>
      <c r="T12" s="13"/>
      <c r="W12" s="31"/>
      <c r="X12" s="13"/>
      <c r="Y12" s="31"/>
      <c r="AA12" s="31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18"/>
      <c r="N13" s="36"/>
      <c r="O13" s="17"/>
      <c r="P13" s="2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32"/>
      <c r="AB13" s="19"/>
    </row>
    <row r="14" spans="1:28" x14ac:dyDescent="0.25">
      <c r="A14" s="310" t="s">
        <v>62</v>
      </c>
      <c r="B14" s="20">
        <v>45670</v>
      </c>
      <c r="C14" s="14" t="s">
        <v>22</v>
      </c>
      <c r="D14" s="27">
        <v>4500</v>
      </c>
      <c r="F14" s="35"/>
      <c r="G14">
        <f>1000+70</f>
        <v>1070</v>
      </c>
      <c r="H14" s="31"/>
      <c r="I14" s="13"/>
      <c r="J14" s="35"/>
      <c r="L14" s="35"/>
      <c r="N14" s="35"/>
      <c r="O14" s="14"/>
      <c r="P14" s="27"/>
      <c r="S14" s="31"/>
      <c r="T14" s="13"/>
      <c r="W14" s="31"/>
      <c r="X14" s="13">
        <f>150+1000+250</f>
        <v>1400</v>
      </c>
      <c r="Y14" s="31"/>
      <c r="AA14" s="31"/>
      <c r="AB14" s="15"/>
    </row>
    <row r="15" spans="1:28" x14ac:dyDescent="0.25">
      <c r="A15" s="311"/>
      <c r="B15" s="20">
        <v>45671</v>
      </c>
      <c r="C15" s="14" t="s">
        <v>45</v>
      </c>
      <c r="D15" s="27"/>
      <c r="F15" s="35"/>
      <c r="H15" s="31"/>
      <c r="I15" s="13">
        <v>2000</v>
      </c>
      <c r="J15" s="35"/>
      <c r="L15" s="35"/>
      <c r="N15" s="35"/>
      <c r="O15" s="14"/>
      <c r="P15" s="27"/>
      <c r="S15" s="31"/>
      <c r="T15" s="13">
        <v>1000</v>
      </c>
      <c r="W15" s="31"/>
      <c r="X15" s="13"/>
      <c r="Y15" s="31"/>
      <c r="AA15" s="31"/>
      <c r="AB15" s="15"/>
    </row>
    <row r="16" spans="1:28" x14ac:dyDescent="0.25">
      <c r="A16" s="311"/>
      <c r="B16" s="20">
        <v>45671</v>
      </c>
      <c r="C16" s="14" t="s">
        <v>22</v>
      </c>
      <c r="D16" s="27">
        <v>1000</v>
      </c>
      <c r="F16" s="35"/>
      <c r="H16" s="31"/>
      <c r="I16" s="13"/>
      <c r="J16" s="35"/>
      <c r="L16" s="35"/>
      <c r="N16" s="35"/>
      <c r="O16" s="14"/>
      <c r="P16" s="27">
        <v>198</v>
      </c>
      <c r="R16">
        <v>160</v>
      </c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45672</v>
      </c>
      <c r="C17" s="14" t="s">
        <v>22</v>
      </c>
      <c r="D17" s="27"/>
      <c r="F17" s="35"/>
      <c r="H17" s="31"/>
      <c r="I17" s="13"/>
      <c r="J17" s="35"/>
      <c r="L17" s="35"/>
      <c r="N17" s="35"/>
      <c r="O17" s="14"/>
      <c r="P17" s="27"/>
      <c r="R17">
        <f>22+10</f>
        <v>32</v>
      </c>
      <c r="S17" s="31"/>
      <c r="T17" s="13">
        <v>330</v>
      </c>
      <c r="W17" s="31"/>
      <c r="X17" s="13"/>
      <c r="Y17" s="31"/>
      <c r="AA17" s="31"/>
      <c r="AB17" s="15"/>
    </row>
    <row r="18" spans="1:28" x14ac:dyDescent="0.25">
      <c r="A18" s="311"/>
      <c r="B18" s="20">
        <v>45673</v>
      </c>
      <c r="C18" s="14" t="s">
        <v>22</v>
      </c>
      <c r="D18" s="27"/>
      <c r="F18" s="35"/>
      <c r="G18">
        <v>12</v>
      </c>
      <c r="H18" s="31"/>
      <c r="I18" s="13"/>
      <c r="J18" s="35"/>
      <c r="L18" s="35"/>
      <c r="N18" s="35"/>
      <c r="O18" s="14"/>
      <c r="P18" s="27"/>
      <c r="S18" s="31"/>
      <c r="T18" s="13">
        <v>15</v>
      </c>
      <c r="W18" s="31"/>
      <c r="X18" s="13">
        <v>1000</v>
      </c>
      <c r="Y18" s="31"/>
      <c r="AA18" s="31"/>
      <c r="AB18" s="15"/>
    </row>
    <row r="19" spans="1:28" x14ac:dyDescent="0.25">
      <c r="A19" s="311"/>
      <c r="B19" s="20">
        <v>45674</v>
      </c>
      <c r="C19" s="14" t="s">
        <v>22</v>
      </c>
      <c r="D19" s="27"/>
      <c r="F19" s="35"/>
      <c r="G19">
        <v>150</v>
      </c>
      <c r="H19" s="31"/>
      <c r="I19" s="13"/>
      <c r="J19" s="35"/>
      <c r="L19" s="35"/>
      <c r="N19" s="35"/>
      <c r="O19" s="14"/>
      <c r="P19" s="27"/>
      <c r="S19" s="31"/>
      <c r="T19" s="13"/>
      <c r="W19" s="31"/>
      <c r="X19" s="13">
        <v>250</v>
      </c>
      <c r="Y19" s="31">
        <v>200</v>
      </c>
      <c r="AA19" s="31"/>
      <c r="AB19" s="15"/>
    </row>
    <row r="20" spans="1:28" x14ac:dyDescent="0.25">
      <c r="A20" s="311"/>
      <c r="B20" s="20">
        <v>45675</v>
      </c>
      <c r="C20" s="14" t="s">
        <v>22</v>
      </c>
      <c r="D20" s="27"/>
      <c r="F20" s="35"/>
      <c r="H20" s="31"/>
      <c r="I20" s="13"/>
      <c r="J20" s="35"/>
      <c r="L20" s="35"/>
      <c r="N20" s="35"/>
      <c r="O20" s="14"/>
      <c r="P20" s="27"/>
      <c r="S20" s="31"/>
      <c r="T20" s="13"/>
      <c r="W20" s="31"/>
      <c r="X20" s="13"/>
      <c r="Y20" s="31">
        <v>150</v>
      </c>
      <c r="AA20" s="31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/>
      <c r="AA24" s="31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S25" s="31"/>
      <c r="T25" s="13"/>
      <c r="W25" s="31"/>
      <c r="X25" s="13"/>
      <c r="Y25" s="31"/>
      <c r="AA25" s="31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SUM(D4:D13)-SUM(D14:D25)</f>
        <v>500</v>
      </c>
      <c r="E26" s="22">
        <f t="shared" si="0"/>
        <v>0</v>
      </c>
      <c r="F26" s="37">
        <f t="shared" si="0"/>
        <v>0</v>
      </c>
      <c r="G26" s="24">
        <f t="shared" si="0"/>
        <v>12321</v>
      </c>
      <c r="H26" s="33">
        <f t="shared" si="0"/>
        <v>5500</v>
      </c>
      <c r="I26" s="22">
        <f t="shared" si="0"/>
        <v>7861</v>
      </c>
      <c r="J26" s="37">
        <f t="shared" si="0"/>
        <v>409</v>
      </c>
      <c r="K26" s="24">
        <f t="shared" si="0"/>
        <v>0</v>
      </c>
      <c r="L26" s="37">
        <f t="shared" si="0"/>
        <v>264</v>
      </c>
      <c r="M26" s="24">
        <f t="shared" si="0"/>
        <v>0</v>
      </c>
      <c r="N26" s="37">
        <f t="shared" si="0"/>
        <v>5225</v>
      </c>
      <c r="O26" s="23">
        <f t="shared" si="0"/>
        <v>1397</v>
      </c>
      <c r="P26" s="29">
        <f t="shared" si="0"/>
        <v>739</v>
      </c>
      <c r="Q26" s="29">
        <f t="shared" si="0"/>
        <v>421</v>
      </c>
      <c r="R26" s="24">
        <f t="shared" si="0"/>
        <v>782</v>
      </c>
      <c r="S26" s="33">
        <f t="shared" si="0"/>
        <v>272</v>
      </c>
      <c r="T26" s="22">
        <f t="shared" si="0"/>
        <v>535</v>
      </c>
      <c r="U26" s="22">
        <f t="shared" si="0"/>
        <v>15</v>
      </c>
      <c r="V26" s="22">
        <f t="shared" si="0"/>
        <v>0</v>
      </c>
      <c r="W26" s="33">
        <f t="shared" si="0"/>
        <v>0</v>
      </c>
      <c r="X26" s="22">
        <f t="shared" si="0"/>
        <v>93</v>
      </c>
      <c r="Y26" s="33">
        <f t="shared" si="0"/>
        <v>168</v>
      </c>
      <c r="Z26" s="22">
        <f t="shared" si="0"/>
        <v>0</v>
      </c>
      <c r="AA26" s="33">
        <f t="shared" si="0"/>
        <v>0</v>
      </c>
      <c r="AB26" s="25">
        <f t="shared" si="0"/>
        <v>0</v>
      </c>
    </row>
    <row r="28" spans="1:28" x14ac:dyDescent="0.25">
      <c r="D28">
        <f>D26*0.33</f>
        <v>165</v>
      </c>
      <c r="E28">
        <f>+E26*0.3</f>
        <v>0</v>
      </c>
      <c r="F28">
        <f>+F26*0.28</f>
        <v>0</v>
      </c>
      <c r="G28">
        <f>+G26*0.33</f>
        <v>4065.9300000000003</v>
      </c>
      <c r="H28">
        <f>+H26*0.4</f>
        <v>2200</v>
      </c>
      <c r="I28">
        <f>+I26*0.49+(361*0.05)</f>
        <v>3869.94</v>
      </c>
      <c r="J28">
        <f>+J26*0.54</f>
        <v>220.86</v>
      </c>
      <c r="K28" s="50">
        <f>+K26*0.82</f>
        <v>0</v>
      </c>
      <c r="L28">
        <f>+L26*0.61</f>
        <v>161.04</v>
      </c>
      <c r="M28">
        <f>+M26*0.66</f>
        <v>0</v>
      </c>
      <c r="N28">
        <f>+N26*0.63</f>
        <v>3291.75</v>
      </c>
      <c r="O28">
        <f>+O26*0.54</f>
        <v>754.38</v>
      </c>
      <c r="P28">
        <f>+P26*2.04</f>
        <v>1507.56</v>
      </c>
      <c r="Q28">
        <f>+Q26*1.57</f>
        <v>660.97</v>
      </c>
      <c r="R28">
        <f>+R26*1.76</f>
        <v>1376.32</v>
      </c>
      <c r="S28">
        <f>+S26*1.57</f>
        <v>427.04</v>
      </c>
      <c r="T28">
        <f>+T26*1.81</f>
        <v>968.35</v>
      </c>
      <c r="U28">
        <f>+U26*1.85</f>
        <v>27.75</v>
      </c>
      <c r="V28">
        <f>+V26*2.18</f>
        <v>0</v>
      </c>
      <c r="W28">
        <f>+W26*1.8</f>
        <v>0</v>
      </c>
      <c r="X28">
        <f>+X26*0.39</f>
        <v>36.270000000000003</v>
      </c>
      <c r="Y28">
        <f>+Y26*0.29</f>
        <v>48.72</v>
      </c>
      <c r="Z28" s="50">
        <f>+Z26*1.9</f>
        <v>0</v>
      </c>
      <c r="AA28">
        <f>+AA26*0.93</f>
        <v>0</v>
      </c>
      <c r="AB28">
        <f>+AB26*1.5</f>
        <v>0</v>
      </c>
    </row>
    <row r="29" spans="1:28" x14ac:dyDescent="0.25">
      <c r="AB29" s="39">
        <f>SUM(D28:AB28)</f>
        <v>19781.88</v>
      </c>
    </row>
    <row r="31" spans="1:28" ht="15.75" x14ac:dyDescent="0.25">
      <c r="S31" s="89"/>
    </row>
    <row r="32" spans="1:28" ht="15.75" x14ac:dyDescent="0.25">
      <c r="S32" s="89"/>
    </row>
    <row r="33" spans="17:24" x14ac:dyDescent="0.25">
      <c r="Q33">
        <f>1680/2</f>
        <v>840</v>
      </c>
      <c r="S33" s="85"/>
      <c r="X33">
        <f>50*11</f>
        <v>550</v>
      </c>
    </row>
    <row r="34" spans="17:24" x14ac:dyDescent="0.25">
      <c r="Q34">
        <f>+Q33*4</f>
        <v>3360</v>
      </c>
      <c r="S34" s="85"/>
      <c r="X34">
        <f>15*42.5</f>
        <v>637.5</v>
      </c>
    </row>
    <row r="35" spans="17:24" x14ac:dyDescent="0.25">
      <c r="S35" s="85"/>
    </row>
    <row r="36" spans="17:24" x14ac:dyDescent="0.25">
      <c r="S36" s="85"/>
    </row>
    <row r="37" spans="17:24" x14ac:dyDescent="0.25">
      <c r="S37" s="85"/>
    </row>
    <row r="38" spans="17:24" x14ac:dyDescent="0.25">
      <c r="S38" s="85"/>
    </row>
  </sheetData>
  <mergeCells count="7">
    <mergeCell ref="X2:Y2"/>
    <mergeCell ref="A4:A13"/>
    <mergeCell ref="A14:A25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320B-697B-4CC2-A424-6DA6FB1F5FBE}">
  <dimension ref="A1:AB35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15" sqref="H1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12 a  18'!D26</f>
        <v>500</v>
      </c>
      <c r="E4" s="42">
        <f>'STOCK 12 a  18'!E26</f>
        <v>0</v>
      </c>
      <c r="F4" s="42">
        <f>'STOCK 12 a  18'!F26</f>
        <v>0</v>
      </c>
      <c r="G4" s="42">
        <f>'STOCK 12 a  18'!G26</f>
        <v>12321</v>
      </c>
      <c r="H4" s="42">
        <f>'STOCK 12 a  18'!H26</f>
        <v>5500</v>
      </c>
      <c r="I4" s="42">
        <f>'STOCK 12 a  18'!I26</f>
        <v>7861</v>
      </c>
      <c r="J4" s="42">
        <f>'STOCK 12 a  18'!J26</f>
        <v>409</v>
      </c>
      <c r="K4" s="42">
        <f>'STOCK 12 a  18'!K26</f>
        <v>0</v>
      </c>
      <c r="L4" s="42">
        <f>'STOCK 12 a  18'!L26</f>
        <v>264</v>
      </c>
      <c r="M4" s="42">
        <f>'STOCK 12 a  18'!M26</f>
        <v>0</v>
      </c>
      <c r="N4" s="42">
        <f>'STOCK 12 a  18'!N26</f>
        <v>5225</v>
      </c>
      <c r="O4" s="42">
        <f>'STOCK 12 a  18'!O26</f>
        <v>1397</v>
      </c>
      <c r="P4" s="42">
        <f>'STOCK 12 a  18'!P26</f>
        <v>739</v>
      </c>
      <c r="Q4" s="42">
        <f>'STOCK 12 a  18'!Q26</f>
        <v>421</v>
      </c>
      <c r="R4" s="42">
        <f>'STOCK 12 a  18'!R26</f>
        <v>782</v>
      </c>
      <c r="S4" s="42">
        <f>'STOCK 12 a  18'!S26</f>
        <v>272</v>
      </c>
      <c r="T4" s="42">
        <f>'STOCK 12 a  18'!T26</f>
        <v>535</v>
      </c>
      <c r="U4" s="42">
        <f>'STOCK 12 a  18'!U26</f>
        <v>15</v>
      </c>
      <c r="V4" s="42">
        <f>'STOCK 12 a  18'!V26</f>
        <v>0</v>
      </c>
      <c r="W4" s="42">
        <f>'STOCK 12 a  18'!W26</f>
        <v>0</v>
      </c>
      <c r="X4" s="42">
        <f>'STOCK 12 a  18'!X26</f>
        <v>93</v>
      </c>
      <c r="Y4" s="42">
        <f>'STOCK 12 a  18'!Y26</f>
        <v>168</v>
      </c>
      <c r="Z4" s="42">
        <f>'STOCK 12 a  18'!Z26</f>
        <v>0</v>
      </c>
      <c r="AA4" s="42">
        <f>'STOCK 12 a  18'!AA26</f>
        <v>0</v>
      </c>
      <c r="AB4" s="42">
        <f>'STOCK 12 a  18'!AB26</f>
        <v>0</v>
      </c>
    </row>
    <row r="5" spans="1:28" x14ac:dyDescent="0.25">
      <c r="A5" s="311"/>
      <c r="B5" s="20">
        <v>45680</v>
      </c>
      <c r="C5" s="82" t="s">
        <v>27</v>
      </c>
      <c r="D5" s="27"/>
      <c r="F5" s="35"/>
      <c r="H5" s="31"/>
      <c r="I5" s="13"/>
      <c r="J5" s="35"/>
      <c r="L5" s="35"/>
      <c r="N5" s="35"/>
      <c r="O5" s="14"/>
      <c r="P5" s="27"/>
      <c r="S5" s="31"/>
      <c r="T5" s="13"/>
      <c r="W5" s="31"/>
      <c r="X5" s="13">
        <f>1500+1470</f>
        <v>2970</v>
      </c>
      <c r="Y5" s="31">
        <v>1030</v>
      </c>
      <c r="AA5" s="31"/>
      <c r="AB5" s="15"/>
    </row>
    <row r="6" spans="1:28" x14ac:dyDescent="0.25">
      <c r="A6" s="311"/>
      <c r="B6" s="20">
        <v>45681</v>
      </c>
      <c r="C6" s="82" t="s">
        <v>27</v>
      </c>
      <c r="D6" s="27"/>
      <c r="F6" s="35"/>
      <c r="H6" s="31"/>
      <c r="I6" s="13"/>
      <c r="J6" s="35"/>
      <c r="L6" s="35"/>
      <c r="N6" s="35"/>
      <c r="O6" s="14"/>
      <c r="P6" s="27"/>
      <c r="S6" s="31"/>
      <c r="T6" s="13">
        <v>1000</v>
      </c>
      <c r="W6" s="31"/>
      <c r="X6" s="13"/>
      <c r="Y6" s="31"/>
      <c r="AA6" s="31"/>
      <c r="AB6" s="15"/>
    </row>
    <row r="7" spans="1:28" x14ac:dyDescent="0.25">
      <c r="A7" s="311"/>
      <c r="B7" s="20">
        <v>45681</v>
      </c>
      <c r="C7" s="82" t="s">
        <v>96</v>
      </c>
      <c r="D7" s="27"/>
      <c r="F7" s="35"/>
      <c r="G7">
        <v>8000</v>
      </c>
      <c r="H7" s="31"/>
      <c r="I7" s="13"/>
      <c r="J7" s="35"/>
      <c r="L7" s="35"/>
      <c r="N7" s="35"/>
      <c r="O7" s="14"/>
      <c r="P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45682</v>
      </c>
      <c r="C8" s="82" t="s">
        <v>96</v>
      </c>
      <c r="D8" s="27"/>
      <c r="F8" s="35"/>
      <c r="H8" s="31"/>
      <c r="I8" s="13"/>
      <c r="J8" s="35"/>
      <c r="L8" s="35">
        <v>3500</v>
      </c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18"/>
      <c r="S11" s="32"/>
      <c r="T11" s="16"/>
      <c r="U11" s="18"/>
      <c r="V11" s="18"/>
      <c r="W11" s="32"/>
      <c r="X11" s="16"/>
      <c r="Y11" s="32"/>
      <c r="Z11" s="18"/>
      <c r="AA11" s="32"/>
      <c r="AB11" s="19"/>
    </row>
    <row r="12" spans="1:28" x14ac:dyDescent="0.25">
      <c r="A12" s="310" t="s">
        <v>62</v>
      </c>
      <c r="B12" s="20">
        <v>45677</v>
      </c>
      <c r="C12" s="14" t="s">
        <v>22</v>
      </c>
      <c r="D12" s="27">
        <v>150</v>
      </c>
      <c r="F12" s="35"/>
      <c r="H12" s="31"/>
      <c r="I12" s="13">
        <v>1000</v>
      </c>
      <c r="J12" s="35"/>
      <c r="L12" s="35"/>
      <c r="N12" s="35">
        <v>2000</v>
      </c>
      <c r="O12" s="14"/>
      <c r="P12" s="27"/>
      <c r="R12">
        <v>100</v>
      </c>
      <c r="S12" s="31"/>
      <c r="T12" s="13"/>
      <c r="W12" s="31"/>
      <c r="X12" s="13">
        <v>93</v>
      </c>
      <c r="Y12" s="31">
        <v>160</v>
      </c>
      <c r="AA12" s="31"/>
      <c r="AB12" s="15"/>
    </row>
    <row r="13" spans="1:28" x14ac:dyDescent="0.25">
      <c r="A13" s="311"/>
      <c r="B13" s="20">
        <v>45678</v>
      </c>
      <c r="C13" s="14" t="s">
        <v>22</v>
      </c>
      <c r="D13" s="27"/>
      <c r="F13" s="35"/>
      <c r="G13">
        <v>1000</v>
      </c>
      <c r="H13" s="31"/>
      <c r="I13" s="13">
        <v>1000</v>
      </c>
      <c r="J13" s="35"/>
      <c r="L13" s="35">
        <v>264</v>
      </c>
      <c r="N13" s="35"/>
      <c r="O13" s="14"/>
      <c r="P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>
        <v>45679</v>
      </c>
      <c r="C14" s="14" t="s">
        <v>45</v>
      </c>
      <c r="D14" s="27"/>
      <c r="F14" s="35"/>
      <c r="G14">
        <v>2000</v>
      </c>
      <c r="H14" s="31"/>
      <c r="I14" s="13"/>
      <c r="J14" s="35"/>
      <c r="L14" s="35"/>
      <c r="N14" s="35"/>
      <c r="O14" s="14"/>
      <c r="P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>
        <v>45679</v>
      </c>
      <c r="C15" s="14" t="s">
        <v>22</v>
      </c>
      <c r="D15" s="27"/>
      <c r="F15" s="35"/>
      <c r="G15">
        <v>30</v>
      </c>
      <c r="H15" s="31">
        <v>500</v>
      </c>
      <c r="I15" s="13"/>
      <c r="J15" s="35"/>
      <c r="L15" s="35"/>
      <c r="N15" s="35"/>
      <c r="O15" s="14"/>
      <c r="P15" s="27"/>
      <c r="S15" s="31"/>
      <c r="T15" s="13"/>
      <c r="W15" s="31"/>
      <c r="X15" s="13"/>
      <c r="Y15" s="31"/>
      <c r="AA15" s="31"/>
      <c r="AB15" s="15"/>
    </row>
    <row r="16" spans="1:28" x14ac:dyDescent="0.25">
      <c r="A16" s="311"/>
      <c r="B16" s="20">
        <v>45680</v>
      </c>
      <c r="C16" s="14" t="s">
        <v>22</v>
      </c>
      <c r="D16" s="27"/>
      <c r="F16" s="35"/>
      <c r="H16" s="31"/>
      <c r="I16" s="13"/>
      <c r="J16" s="35"/>
      <c r="L16" s="35"/>
      <c r="N16" s="35">
        <v>100</v>
      </c>
      <c r="O16" s="14"/>
      <c r="P16" s="27"/>
      <c r="R16">
        <v>250</v>
      </c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45681</v>
      </c>
      <c r="C17" s="14" t="s">
        <v>22</v>
      </c>
      <c r="D17" s="27"/>
      <c r="F17" s="35"/>
      <c r="G17">
        <v>2484</v>
      </c>
      <c r="H17" s="31"/>
      <c r="I17" s="13"/>
      <c r="J17" s="35"/>
      <c r="L17" s="35"/>
      <c r="N17" s="35">
        <v>1000</v>
      </c>
      <c r="O17" s="14"/>
      <c r="P17" s="27"/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45682</v>
      </c>
      <c r="C18" s="14" t="s">
        <v>22</v>
      </c>
      <c r="D18" s="27"/>
      <c r="F18" s="35"/>
      <c r="H18" s="31"/>
      <c r="I18" s="13">
        <v>1500</v>
      </c>
      <c r="J18" s="35"/>
      <c r="L18" s="35"/>
      <c r="N18" s="35"/>
      <c r="O18" s="14"/>
      <c r="P18" s="27"/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N19" s="35"/>
      <c r="O19" s="14"/>
      <c r="P19" s="27"/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N20" s="35"/>
      <c r="O20" s="14"/>
      <c r="P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S21" s="31"/>
      <c r="T21" s="13"/>
      <c r="W21" s="31"/>
      <c r="X21" s="13"/>
      <c r="Y21" s="31"/>
      <c r="AA21" s="31"/>
      <c r="AB21" s="15"/>
    </row>
    <row r="22" spans="1:28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N22" s="35"/>
      <c r="O22" s="14"/>
      <c r="P22" s="27"/>
      <c r="S22" s="31"/>
      <c r="T22" s="13"/>
      <c r="W22" s="31"/>
      <c r="X22" s="13"/>
      <c r="Y22" s="31"/>
      <c r="AA22" s="31"/>
      <c r="AB22" s="15"/>
    </row>
    <row r="23" spans="1:28" ht="21.75" thickBot="1" x14ac:dyDescent="0.3">
      <c r="A23" s="21" t="s">
        <v>23</v>
      </c>
      <c r="B23" s="22"/>
      <c r="C23" s="23"/>
      <c r="D23" s="29">
        <f t="shared" ref="D23:AB23" si="0">SUM(D4:D11)-SUM(D12:D22)</f>
        <v>350</v>
      </c>
      <c r="E23" s="22">
        <f t="shared" si="0"/>
        <v>0</v>
      </c>
      <c r="F23" s="37">
        <f t="shared" si="0"/>
        <v>0</v>
      </c>
      <c r="G23" s="24">
        <f t="shared" si="0"/>
        <v>14807</v>
      </c>
      <c r="H23" s="33">
        <f t="shared" si="0"/>
        <v>5000</v>
      </c>
      <c r="I23" s="22">
        <f t="shared" si="0"/>
        <v>4361</v>
      </c>
      <c r="J23" s="37">
        <f t="shared" si="0"/>
        <v>409</v>
      </c>
      <c r="K23" s="24">
        <f t="shared" si="0"/>
        <v>0</v>
      </c>
      <c r="L23" s="37">
        <f t="shared" si="0"/>
        <v>3500</v>
      </c>
      <c r="M23" s="24">
        <f t="shared" si="0"/>
        <v>0</v>
      </c>
      <c r="N23" s="37">
        <f t="shared" si="0"/>
        <v>2125</v>
      </c>
      <c r="O23" s="23">
        <f t="shared" si="0"/>
        <v>1397</v>
      </c>
      <c r="P23" s="29">
        <f t="shared" si="0"/>
        <v>739</v>
      </c>
      <c r="Q23" s="29">
        <f t="shared" si="0"/>
        <v>421</v>
      </c>
      <c r="R23" s="24">
        <f t="shared" si="0"/>
        <v>432</v>
      </c>
      <c r="S23" s="33">
        <f t="shared" si="0"/>
        <v>272</v>
      </c>
      <c r="T23" s="22">
        <f t="shared" si="0"/>
        <v>1535</v>
      </c>
      <c r="U23" s="22">
        <f t="shared" si="0"/>
        <v>15</v>
      </c>
      <c r="V23" s="22">
        <f t="shared" si="0"/>
        <v>0</v>
      </c>
      <c r="W23" s="33">
        <f t="shared" si="0"/>
        <v>0</v>
      </c>
      <c r="X23" s="22">
        <f t="shared" si="0"/>
        <v>2970</v>
      </c>
      <c r="Y23" s="33">
        <f t="shared" si="0"/>
        <v>1038</v>
      </c>
      <c r="Z23" s="22">
        <f t="shared" si="0"/>
        <v>0</v>
      </c>
      <c r="AA23" s="33">
        <f t="shared" si="0"/>
        <v>0</v>
      </c>
      <c r="AB23" s="25">
        <f t="shared" si="0"/>
        <v>0</v>
      </c>
    </row>
    <row r="25" spans="1:28" x14ac:dyDescent="0.25">
      <c r="D25">
        <f>D23*0.33</f>
        <v>115.5</v>
      </c>
      <c r="E25">
        <f>+E23*0.3</f>
        <v>0</v>
      </c>
      <c r="F25">
        <f>+F23*0.28</f>
        <v>0</v>
      </c>
      <c r="G25">
        <f>+G23*0.33</f>
        <v>4886.3100000000004</v>
      </c>
      <c r="H25">
        <f>+H23*0.4</f>
        <v>2000</v>
      </c>
      <c r="I25">
        <f>+I23*0.49</f>
        <v>2136.89</v>
      </c>
      <c r="J25">
        <f>+J23*0.54</f>
        <v>220.86</v>
      </c>
      <c r="K25" s="50">
        <f>+K23*0.82</f>
        <v>0</v>
      </c>
      <c r="L25">
        <f>+L23*0.62</f>
        <v>2170</v>
      </c>
      <c r="M25">
        <f>+M23*0.66</f>
        <v>0</v>
      </c>
      <c r="N25">
        <f>+N23*0.63</f>
        <v>1338.75</v>
      </c>
      <c r="O25">
        <f>+O23*0.54</f>
        <v>754.38</v>
      </c>
      <c r="P25">
        <f>+P23*2.04</f>
        <v>1507.56</v>
      </c>
      <c r="Q25">
        <f>+Q23*1.57</f>
        <v>660.97</v>
      </c>
      <c r="R25">
        <f>+R23*1.76</f>
        <v>760.32</v>
      </c>
      <c r="S25">
        <f>+S23*1.57</f>
        <v>427.04</v>
      </c>
      <c r="T25">
        <f>+T23*1.83-(535*0.02)</f>
        <v>2798.3500000000004</v>
      </c>
      <c r="U25">
        <f>+U23*1.85</f>
        <v>27.75</v>
      </c>
      <c r="V25">
        <f>+V23*2.18</f>
        <v>0</v>
      </c>
      <c r="W25">
        <f>+W23*1.8</f>
        <v>0</v>
      </c>
      <c r="X25">
        <f>+X23*0.39</f>
        <v>1158.3</v>
      </c>
      <c r="Y25">
        <f>+Y23*0.29</f>
        <v>301.02</v>
      </c>
      <c r="Z25" s="50">
        <f>+Z23*1.9</f>
        <v>0</v>
      </c>
      <c r="AA25">
        <f>+AA23*0.93</f>
        <v>0</v>
      </c>
      <c r="AB25">
        <f>+AB23*1.5</f>
        <v>0</v>
      </c>
    </row>
    <row r="26" spans="1:28" x14ac:dyDescent="0.25">
      <c r="AB26" s="39">
        <f>SUM(D25:AB25)</f>
        <v>21264</v>
      </c>
    </row>
    <row r="28" spans="1:28" ht="15.75" x14ac:dyDescent="0.25">
      <c r="S28" s="89"/>
    </row>
    <row r="29" spans="1:28" ht="15.75" x14ac:dyDescent="0.25">
      <c r="S29" s="89"/>
    </row>
    <row r="30" spans="1:28" x14ac:dyDescent="0.25">
      <c r="S30" s="85">
        <f>32*50</f>
        <v>1600</v>
      </c>
    </row>
    <row r="31" spans="1:28" x14ac:dyDescent="0.25">
      <c r="Q31">
        <f>35+23+25+26</f>
        <v>109</v>
      </c>
      <c r="S31" s="85">
        <f>500*42.5</f>
        <v>21250</v>
      </c>
    </row>
    <row r="32" spans="1:28" x14ac:dyDescent="0.25">
      <c r="Q32">
        <f>+Q31+50</f>
        <v>159</v>
      </c>
      <c r="S32" s="85"/>
    </row>
    <row r="33" spans="19:19" x14ac:dyDescent="0.25">
      <c r="S33" s="85"/>
    </row>
    <row r="34" spans="19:19" x14ac:dyDescent="0.25">
      <c r="S34" s="85"/>
    </row>
    <row r="35" spans="19:19" x14ac:dyDescent="0.25">
      <c r="S35" s="85"/>
    </row>
  </sheetData>
  <mergeCells count="7">
    <mergeCell ref="X2:Y2"/>
    <mergeCell ref="A4:A11"/>
    <mergeCell ref="A12:A22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7697-F777-437F-8799-73A36C9BAFA3}">
  <dimension ref="A1:AB36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8" sqref="R1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19a25'!D23</f>
        <v>350</v>
      </c>
      <c r="E4" s="42">
        <f>'STOCK 19a25'!E23</f>
        <v>0</v>
      </c>
      <c r="F4" s="42">
        <f>'STOCK 19a25'!F23</f>
        <v>0</v>
      </c>
      <c r="G4" s="42">
        <f>'STOCK 19a25'!G23</f>
        <v>14807</v>
      </c>
      <c r="H4" s="42">
        <f>'STOCK 19a25'!H23</f>
        <v>5000</v>
      </c>
      <c r="I4" s="42">
        <f>'STOCK 19a25'!I23</f>
        <v>4361</v>
      </c>
      <c r="J4" s="42">
        <f>'STOCK 19a25'!J23</f>
        <v>409</v>
      </c>
      <c r="K4" s="42">
        <f>'STOCK 19a25'!K23</f>
        <v>0</v>
      </c>
      <c r="L4" s="42">
        <f>'STOCK 19a25'!L23</f>
        <v>3500</v>
      </c>
      <c r="M4" s="42">
        <f>'STOCK 19a25'!M23</f>
        <v>0</v>
      </c>
      <c r="N4" s="42">
        <f>'STOCK 19a25'!N23</f>
        <v>2125</v>
      </c>
      <c r="O4" s="42">
        <f>'STOCK 19a25'!O23</f>
        <v>1397</v>
      </c>
      <c r="P4" s="42">
        <f>'STOCK 19a25'!P23</f>
        <v>739</v>
      </c>
      <c r="Q4" s="42">
        <f>'STOCK 19a25'!Q23</f>
        <v>421</v>
      </c>
      <c r="R4" s="42">
        <f>'STOCK 19a25'!R23</f>
        <v>432</v>
      </c>
      <c r="S4" s="42">
        <f>'STOCK 19a25'!S23</f>
        <v>272</v>
      </c>
      <c r="T4" s="42">
        <f>'STOCK 19a25'!T23</f>
        <v>1535</v>
      </c>
      <c r="U4" s="42">
        <f>'STOCK 19a25'!U23</f>
        <v>15</v>
      </c>
      <c r="V4" s="42">
        <f>'STOCK 19a25'!V23</f>
        <v>0</v>
      </c>
      <c r="W4" s="42">
        <f>'STOCK 19a25'!W23</f>
        <v>0</v>
      </c>
      <c r="X4" s="42">
        <f>'STOCK 19a25'!X23</f>
        <v>2970</v>
      </c>
      <c r="Y4" s="42">
        <f>'STOCK 19a25'!Y23</f>
        <v>1038</v>
      </c>
      <c r="Z4" s="42">
        <f>'STOCK 19a25'!Z23</f>
        <v>0</v>
      </c>
      <c r="AA4" s="42">
        <f>'STOCK 19a25'!AA23</f>
        <v>0</v>
      </c>
      <c r="AB4" s="42">
        <f>'STOCK 19a25'!AB23</f>
        <v>0</v>
      </c>
    </row>
    <row r="5" spans="1:28" x14ac:dyDescent="0.25">
      <c r="A5" s="311"/>
      <c r="B5" s="20">
        <v>45685</v>
      </c>
      <c r="C5" s="82" t="s">
        <v>46</v>
      </c>
      <c r="D5" s="27"/>
      <c r="F5" s="35"/>
      <c r="H5" s="31"/>
      <c r="I5" s="13"/>
      <c r="J5" s="35"/>
      <c r="L5" s="35"/>
      <c r="N5" s="35"/>
      <c r="O5" s="14"/>
      <c r="P5" s="27"/>
      <c r="R5">
        <v>880</v>
      </c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45684</v>
      </c>
      <c r="C6" s="82" t="s">
        <v>97</v>
      </c>
      <c r="D6" s="27"/>
      <c r="F6" s="35"/>
      <c r="H6" s="31"/>
      <c r="I6" s="13"/>
      <c r="J6" s="35"/>
      <c r="L6" s="35"/>
      <c r="N6" s="35"/>
      <c r="O6" s="14"/>
      <c r="P6" s="27"/>
      <c r="S6" s="31"/>
      <c r="T6" s="13"/>
      <c r="W6" s="31"/>
      <c r="X6" s="13"/>
      <c r="Y6" s="31">
        <v>500</v>
      </c>
      <c r="AA6" s="31"/>
      <c r="AB6" s="15"/>
    </row>
    <row r="7" spans="1:28" x14ac:dyDescent="0.25">
      <c r="A7" s="311"/>
      <c r="B7" s="20">
        <v>45687</v>
      </c>
      <c r="C7" s="82" t="s">
        <v>27</v>
      </c>
      <c r="D7" s="27"/>
      <c r="F7" s="35"/>
      <c r="G7">
        <v>6000</v>
      </c>
      <c r="H7" s="31"/>
      <c r="I7" s="13"/>
      <c r="J7" s="35"/>
      <c r="L7" s="35"/>
      <c r="N7" s="35"/>
      <c r="O7" s="14"/>
      <c r="P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/>
      <c r="C9" s="14"/>
      <c r="D9" s="27"/>
      <c r="F9" s="35"/>
      <c r="H9" s="31"/>
      <c r="I9" s="13"/>
      <c r="J9" s="35"/>
      <c r="L9" s="35"/>
      <c r="N9" s="35"/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14"/>
      <c r="D10" s="27"/>
      <c r="F10" s="35"/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18"/>
      <c r="N11" s="36"/>
      <c r="O11" s="17"/>
      <c r="P11" s="28"/>
      <c r="Q11" s="18"/>
      <c r="R11" s="18"/>
      <c r="S11" s="32"/>
      <c r="T11" s="16"/>
      <c r="U11" s="18"/>
      <c r="V11" s="18"/>
      <c r="W11" s="32"/>
      <c r="X11" s="16"/>
      <c r="Y11" s="32"/>
      <c r="Z11" s="18"/>
      <c r="AA11" s="32"/>
      <c r="AB11" s="19"/>
    </row>
    <row r="12" spans="1:28" x14ac:dyDescent="0.25">
      <c r="A12" s="310" t="s">
        <v>62</v>
      </c>
      <c r="B12" s="20">
        <v>45684</v>
      </c>
      <c r="C12" s="14" t="s">
        <v>45</v>
      </c>
      <c r="D12" s="27"/>
      <c r="F12" s="35"/>
      <c r="H12" s="31"/>
      <c r="I12" s="13"/>
      <c r="J12" s="35"/>
      <c r="L12" s="35"/>
      <c r="N12" s="35"/>
      <c r="O12" s="14"/>
      <c r="P12" s="27"/>
      <c r="S12" s="31"/>
      <c r="T12" s="13"/>
      <c r="W12" s="31"/>
      <c r="X12" s="13">
        <v>2970</v>
      </c>
      <c r="Y12" s="31"/>
      <c r="AA12" s="31"/>
      <c r="AB12" s="15"/>
    </row>
    <row r="13" spans="1:28" x14ac:dyDescent="0.25">
      <c r="A13" s="311"/>
      <c r="B13" s="20">
        <v>45683</v>
      </c>
      <c r="C13" s="14" t="s">
        <v>22</v>
      </c>
      <c r="D13" s="27">
        <v>14</v>
      </c>
      <c r="F13" s="35"/>
      <c r="H13" s="31"/>
      <c r="I13" s="13"/>
      <c r="J13" s="35"/>
      <c r="L13" s="35"/>
      <c r="N13" s="35"/>
      <c r="O13" s="14"/>
      <c r="P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>
        <v>45684</v>
      </c>
      <c r="C14" s="14" t="s">
        <v>22</v>
      </c>
      <c r="D14" s="27"/>
      <c r="F14" s="35"/>
      <c r="G14">
        <v>2000</v>
      </c>
      <c r="H14" s="31">
        <v>3000</v>
      </c>
      <c r="I14" s="13"/>
      <c r="J14" s="35"/>
      <c r="L14" s="35">
        <v>3000</v>
      </c>
      <c r="N14" s="35"/>
      <c r="O14" s="14"/>
      <c r="P14" s="27"/>
      <c r="S14" s="31"/>
      <c r="T14" s="13">
        <v>1</v>
      </c>
      <c r="W14" s="31"/>
      <c r="X14" s="13"/>
      <c r="Y14" s="31">
        <v>1000</v>
      </c>
      <c r="AA14" s="31"/>
      <c r="AB14" s="15"/>
    </row>
    <row r="15" spans="1:28" x14ac:dyDescent="0.25">
      <c r="A15" s="311"/>
      <c r="B15" s="20">
        <v>45685</v>
      </c>
      <c r="C15" s="14" t="s">
        <v>22</v>
      </c>
      <c r="D15" s="27"/>
      <c r="F15" s="35"/>
      <c r="G15">
        <v>1000</v>
      </c>
      <c r="H15" s="31"/>
      <c r="I15" s="13">
        <v>500</v>
      </c>
      <c r="J15" s="35"/>
      <c r="L15" s="35"/>
      <c r="N15" s="35"/>
      <c r="O15" s="14"/>
      <c r="P15" s="27"/>
      <c r="R15">
        <v>70</v>
      </c>
      <c r="S15" s="31"/>
      <c r="T15" s="13"/>
      <c r="W15" s="31"/>
      <c r="X15" s="13"/>
      <c r="Y15" s="31"/>
      <c r="AA15" s="31"/>
      <c r="AB15" s="15"/>
    </row>
    <row r="16" spans="1:28" x14ac:dyDescent="0.25">
      <c r="A16" s="311"/>
      <c r="B16" s="20">
        <v>45685</v>
      </c>
      <c r="C16" s="14" t="s">
        <v>45</v>
      </c>
      <c r="D16" s="27"/>
      <c r="F16" s="35"/>
      <c r="G16">
        <v>4000</v>
      </c>
      <c r="H16" s="31"/>
      <c r="I16" s="13"/>
      <c r="J16" s="35"/>
      <c r="L16" s="35"/>
      <c r="N16" s="35"/>
      <c r="O16" s="14"/>
      <c r="P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45686</v>
      </c>
      <c r="C17" s="14" t="s">
        <v>22</v>
      </c>
      <c r="D17" s="27"/>
      <c r="F17" s="35"/>
      <c r="G17">
        <v>1500</v>
      </c>
      <c r="H17" s="31"/>
      <c r="I17" s="13"/>
      <c r="J17" s="35"/>
      <c r="L17" s="35">
        <v>500</v>
      </c>
      <c r="N17" s="35"/>
      <c r="O17" s="14"/>
      <c r="P17" s="27"/>
      <c r="Q17">
        <v>170</v>
      </c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45687</v>
      </c>
      <c r="C18" s="14" t="s">
        <v>22</v>
      </c>
      <c r="D18" s="27"/>
      <c r="F18" s="35"/>
      <c r="H18" s="31"/>
      <c r="I18" s="13">
        <f>200+1000+2000</f>
        <v>3200</v>
      </c>
      <c r="J18" s="35"/>
      <c r="L18" s="35"/>
      <c r="N18" s="35"/>
      <c r="O18" s="14"/>
      <c r="P18" s="27"/>
      <c r="R18">
        <v>550</v>
      </c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>
        <v>45688</v>
      </c>
      <c r="C19" s="14" t="s">
        <v>22</v>
      </c>
      <c r="D19" s="27"/>
      <c r="F19" s="35"/>
      <c r="G19">
        <v>500</v>
      </c>
      <c r="H19" s="31"/>
      <c r="I19" s="13">
        <v>300</v>
      </c>
      <c r="J19" s="35"/>
      <c r="L19" s="35"/>
      <c r="N19" s="35"/>
      <c r="O19" s="14"/>
      <c r="P19" s="27"/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>
        <v>45689</v>
      </c>
      <c r="C20" s="14" t="s">
        <v>22</v>
      </c>
      <c r="D20" s="27"/>
      <c r="F20" s="35"/>
      <c r="G20">
        <f>1000+20</f>
        <v>1020</v>
      </c>
      <c r="H20" s="31"/>
      <c r="I20" s="13"/>
      <c r="J20" s="35"/>
      <c r="L20" s="35"/>
      <c r="N20" s="35"/>
      <c r="O20" s="14"/>
      <c r="P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S22" s="31"/>
      <c r="T22" s="13"/>
      <c r="W22" s="31"/>
      <c r="X22" s="13"/>
      <c r="Y22" s="31"/>
      <c r="AA22" s="31"/>
      <c r="AB22" s="15"/>
    </row>
    <row r="23" spans="1:28" ht="15.75" thickBot="1" x14ac:dyDescent="0.3">
      <c r="A23" s="312"/>
      <c r="B23" s="13"/>
      <c r="C23" s="14"/>
      <c r="D23" s="27"/>
      <c r="F23" s="35"/>
      <c r="H23" s="31"/>
      <c r="I23" s="13"/>
      <c r="J23" s="35"/>
      <c r="L23" s="35"/>
      <c r="N23" s="35"/>
      <c r="O23" s="14"/>
      <c r="P23" s="27"/>
      <c r="S23" s="31"/>
      <c r="T23" s="13"/>
      <c r="W23" s="31"/>
      <c r="X23" s="13"/>
      <c r="Y23" s="31"/>
      <c r="AA23" s="31"/>
      <c r="AB23" s="15"/>
    </row>
    <row r="24" spans="1:28" ht="21.75" thickBot="1" x14ac:dyDescent="0.3">
      <c r="A24" s="21" t="s">
        <v>23</v>
      </c>
      <c r="B24" s="22"/>
      <c r="C24" s="23"/>
      <c r="D24" s="29">
        <f t="shared" ref="D24:AB24" si="0">SUM(D4:D11)-SUM(D12:D23)</f>
        <v>336</v>
      </c>
      <c r="E24" s="22">
        <f t="shared" si="0"/>
        <v>0</v>
      </c>
      <c r="F24" s="37">
        <f t="shared" si="0"/>
        <v>0</v>
      </c>
      <c r="G24" s="24">
        <f t="shared" si="0"/>
        <v>10787</v>
      </c>
      <c r="H24" s="33">
        <f t="shared" si="0"/>
        <v>2000</v>
      </c>
      <c r="I24" s="22">
        <f t="shared" si="0"/>
        <v>361</v>
      </c>
      <c r="J24" s="37">
        <f t="shared" si="0"/>
        <v>409</v>
      </c>
      <c r="K24" s="24">
        <f t="shared" si="0"/>
        <v>0</v>
      </c>
      <c r="L24" s="37">
        <f t="shared" si="0"/>
        <v>0</v>
      </c>
      <c r="M24" s="24">
        <f t="shared" si="0"/>
        <v>0</v>
      </c>
      <c r="N24" s="37">
        <f t="shared" si="0"/>
        <v>2125</v>
      </c>
      <c r="O24" s="23">
        <f t="shared" si="0"/>
        <v>1397</v>
      </c>
      <c r="P24" s="29">
        <f t="shared" si="0"/>
        <v>739</v>
      </c>
      <c r="Q24" s="29">
        <f t="shared" si="0"/>
        <v>251</v>
      </c>
      <c r="R24" s="24">
        <f t="shared" si="0"/>
        <v>692</v>
      </c>
      <c r="S24" s="33">
        <f t="shared" si="0"/>
        <v>272</v>
      </c>
      <c r="T24" s="22">
        <f t="shared" si="0"/>
        <v>1534</v>
      </c>
      <c r="U24" s="22">
        <f t="shared" si="0"/>
        <v>15</v>
      </c>
      <c r="V24" s="22">
        <f t="shared" si="0"/>
        <v>0</v>
      </c>
      <c r="W24" s="33">
        <f t="shared" si="0"/>
        <v>0</v>
      </c>
      <c r="X24" s="22">
        <f t="shared" si="0"/>
        <v>0</v>
      </c>
      <c r="Y24" s="33">
        <f t="shared" si="0"/>
        <v>538</v>
      </c>
      <c r="Z24" s="22">
        <f t="shared" si="0"/>
        <v>0</v>
      </c>
      <c r="AA24" s="33">
        <f t="shared" si="0"/>
        <v>0</v>
      </c>
      <c r="AB24" s="25">
        <f t="shared" si="0"/>
        <v>0</v>
      </c>
    </row>
    <row r="26" spans="1:28" x14ac:dyDescent="0.25">
      <c r="D26">
        <f>D24*0.33</f>
        <v>110.88000000000001</v>
      </c>
      <c r="E26">
        <f>+E24*0.3</f>
        <v>0</v>
      </c>
      <c r="F26">
        <f>+F24*0.28</f>
        <v>0</v>
      </c>
      <c r="G26">
        <f>+G24*0.33</f>
        <v>3559.71</v>
      </c>
      <c r="H26">
        <f>+H24*0.4</f>
        <v>800</v>
      </c>
      <c r="I26">
        <f>+I24*0.49</f>
        <v>176.89</v>
      </c>
      <c r="J26">
        <f>+J24*0.54</f>
        <v>220.86</v>
      </c>
      <c r="K26" s="50">
        <f>+K24*0.82</f>
        <v>0</v>
      </c>
      <c r="L26">
        <f>+L24*0.62</f>
        <v>0</v>
      </c>
      <c r="M26">
        <f>+M24*0.66</f>
        <v>0</v>
      </c>
      <c r="N26">
        <f>+N24*0.63</f>
        <v>1338.75</v>
      </c>
      <c r="O26">
        <f>+O24*0.54</f>
        <v>754.38</v>
      </c>
      <c r="P26">
        <f>+P24*2.04</f>
        <v>1507.56</v>
      </c>
      <c r="Q26">
        <f>+Q24*1.57</f>
        <v>394.07</v>
      </c>
      <c r="R26">
        <f>+R24*1.76</f>
        <v>1217.92</v>
      </c>
      <c r="S26">
        <f>+S24*1.57</f>
        <v>427.04</v>
      </c>
      <c r="T26">
        <f>+T24*1.83-(534*0.02)</f>
        <v>2796.5400000000004</v>
      </c>
      <c r="U26">
        <f>+U24*1.85</f>
        <v>27.75</v>
      </c>
      <c r="V26">
        <f>+V24*2.18</f>
        <v>0</v>
      </c>
      <c r="W26">
        <f>+W24*1.8</f>
        <v>0</v>
      </c>
      <c r="X26">
        <f>+X24*0.39</f>
        <v>0</v>
      </c>
      <c r="Y26">
        <f>+Y24*0.29</f>
        <v>156.01999999999998</v>
      </c>
      <c r="Z26" s="50">
        <f>+Z24*1.9</f>
        <v>0</v>
      </c>
      <c r="AA26">
        <f>+AA24*0.93</f>
        <v>0</v>
      </c>
      <c r="AB26">
        <f>+AB24*1.5</f>
        <v>0</v>
      </c>
    </row>
    <row r="27" spans="1:28" x14ac:dyDescent="0.25">
      <c r="AB27" s="39">
        <f>SUM(D26:AB26)</f>
        <v>13488.370000000003</v>
      </c>
    </row>
    <row r="29" spans="1:28" ht="15.75" x14ac:dyDescent="0.25">
      <c r="S29" s="89"/>
    </row>
    <row r="30" spans="1:28" ht="15.75" x14ac:dyDescent="0.25">
      <c r="S30" s="89"/>
    </row>
    <row r="31" spans="1:28" x14ac:dyDescent="0.25">
      <c r="S31" s="85"/>
    </row>
    <row r="32" spans="1:28" x14ac:dyDescent="0.25">
      <c r="Q32">
        <f>35+23+25+26</f>
        <v>109</v>
      </c>
      <c r="S32" s="85"/>
    </row>
    <row r="33" spans="17:19" x14ac:dyDescent="0.25">
      <c r="Q33">
        <f>+Q32+50</f>
        <v>159</v>
      </c>
      <c r="S33" s="85"/>
    </row>
    <row r="34" spans="17:19" x14ac:dyDescent="0.25">
      <c r="S34" s="85"/>
    </row>
    <row r="35" spans="17:19" x14ac:dyDescent="0.25">
      <c r="S35" s="85"/>
    </row>
    <row r="36" spans="17:19" x14ac:dyDescent="0.25">
      <c r="S36" s="85"/>
    </row>
  </sheetData>
  <mergeCells count="7">
    <mergeCell ref="X2:Y2"/>
    <mergeCell ref="A4:A11"/>
    <mergeCell ref="A12:A23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93364-8D07-4919-AF19-B6D47BB774CC}">
  <dimension ref="A1:AB3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28" sqref="L2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26a01'!D24</f>
        <v>336</v>
      </c>
      <c r="E4" s="42">
        <f>'STOCK 26a01'!E24</f>
        <v>0</v>
      </c>
      <c r="F4" s="42">
        <f>'STOCK 26a01'!F24</f>
        <v>0</v>
      </c>
      <c r="G4" s="42">
        <f>'STOCK 26a01'!G24</f>
        <v>10787</v>
      </c>
      <c r="H4" s="42">
        <f>'STOCK 26a01'!H24</f>
        <v>2000</v>
      </c>
      <c r="I4" s="42">
        <f>'STOCK 26a01'!I24</f>
        <v>361</v>
      </c>
      <c r="J4" s="42">
        <f>'STOCK 26a01'!J24</f>
        <v>409</v>
      </c>
      <c r="K4" s="42">
        <f>'STOCK 26a01'!K24</f>
        <v>0</v>
      </c>
      <c r="L4" s="42">
        <f>'STOCK 26a01'!L24</f>
        <v>0</v>
      </c>
      <c r="M4" s="42">
        <f>'STOCK 26a01'!M24</f>
        <v>0</v>
      </c>
      <c r="N4" s="42">
        <f>'STOCK 26a01'!N24</f>
        <v>2125</v>
      </c>
      <c r="O4" s="42">
        <f>'STOCK 26a01'!O24</f>
        <v>1397</v>
      </c>
      <c r="P4" s="42">
        <f>'STOCK 26a01'!P24</f>
        <v>739</v>
      </c>
      <c r="Q4" s="42">
        <f>'STOCK 26a01'!Q24</f>
        <v>251</v>
      </c>
      <c r="R4" s="42">
        <f>'STOCK 26a01'!R24</f>
        <v>692</v>
      </c>
      <c r="S4" s="42">
        <f>'STOCK 26a01'!S24</f>
        <v>272</v>
      </c>
      <c r="T4" s="42">
        <f>'STOCK 26a01'!T24</f>
        <v>1534</v>
      </c>
      <c r="U4" s="42">
        <f>'STOCK 26a01'!U24</f>
        <v>15</v>
      </c>
      <c r="V4" s="42">
        <f>'STOCK 26a01'!V24</f>
        <v>0</v>
      </c>
      <c r="W4" s="42">
        <f>'STOCK 26a01'!W24</f>
        <v>0</v>
      </c>
      <c r="X4" s="42">
        <f>'STOCK 26a01'!X24</f>
        <v>0</v>
      </c>
      <c r="Y4" s="42">
        <f>'STOCK 26a01'!Y24</f>
        <v>538</v>
      </c>
      <c r="Z4" s="42">
        <f>'STOCK 26a01'!Z24</f>
        <v>0</v>
      </c>
      <c r="AA4" s="42">
        <f>'STOCK 26a01'!AA24</f>
        <v>0</v>
      </c>
      <c r="AB4" s="42">
        <f>'STOCK 26a01'!AB24</f>
        <v>0</v>
      </c>
    </row>
    <row r="5" spans="1:28" x14ac:dyDescent="0.25">
      <c r="A5" s="311"/>
      <c r="B5" s="20">
        <v>45691</v>
      </c>
      <c r="C5" s="82" t="s">
        <v>27</v>
      </c>
      <c r="D5" s="27"/>
      <c r="F5" s="35"/>
      <c r="H5" s="31"/>
      <c r="I5" s="13"/>
      <c r="J5" s="35"/>
      <c r="L5" s="35">
        <v>3500</v>
      </c>
      <c r="N5" s="35"/>
      <c r="O5" s="14"/>
      <c r="P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45691</v>
      </c>
      <c r="C6" s="82" t="s">
        <v>46</v>
      </c>
      <c r="D6" s="27"/>
      <c r="F6" s="35"/>
      <c r="H6" s="31"/>
      <c r="I6" s="13"/>
      <c r="J6" s="35"/>
      <c r="L6" s="35"/>
      <c r="N6" s="35">
        <v>2000</v>
      </c>
      <c r="O6" s="14"/>
      <c r="P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45693</v>
      </c>
      <c r="C7" s="82" t="s">
        <v>27</v>
      </c>
      <c r="D7" s="27"/>
      <c r="F7" s="35"/>
      <c r="H7" s="31"/>
      <c r="I7" s="13">
        <v>1000</v>
      </c>
      <c r="J7" s="35"/>
      <c r="L7" s="35"/>
      <c r="N7" s="35"/>
      <c r="O7" s="14"/>
      <c r="P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45694</v>
      </c>
      <c r="C8" s="82" t="s">
        <v>98</v>
      </c>
      <c r="D8" s="27"/>
      <c r="F8" s="35"/>
      <c r="H8" s="31"/>
      <c r="I8" s="13">
        <v>5000</v>
      </c>
      <c r="J8" s="35"/>
      <c r="L8" s="35"/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45664</v>
      </c>
      <c r="C9" s="82" t="s">
        <v>27</v>
      </c>
      <c r="D9" s="27"/>
      <c r="F9" s="35"/>
      <c r="G9">
        <v>1000</v>
      </c>
      <c r="H9" s="31"/>
      <c r="I9" s="13">
        <v>2000</v>
      </c>
      <c r="J9" s="35"/>
      <c r="L9" s="35"/>
      <c r="N9" s="35"/>
      <c r="O9" s="14"/>
      <c r="P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N12" s="35"/>
      <c r="O12" s="14"/>
      <c r="P12" s="27"/>
      <c r="S12" s="31"/>
      <c r="T12" s="13"/>
      <c r="W12" s="31"/>
      <c r="X12" s="13"/>
      <c r="Y12" s="31"/>
      <c r="AA12" s="31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18"/>
      <c r="N13" s="36"/>
      <c r="O13" s="17"/>
      <c r="P13" s="2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32"/>
      <c r="AB13" s="19"/>
    </row>
    <row r="14" spans="1:28" x14ac:dyDescent="0.25">
      <c r="A14" s="310" t="s">
        <v>62</v>
      </c>
      <c r="B14" s="20">
        <v>45691</v>
      </c>
      <c r="C14" s="14" t="s">
        <v>22</v>
      </c>
      <c r="D14" s="27"/>
      <c r="F14" s="35"/>
      <c r="G14">
        <v>2000</v>
      </c>
      <c r="H14" s="31">
        <v>988</v>
      </c>
      <c r="I14" s="13"/>
      <c r="J14" s="35"/>
      <c r="L14" s="35"/>
      <c r="N14" s="35"/>
      <c r="O14" s="14"/>
      <c r="P14" s="27"/>
      <c r="S14" s="31"/>
      <c r="T14" s="13"/>
      <c r="W14" s="31"/>
      <c r="X14" s="13"/>
      <c r="Y14" s="31">
        <v>529</v>
      </c>
      <c r="AA14" s="31"/>
      <c r="AB14" s="15"/>
    </row>
    <row r="15" spans="1:28" x14ac:dyDescent="0.25">
      <c r="A15" s="311"/>
      <c r="B15" s="20">
        <v>45692</v>
      </c>
      <c r="C15" s="14" t="s">
        <v>22</v>
      </c>
      <c r="D15" s="27"/>
      <c r="F15" s="35"/>
      <c r="G15">
        <f>1000+40</f>
        <v>1040</v>
      </c>
      <c r="H15" s="31"/>
      <c r="I15" s="13"/>
      <c r="J15" s="35"/>
      <c r="L15" s="35">
        <f>1000+1</f>
        <v>1001</v>
      </c>
      <c r="N15" s="35"/>
      <c r="O15" s="14"/>
      <c r="P15" s="27"/>
      <c r="S15" s="31"/>
      <c r="T15" s="13"/>
      <c r="W15" s="31"/>
      <c r="X15" s="13"/>
      <c r="Y15" s="31"/>
      <c r="AA15" s="31"/>
      <c r="AB15" s="15"/>
    </row>
    <row r="16" spans="1:28" x14ac:dyDescent="0.25">
      <c r="A16" s="311"/>
      <c r="B16" s="20">
        <v>45693</v>
      </c>
      <c r="C16" s="14" t="s">
        <v>22</v>
      </c>
      <c r="D16" s="27"/>
      <c r="F16" s="35"/>
      <c r="G16">
        <v>350</v>
      </c>
      <c r="H16" s="31"/>
      <c r="I16" s="13"/>
      <c r="J16" s="35"/>
      <c r="L16" s="35"/>
      <c r="N16" s="35"/>
      <c r="O16" s="14"/>
      <c r="P16" s="27"/>
      <c r="R16">
        <v>250</v>
      </c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45694</v>
      </c>
      <c r="C17" s="14" t="s">
        <v>22</v>
      </c>
      <c r="D17" s="27"/>
      <c r="F17" s="35"/>
      <c r="G17">
        <v>700</v>
      </c>
      <c r="H17" s="31"/>
      <c r="I17" s="13">
        <v>850</v>
      </c>
      <c r="J17" s="35"/>
      <c r="L17" s="35">
        <v>500</v>
      </c>
      <c r="N17" s="35"/>
      <c r="O17" s="14"/>
      <c r="P17" s="27"/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45695</v>
      </c>
      <c r="C18" s="14" t="s">
        <v>22</v>
      </c>
      <c r="D18" s="27"/>
      <c r="F18" s="35"/>
      <c r="G18">
        <v>400</v>
      </c>
      <c r="H18" s="31"/>
      <c r="I18" s="13">
        <v>900</v>
      </c>
      <c r="J18" s="35"/>
      <c r="L18" s="35"/>
      <c r="N18" s="35">
        <v>1000</v>
      </c>
      <c r="O18" s="14"/>
      <c r="P18" s="27"/>
      <c r="R18">
        <v>60</v>
      </c>
      <c r="S18" s="31"/>
      <c r="T18" s="13">
        <v>190</v>
      </c>
      <c r="W18" s="31"/>
      <c r="X18" s="13"/>
      <c r="Y18" s="31"/>
      <c r="AA18" s="31"/>
      <c r="AB18" s="15"/>
    </row>
    <row r="19" spans="1:28" x14ac:dyDescent="0.25">
      <c r="A19" s="311"/>
      <c r="B19" s="20">
        <v>45695</v>
      </c>
      <c r="C19" s="14" t="s">
        <v>45</v>
      </c>
      <c r="D19" s="27"/>
      <c r="F19" s="35"/>
      <c r="H19" s="31"/>
      <c r="I19" s="13">
        <v>2000</v>
      </c>
      <c r="J19" s="35"/>
      <c r="L19" s="35"/>
      <c r="N19" s="35"/>
      <c r="O19" s="14"/>
      <c r="P19" s="27"/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>
        <v>45696</v>
      </c>
      <c r="C20" s="14" t="s">
        <v>22</v>
      </c>
      <c r="D20" s="27"/>
      <c r="F20" s="35"/>
      <c r="G20">
        <v>1500</v>
      </c>
      <c r="H20" s="31"/>
      <c r="I20" s="13">
        <f>300+500+150</f>
        <v>950</v>
      </c>
      <c r="J20" s="35"/>
      <c r="L20" s="35">
        <v>500</v>
      </c>
      <c r="N20" s="35">
        <v>2000</v>
      </c>
      <c r="O20" s="14"/>
      <c r="P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N21" s="35"/>
      <c r="O21" s="14"/>
      <c r="P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N22" s="35"/>
      <c r="O22" s="14"/>
      <c r="P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>
        <v>45682</v>
      </c>
      <c r="C23" s="14" t="s">
        <v>22</v>
      </c>
      <c r="D23" s="27"/>
      <c r="F23" s="35"/>
      <c r="H23" s="31"/>
      <c r="I23" s="13"/>
      <c r="J23" s="35"/>
      <c r="L23" s="35"/>
      <c r="N23" s="35"/>
      <c r="O23" s="14"/>
      <c r="P23" s="27"/>
      <c r="R23">
        <v>270</v>
      </c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/>
      <c r="AA24" s="31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N25" s="35"/>
      <c r="O25" s="14"/>
      <c r="P25" s="27"/>
      <c r="S25" s="31"/>
      <c r="T25" s="13"/>
      <c r="W25" s="31"/>
      <c r="X25" s="13"/>
      <c r="Y25" s="31"/>
      <c r="AA25" s="31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SUM(D4:D13)-SUM(D14:D25)</f>
        <v>336</v>
      </c>
      <c r="E26" s="22">
        <f t="shared" si="0"/>
        <v>0</v>
      </c>
      <c r="F26" s="37">
        <f t="shared" si="0"/>
        <v>0</v>
      </c>
      <c r="G26" s="24">
        <f t="shared" si="0"/>
        <v>5797</v>
      </c>
      <c r="H26" s="33">
        <f t="shared" si="0"/>
        <v>1012</v>
      </c>
      <c r="I26" s="22">
        <f t="shared" si="0"/>
        <v>3661</v>
      </c>
      <c r="J26" s="37">
        <f t="shared" si="0"/>
        <v>409</v>
      </c>
      <c r="K26" s="24">
        <f t="shared" si="0"/>
        <v>0</v>
      </c>
      <c r="L26" s="37">
        <f t="shared" si="0"/>
        <v>1499</v>
      </c>
      <c r="M26" s="24">
        <f t="shared" si="0"/>
        <v>0</v>
      </c>
      <c r="N26" s="37">
        <f t="shared" si="0"/>
        <v>1125</v>
      </c>
      <c r="O26" s="23">
        <f t="shared" si="0"/>
        <v>1397</v>
      </c>
      <c r="P26" s="29">
        <f t="shared" si="0"/>
        <v>739</v>
      </c>
      <c r="Q26" s="29">
        <f t="shared" si="0"/>
        <v>251</v>
      </c>
      <c r="R26" s="24">
        <f t="shared" si="0"/>
        <v>112</v>
      </c>
      <c r="S26" s="33">
        <f t="shared" si="0"/>
        <v>272</v>
      </c>
      <c r="T26" s="22">
        <f t="shared" si="0"/>
        <v>1344</v>
      </c>
      <c r="U26" s="22">
        <f t="shared" si="0"/>
        <v>15</v>
      </c>
      <c r="V26" s="22">
        <f t="shared" si="0"/>
        <v>0</v>
      </c>
      <c r="W26" s="33">
        <f t="shared" si="0"/>
        <v>0</v>
      </c>
      <c r="X26" s="22">
        <f t="shared" si="0"/>
        <v>0</v>
      </c>
      <c r="Y26" s="33">
        <f t="shared" si="0"/>
        <v>9</v>
      </c>
      <c r="Z26" s="22">
        <f t="shared" si="0"/>
        <v>0</v>
      </c>
      <c r="AA26" s="33">
        <f t="shared" si="0"/>
        <v>0</v>
      </c>
      <c r="AB26" s="25">
        <f t="shared" si="0"/>
        <v>0</v>
      </c>
    </row>
    <row r="28" spans="1:28" x14ac:dyDescent="0.25">
      <c r="D28">
        <f>D26*0.33</f>
        <v>110.88000000000001</v>
      </c>
      <c r="E28">
        <f>+E26*0.3</f>
        <v>0</v>
      </c>
      <c r="F28">
        <f>+F26*0.28</f>
        <v>0</v>
      </c>
      <c r="G28">
        <f>+G26*0.33</f>
        <v>1913.01</v>
      </c>
      <c r="H28">
        <f>+H26*0.4</f>
        <v>404.8</v>
      </c>
      <c r="I28">
        <f>+I26*0.51</f>
        <v>1867.1100000000001</v>
      </c>
      <c r="J28">
        <f>+J26*0.54</f>
        <v>220.86</v>
      </c>
      <c r="K28" s="50">
        <f>+K26*0.82</f>
        <v>0</v>
      </c>
      <c r="L28">
        <f>+L26*0.62</f>
        <v>929.38</v>
      </c>
      <c r="M28">
        <f>+M26*0.66</f>
        <v>0</v>
      </c>
      <c r="N28">
        <f>+N26*0.64</f>
        <v>720</v>
      </c>
      <c r="O28">
        <f>+O26*0.54</f>
        <v>754.38</v>
      </c>
      <c r="P28">
        <f>+P26*2.04</f>
        <v>1507.56</v>
      </c>
      <c r="Q28">
        <f>+Q26*1.57</f>
        <v>394.07</v>
      </c>
      <c r="R28">
        <f>+R26*1.76</f>
        <v>197.12</v>
      </c>
      <c r="S28">
        <f>+S26*1.57</f>
        <v>427.04</v>
      </c>
      <c r="T28">
        <f>+T26*1.83-(344*0.02)</f>
        <v>2452.64</v>
      </c>
      <c r="U28">
        <f>+U26*1.85</f>
        <v>27.75</v>
      </c>
      <c r="V28">
        <f>+V26*2.18</f>
        <v>0</v>
      </c>
      <c r="W28">
        <f>+W26*1.8</f>
        <v>0</v>
      </c>
      <c r="X28">
        <f>+X26*0.39</f>
        <v>0</v>
      </c>
      <c r="Y28">
        <f>+Y26*0.29</f>
        <v>2.61</v>
      </c>
      <c r="Z28" s="50">
        <f>+Z26*1.9</f>
        <v>0</v>
      </c>
      <c r="AA28">
        <f>+AA26*0.93</f>
        <v>0</v>
      </c>
      <c r="AB28">
        <f>+AB26*1.5</f>
        <v>0</v>
      </c>
    </row>
    <row r="29" spans="1:28" x14ac:dyDescent="0.25">
      <c r="AB29" s="39">
        <f>SUM(D28:AB28)</f>
        <v>11929.210000000001</v>
      </c>
    </row>
    <row r="31" spans="1:28" ht="15.75" x14ac:dyDescent="0.25">
      <c r="N31">
        <f>1125*0.63</f>
        <v>708.75</v>
      </c>
      <c r="S31" s="89"/>
    </row>
    <row r="32" spans="1:28" ht="15.75" x14ac:dyDescent="0.25">
      <c r="N32">
        <f>875*0.64</f>
        <v>560</v>
      </c>
      <c r="S32" s="89"/>
    </row>
    <row r="33" spans="14:19" x14ac:dyDescent="0.25">
      <c r="N33">
        <f>+N31+N32</f>
        <v>1268.75</v>
      </c>
      <c r="S33" s="85"/>
    </row>
    <row r="34" spans="14:19" x14ac:dyDescent="0.25">
      <c r="N34">
        <f>N33/2000</f>
        <v>0.63437500000000002</v>
      </c>
      <c r="Q34">
        <f>35+23+25+26</f>
        <v>109</v>
      </c>
      <c r="S34" s="85"/>
    </row>
    <row r="35" spans="14:19" x14ac:dyDescent="0.25">
      <c r="Q35">
        <f>+Q34+50</f>
        <v>159</v>
      </c>
      <c r="S35" s="85"/>
    </row>
    <row r="36" spans="14:19" x14ac:dyDescent="0.25">
      <c r="S36" s="85"/>
    </row>
    <row r="37" spans="14:19" x14ac:dyDescent="0.25">
      <c r="S37" s="85"/>
    </row>
    <row r="38" spans="14:19" x14ac:dyDescent="0.25">
      <c r="S38" s="85"/>
    </row>
  </sheetData>
  <mergeCells count="7">
    <mergeCell ref="X2:Y2"/>
    <mergeCell ref="A4:A13"/>
    <mergeCell ref="A14:A25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69AC-ED2A-4C78-8525-89741D2B37FD}">
  <dimension ref="A1:AB40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30" sqref="T3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02a08'!D26</f>
        <v>336</v>
      </c>
      <c r="E4" s="42">
        <f>'STOCK 02a08'!E26</f>
        <v>0</v>
      </c>
      <c r="F4" s="42">
        <f>'STOCK 02a08'!F26</f>
        <v>0</v>
      </c>
      <c r="G4" s="42">
        <f>'STOCK 02a08'!G26</f>
        <v>5797</v>
      </c>
      <c r="H4" s="42">
        <f>'STOCK 02a08'!H26</f>
        <v>1012</v>
      </c>
      <c r="I4" s="42">
        <f>'STOCK 02a08'!I26</f>
        <v>3661</v>
      </c>
      <c r="J4" s="42">
        <f>'STOCK 02a08'!J26</f>
        <v>409</v>
      </c>
      <c r="K4" s="42">
        <f>'STOCK 02a08'!K26</f>
        <v>0</v>
      </c>
      <c r="L4" s="42">
        <f>'STOCK 02a08'!L26</f>
        <v>1499</v>
      </c>
      <c r="M4" s="42">
        <f>'STOCK 02a08'!M26</f>
        <v>0</v>
      </c>
      <c r="N4" s="42">
        <f>'STOCK 02a08'!N26</f>
        <v>1125</v>
      </c>
      <c r="O4" s="42">
        <f>'STOCK 02a08'!O26</f>
        <v>1397</v>
      </c>
      <c r="P4" s="42">
        <f>'STOCK 02a08'!P26</f>
        <v>739</v>
      </c>
      <c r="Q4" s="42">
        <f>'STOCK 02a08'!Q26</f>
        <v>251</v>
      </c>
      <c r="R4" s="42">
        <f>'STOCK 02a08'!R26</f>
        <v>112</v>
      </c>
      <c r="S4" s="42">
        <f>'STOCK 02a08'!S26</f>
        <v>272</v>
      </c>
      <c r="T4" s="42">
        <f>'STOCK 02a08'!T26</f>
        <v>1344</v>
      </c>
      <c r="U4" s="42">
        <f>'STOCK 02a08'!U26</f>
        <v>15</v>
      </c>
      <c r="V4" s="42">
        <f>'STOCK 02a08'!V26</f>
        <v>0</v>
      </c>
      <c r="W4" s="42">
        <f>'STOCK 02a08'!W26</f>
        <v>0</v>
      </c>
      <c r="X4" s="42">
        <f>'STOCK 02a08'!X26</f>
        <v>0</v>
      </c>
      <c r="Y4" s="42">
        <f>'STOCK 02a08'!Y26</f>
        <v>9</v>
      </c>
      <c r="Z4" s="42">
        <f>'STOCK 02a08'!Z26</f>
        <v>0</v>
      </c>
      <c r="AA4" s="42">
        <f>'STOCK 02a08'!AA26</f>
        <v>0</v>
      </c>
      <c r="AB4" s="42">
        <f>'STOCK 02a08'!AB26</f>
        <v>0</v>
      </c>
    </row>
    <row r="5" spans="1:28" x14ac:dyDescent="0.25">
      <c r="A5" s="311"/>
      <c r="B5" s="20">
        <v>45698</v>
      </c>
      <c r="C5" s="82" t="s">
        <v>27</v>
      </c>
      <c r="D5" s="27"/>
      <c r="F5" s="35"/>
      <c r="H5" s="31"/>
      <c r="I5" s="13"/>
      <c r="J5" s="35"/>
      <c r="L5" s="35"/>
      <c r="N5" s="35"/>
      <c r="O5" s="14"/>
      <c r="P5" s="27"/>
      <c r="R5">
        <v>1200</v>
      </c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45698</v>
      </c>
      <c r="C6" s="82" t="s">
        <v>46</v>
      </c>
      <c r="D6" s="27">
        <v>4500</v>
      </c>
      <c r="F6" s="35"/>
      <c r="H6" s="31"/>
      <c r="I6" s="13"/>
      <c r="J6" s="35"/>
      <c r="L6" s="35"/>
      <c r="N6" s="35"/>
      <c r="O6" s="14"/>
      <c r="P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45699</v>
      </c>
      <c r="C7" s="82" t="s">
        <v>27</v>
      </c>
      <c r="D7" s="27"/>
      <c r="F7" s="35"/>
      <c r="H7" s="31"/>
      <c r="I7" s="13"/>
      <c r="J7" s="35"/>
      <c r="L7" s="35"/>
      <c r="N7" s="35"/>
      <c r="O7" s="14"/>
      <c r="P7" s="27"/>
      <c r="S7" s="31"/>
      <c r="T7" s="13"/>
      <c r="W7" s="31"/>
      <c r="X7" s="13">
        <v>7000</v>
      </c>
      <c r="Y7" s="31"/>
      <c r="AA7" s="31"/>
      <c r="AB7" s="15"/>
    </row>
    <row r="8" spans="1:28" x14ac:dyDescent="0.25">
      <c r="A8" s="311"/>
      <c r="B8" s="20">
        <v>45698</v>
      </c>
      <c r="C8" s="82" t="s">
        <v>98</v>
      </c>
      <c r="D8" s="27"/>
      <c r="F8" s="35"/>
      <c r="H8" s="31"/>
      <c r="I8" s="13">
        <v>8000</v>
      </c>
      <c r="J8" s="35"/>
      <c r="L8" s="35"/>
      <c r="N8" s="35"/>
      <c r="O8" s="14"/>
      <c r="P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45701</v>
      </c>
      <c r="C9" s="82" t="s">
        <v>27</v>
      </c>
      <c r="D9" s="27"/>
      <c r="F9" s="35"/>
      <c r="H9" s="31"/>
      <c r="I9" s="13"/>
      <c r="J9" s="35"/>
      <c r="L9" s="35"/>
      <c r="N9" s="35"/>
      <c r="O9" s="14"/>
      <c r="P9" s="27"/>
      <c r="S9" s="31"/>
      <c r="T9" s="13"/>
      <c r="W9" s="31"/>
      <c r="X9" s="13">
        <v>1300</v>
      </c>
      <c r="Y9" s="31">
        <v>2200</v>
      </c>
      <c r="AA9" s="31"/>
      <c r="AB9" s="15"/>
    </row>
    <row r="10" spans="1:28" x14ac:dyDescent="0.25">
      <c r="A10" s="311"/>
      <c r="B10" s="20">
        <v>45701</v>
      </c>
      <c r="C10" s="82" t="s">
        <v>46</v>
      </c>
      <c r="D10" s="27"/>
      <c r="F10" s="35"/>
      <c r="G10">
        <v>6500</v>
      </c>
      <c r="H10" s="31"/>
      <c r="I10" s="13"/>
      <c r="J10" s="35"/>
      <c r="L10" s="35"/>
      <c r="N10" s="35"/>
      <c r="O10" s="14"/>
      <c r="P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N11" s="35"/>
      <c r="O11" s="14"/>
      <c r="P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N12" s="35"/>
      <c r="O12" s="14"/>
      <c r="P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N13" s="35"/>
      <c r="O13" s="14"/>
      <c r="P13" s="27"/>
      <c r="S13" s="31"/>
      <c r="T13" s="13"/>
      <c r="W13" s="31"/>
      <c r="X13" s="13"/>
      <c r="Y13" s="31"/>
      <c r="AA13" s="31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18"/>
      <c r="N14" s="36"/>
      <c r="O14" s="17"/>
      <c r="P14" s="2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32"/>
      <c r="AB14" s="19"/>
    </row>
    <row r="15" spans="1:28" x14ac:dyDescent="0.25">
      <c r="A15" s="310" t="s">
        <v>62</v>
      </c>
      <c r="B15" s="20">
        <v>45698</v>
      </c>
      <c r="C15" s="14" t="s">
        <v>45</v>
      </c>
      <c r="D15" s="27"/>
      <c r="F15" s="35"/>
      <c r="G15">
        <v>3000</v>
      </c>
      <c r="H15" s="31"/>
      <c r="I15" s="13"/>
      <c r="J15" s="35"/>
      <c r="L15" s="35"/>
      <c r="N15" s="35"/>
      <c r="O15" s="14"/>
      <c r="P15" s="27"/>
      <c r="S15" s="31"/>
      <c r="T15" s="13"/>
      <c r="W15" s="31"/>
      <c r="X15" s="13"/>
      <c r="Y15" s="31"/>
      <c r="AA15" s="31"/>
      <c r="AB15" s="15"/>
    </row>
    <row r="16" spans="1:28" x14ac:dyDescent="0.25">
      <c r="A16" s="311"/>
      <c r="B16" s="20">
        <v>45698</v>
      </c>
      <c r="C16" s="14" t="s">
        <v>22</v>
      </c>
      <c r="D16" s="27"/>
      <c r="F16" s="35"/>
      <c r="G16">
        <v>30</v>
      </c>
      <c r="H16" s="31"/>
      <c r="I16" s="13"/>
      <c r="J16" s="35"/>
      <c r="L16" s="35"/>
      <c r="N16" s="35"/>
      <c r="O16" s="14"/>
      <c r="P16" s="27"/>
      <c r="R16">
        <v>125</v>
      </c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45668</v>
      </c>
      <c r="C17" s="14" t="s">
        <v>22</v>
      </c>
      <c r="D17" s="27"/>
      <c r="F17" s="35"/>
      <c r="H17" s="31"/>
      <c r="I17" s="13">
        <f>2000+1000</f>
        <v>3000</v>
      </c>
      <c r="J17" s="35"/>
      <c r="L17" s="35"/>
      <c r="N17" s="35"/>
      <c r="O17" s="14"/>
      <c r="P17" s="27"/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45669</v>
      </c>
      <c r="C18" s="14" t="s">
        <v>45</v>
      </c>
      <c r="D18" s="27"/>
      <c r="F18" s="35"/>
      <c r="G18">
        <v>2000</v>
      </c>
      <c r="H18" s="31"/>
      <c r="I18" s="13"/>
      <c r="J18" s="35"/>
      <c r="L18" s="35"/>
      <c r="N18" s="35"/>
      <c r="O18" s="14"/>
      <c r="P18" s="27"/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>
        <v>45669</v>
      </c>
      <c r="C19" s="14" t="s">
        <v>22</v>
      </c>
      <c r="D19" s="27"/>
      <c r="F19" s="35"/>
      <c r="G19">
        <v>500</v>
      </c>
      <c r="H19" s="31"/>
      <c r="I19" s="13">
        <v>500</v>
      </c>
      <c r="J19" s="35"/>
      <c r="L19" s="35">
        <v>1000</v>
      </c>
      <c r="N19" s="35"/>
      <c r="O19" s="14"/>
      <c r="P19" s="27"/>
      <c r="R19">
        <v>110</v>
      </c>
      <c r="S19" s="31"/>
      <c r="T19" s="13">
        <f>120+150</f>
        <v>270</v>
      </c>
      <c r="W19" s="31"/>
      <c r="X19" s="13">
        <f>300+300</f>
        <v>600</v>
      </c>
      <c r="Y19" s="31"/>
      <c r="AA19" s="31"/>
      <c r="AB19" s="15"/>
    </row>
    <row r="20" spans="1:28" x14ac:dyDescent="0.25">
      <c r="A20" s="311"/>
      <c r="B20" s="20">
        <v>45670</v>
      </c>
      <c r="C20" s="14" t="s">
        <v>22</v>
      </c>
      <c r="D20" s="27"/>
      <c r="F20" s="35"/>
      <c r="G20">
        <f>1000+1000</f>
        <v>2000</v>
      </c>
      <c r="H20" s="31"/>
      <c r="I20" s="13">
        <f>1000+360</f>
        <v>1360</v>
      </c>
      <c r="J20" s="35"/>
      <c r="L20" s="35">
        <v>499</v>
      </c>
      <c r="N20" s="35">
        <v>500</v>
      </c>
      <c r="O20" s="14"/>
      <c r="P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>
        <v>45671</v>
      </c>
      <c r="C21" s="14" t="s">
        <v>22</v>
      </c>
      <c r="D21" s="27"/>
      <c r="F21" s="35"/>
      <c r="H21" s="31"/>
      <c r="I21" s="13"/>
      <c r="J21" s="35"/>
      <c r="L21" s="35"/>
      <c r="N21" s="35">
        <v>500</v>
      </c>
      <c r="O21" s="14"/>
      <c r="P21" s="27"/>
      <c r="R21">
        <v>30</v>
      </c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>
        <v>45672</v>
      </c>
      <c r="C22" s="14" t="s">
        <v>22</v>
      </c>
      <c r="D22" s="27"/>
      <c r="F22" s="35"/>
      <c r="G22">
        <v>1000</v>
      </c>
      <c r="H22" s="31"/>
      <c r="I22" s="13"/>
      <c r="J22" s="35"/>
      <c r="L22" s="35"/>
      <c r="N22" s="35"/>
      <c r="O22" s="14"/>
      <c r="P22" s="27"/>
      <c r="R22">
        <f>150+270</f>
        <v>420</v>
      </c>
      <c r="S22" s="31"/>
      <c r="T22" s="13"/>
      <c r="W22" s="31"/>
      <c r="X22" s="13">
        <v>500</v>
      </c>
      <c r="Y22" s="31">
        <f>400+70</f>
        <v>470</v>
      </c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N23" s="35"/>
      <c r="O23" s="14"/>
      <c r="P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S24" s="31"/>
      <c r="T24" s="13"/>
      <c r="W24" s="31"/>
      <c r="X24" s="13"/>
      <c r="Y24" s="31"/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N25" s="35"/>
      <c r="O25" s="14"/>
      <c r="P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N26" s="35"/>
      <c r="O26" s="14"/>
      <c r="P26" s="27"/>
      <c r="S26" s="31"/>
      <c r="T26" s="13"/>
      <c r="W26" s="31"/>
      <c r="X26" s="13"/>
      <c r="Y26" s="31"/>
      <c r="AA26" s="31"/>
      <c r="AB26" s="15"/>
    </row>
    <row r="27" spans="1:28" ht="15.75" thickBot="1" x14ac:dyDescent="0.3">
      <c r="A27" s="312"/>
      <c r="B27" s="13"/>
      <c r="C27" s="14"/>
      <c r="D27" s="27"/>
      <c r="F27" s="35"/>
      <c r="H27" s="31"/>
      <c r="I27" s="13"/>
      <c r="J27" s="35"/>
      <c r="L27" s="35"/>
      <c r="N27" s="35"/>
      <c r="O27" s="14"/>
      <c r="P27" s="27"/>
      <c r="S27" s="31"/>
      <c r="T27" s="13"/>
      <c r="W27" s="31"/>
      <c r="X27" s="13"/>
      <c r="Y27" s="31"/>
      <c r="AA27" s="31"/>
      <c r="AB27" s="15"/>
    </row>
    <row r="28" spans="1:28" ht="21.75" thickBot="1" x14ac:dyDescent="0.3">
      <c r="A28" s="21" t="s">
        <v>23</v>
      </c>
      <c r="B28" s="22"/>
      <c r="C28" s="23"/>
      <c r="D28" s="29">
        <f t="shared" ref="D28:AB28" si="0">SUM(D4:D14)-SUM(D15:D27)</f>
        <v>4836</v>
      </c>
      <c r="E28" s="22">
        <f t="shared" si="0"/>
        <v>0</v>
      </c>
      <c r="F28" s="37">
        <f t="shared" si="0"/>
        <v>0</v>
      </c>
      <c r="G28" s="24">
        <f t="shared" si="0"/>
        <v>3767</v>
      </c>
      <c r="H28" s="33">
        <f t="shared" si="0"/>
        <v>1012</v>
      </c>
      <c r="I28" s="22">
        <f t="shared" si="0"/>
        <v>6801</v>
      </c>
      <c r="J28" s="37">
        <f t="shared" si="0"/>
        <v>409</v>
      </c>
      <c r="K28" s="24">
        <f t="shared" si="0"/>
        <v>0</v>
      </c>
      <c r="L28" s="37">
        <f t="shared" si="0"/>
        <v>0</v>
      </c>
      <c r="M28" s="24">
        <f t="shared" si="0"/>
        <v>0</v>
      </c>
      <c r="N28" s="37">
        <f t="shared" si="0"/>
        <v>125</v>
      </c>
      <c r="O28" s="23">
        <f t="shared" si="0"/>
        <v>1397</v>
      </c>
      <c r="P28" s="29">
        <f t="shared" si="0"/>
        <v>739</v>
      </c>
      <c r="Q28" s="29">
        <f t="shared" si="0"/>
        <v>251</v>
      </c>
      <c r="R28" s="24">
        <f t="shared" si="0"/>
        <v>627</v>
      </c>
      <c r="S28" s="33">
        <f t="shared" si="0"/>
        <v>272</v>
      </c>
      <c r="T28" s="22">
        <f t="shared" si="0"/>
        <v>1074</v>
      </c>
      <c r="U28" s="22">
        <f t="shared" si="0"/>
        <v>15</v>
      </c>
      <c r="V28" s="22">
        <f t="shared" si="0"/>
        <v>0</v>
      </c>
      <c r="W28" s="33">
        <f t="shared" si="0"/>
        <v>0</v>
      </c>
      <c r="X28" s="22">
        <f t="shared" si="0"/>
        <v>7200</v>
      </c>
      <c r="Y28" s="33">
        <f t="shared" si="0"/>
        <v>1739</v>
      </c>
      <c r="Z28" s="22">
        <f t="shared" si="0"/>
        <v>0</v>
      </c>
      <c r="AA28" s="33">
        <f t="shared" si="0"/>
        <v>0</v>
      </c>
      <c r="AB28" s="25">
        <f t="shared" si="0"/>
        <v>0</v>
      </c>
    </row>
    <row r="30" spans="1:28" x14ac:dyDescent="0.25">
      <c r="D30">
        <f>D28*0.36-(336*0.03)</f>
        <v>1730.88</v>
      </c>
      <c r="E30">
        <f>+E28*0.3</f>
        <v>0</v>
      </c>
      <c r="F30">
        <f>+F28*0.28</f>
        <v>0</v>
      </c>
      <c r="G30">
        <f>+G28*0.33</f>
        <v>1243.1100000000001</v>
      </c>
      <c r="H30">
        <f>+H28*0.4</f>
        <v>404.8</v>
      </c>
      <c r="I30">
        <f>+I28*0.51</f>
        <v>3468.51</v>
      </c>
      <c r="J30">
        <f>+J28*0.54</f>
        <v>220.86</v>
      </c>
      <c r="K30" s="50">
        <f>+K28*0.82</f>
        <v>0</v>
      </c>
      <c r="L30">
        <f>+L28*0.62</f>
        <v>0</v>
      </c>
      <c r="M30">
        <f>+M28*0.66</f>
        <v>0</v>
      </c>
      <c r="N30">
        <f>+N28*0.64</f>
        <v>80</v>
      </c>
      <c r="O30">
        <f>+O28*0.54</f>
        <v>754.38</v>
      </c>
      <c r="P30">
        <f>+P28*2.04</f>
        <v>1507.56</v>
      </c>
      <c r="Q30">
        <f>+Q28*1.57</f>
        <v>394.07</v>
      </c>
      <c r="R30">
        <f>+R28*1.83</f>
        <v>1147.4100000000001</v>
      </c>
      <c r="S30">
        <f>+S28*1.57</f>
        <v>427.04</v>
      </c>
      <c r="T30">
        <f>+T28*1.83-(74*0.02)</f>
        <v>1963.94</v>
      </c>
      <c r="U30">
        <f>+U28*1.85</f>
        <v>27.75</v>
      </c>
      <c r="V30">
        <f>+V28*2.18</f>
        <v>0</v>
      </c>
      <c r="W30">
        <f>+W28*1.8</f>
        <v>0</v>
      </c>
      <c r="X30">
        <f>+X28*0.46</f>
        <v>3312</v>
      </c>
      <c r="Y30">
        <f>+Y28*0.35-(9*0.06)</f>
        <v>608.11</v>
      </c>
      <c r="Z30" s="50">
        <f>+Z28*1.9</f>
        <v>0</v>
      </c>
      <c r="AA30">
        <f>+AA28*0.93</f>
        <v>0</v>
      </c>
      <c r="AB30">
        <f>+AB28*1.5</f>
        <v>0</v>
      </c>
    </row>
    <row r="31" spans="1:28" x14ac:dyDescent="0.25">
      <c r="AB31" s="39">
        <f>SUM(D30:AB30)</f>
        <v>17290.420000000002</v>
      </c>
    </row>
    <row r="33" spans="18:19" ht="15.75" x14ac:dyDescent="0.25">
      <c r="R33">
        <f>112*1.76</f>
        <v>197.12</v>
      </c>
      <c r="S33" s="89"/>
    </row>
    <row r="34" spans="18:19" ht="15.75" x14ac:dyDescent="0.25">
      <c r="R34">
        <f>13*1.83</f>
        <v>23.79</v>
      </c>
      <c r="S34" s="89"/>
    </row>
    <row r="35" spans="18:19" x14ac:dyDescent="0.25">
      <c r="R35">
        <f>SUM(R33:R34)</f>
        <v>220.91</v>
      </c>
      <c r="S35" s="85"/>
    </row>
    <row r="36" spans="18:19" x14ac:dyDescent="0.25">
      <c r="R36">
        <f>R35/125</f>
        <v>1.76728</v>
      </c>
      <c r="S36" s="85"/>
    </row>
    <row r="37" spans="18:19" x14ac:dyDescent="0.25">
      <c r="S37" s="85"/>
    </row>
    <row r="38" spans="18:19" x14ac:dyDescent="0.25">
      <c r="S38" s="85"/>
    </row>
    <row r="39" spans="18:19" x14ac:dyDescent="0.25">
      <c r="S39" s="85"/>
    </row>
    <row r="40" spans="18:19" x14ac:dyDescent="0.25">
      <c r="S40" s="85"/>
    </row>
  </sheetData>
  <mergeCells count="7">
    <mergeCell ref="X2:Y2"/>
    <mergeCell ref="A4:A14"/>
    <mergeCell ref="A15:A27"/>
    <mergeCell ref="D2:H2"/>
    <mergeCell ref="I2:O2"/>
    <mergeCell ref="P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2AF1-678E-4180-BBED-460CEAD990A8}">
  <dimension ref="A1:AC41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34" sqref="H3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2.28515625" customWidth="1"/>
    <col min="14" max="14" width="11.28515625" customWidth="1"/>
    <col min="15" max="15" width="8.42578125" customWidth="1"/>
    <col min="16" max="16" width="8.7109375" bestFit="1" customWidth="1"/>
    <col min="17" max="18" width="8.7109375" customWidth="1"/>
    <col min="19" max="19" width="9.85546875" customWidth="1"/>
    <col min="20" max="20" width="10.85546875" customWidth="1"/>
    <col min="21" max="23" width="10.7109375" customWidth="1"/>
    <col min="24" max="24" width="11.5703125" customWidth="1"/>
    <col min="25" max="25" width="14.42578125" customWidth="1"/>
    <col min="26" max="26" width="9.85546875" customWidth="1"/>
    <col min="27" max="27" width="16.7109375" customWidth="1"/>
    <col min="28" max="28" width="12.28515625" customWidth="1"/>
    <col min="29" max="29" width="12.5703125" customWidth="1"/>
  </cols>
  <sheetData>
    <row r="1" spans="1:29" ht="33" customHeight="1" thickBot="1" x14ac:dyDescent="0.3"/>
    <row r="2" spans="1:29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13"/>
      <c r="T2" s="309"/>
      <c r="U2" s="308" t="s">
        <v>3</v>
      </c>
      <c r="V2" s="313"/>
      <c r="W2" s="313"/>
      <c r="X2" s="309"/>
      <c r="Y2" s="308" t="s">
        <v>4</v>
      </c>
      <c r="Z2" s="309"/>
      <c r="AA2" s="40" t="s">
        <v>47</v>
      </c>
      <c r="AB2" s="40" t="s">
        <v>31</v>
      </c>
      <c r="AC2" s="46" t="s">
        <v>91</v>
      </c>
    </row>
    <row r="3" spans="1:29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8</v>
      </c>
      <c r="P3" s="6" t="s">
        <v>12</v>
      </c>
      <c r="Q3" s="7" t="s">
        <v>87</v>
      </c>
      <c r="R3" s="7" t="s">
        <v>13</v>
      </c>
      <c r="S3" s="7" t="s">
        <v>16</v>
      </c>
      <c r="T3" s="8" t="s">
        <v>8</v>
      </c>
      <c r="U3" s="6" t="s">
        <v>16</v>
      </c>
      <c r="V3" s="7" t="s">
        <v>69</v>
      </c>
      <c r="W3" s="7" t="s">
        <v>12</v>
      </c>
      <c r="X3" s="8" t="s">
        <v>13</v>
      </c>
      <c r="Y3" s="6" t="s">
        <v>17</v>
      </c>
      <c r="Z3" s="8" t="s">
        <v>18</v>
      </c>
      <c r="AA3" s="7" t="s">
        <v>9</v>
      </c>
      <c r="AB3" s="7" t="s">
        <v>77</v>
      </c>
      <c r="AC3" s="10" t="s">
        <v>92</v>
      </c>
    </row>
    <row r="4" spans="1:29" x14ac:dyDescent="0.25">
      <c r="A4" s="310" t="s">
        <v>19</v>
      </c>
      <c r="B4" s="49"/>
      <c r="C4" s="2"/>
      <c r="D4" s="42">
        <f>'STOCK 09a15-02'!D28</f>
        <v>4836</v>
      </c>
      <c r="E4" s="42">
        <f>'STOCK 09a15-02'!E28</f>
        <v>0</v>
      </c>
      <c r="F4" s="42">
        <f>'STOCK 09a15-02'!F28</f>
        <v>0</v>
      </c>
      <c r="G4" s="42">
        <f>'STOCK 09a15-02'!G28</f>
        <v>3767</v>
      </c>
      <c r="H4" s="42">
        <f>'STOCK 09a15-02'!H28</f>
        <v>1012</v>
      </c>
      <c r="I4" s="42">
        <f>'STOCK 09a15-02'!I28</f>
        <v>6801</v>
      </c>
      <c r="J4" s="42">
        <f>'STOCK 09a15-02'!J28</f>
        <v>409</v>
      </c>
      <c r="K4" s="42">
        <f>'STOCK 09a15-02'!K28</f>
        <v>0</v>
      </c>
      <c r="L4" s="42">
        <f>'STOCK 09a15-02'!L28</f>
        <v>0</v>
      </c>
      <c r="M4" s="42">
        <f>'STOCK 09a15-02'!M28</f>
        <v>0</v>
      </c>
      <c r="N4" s="42">
        <f>'STOCK 09a15-02'!N28</f>
        <v>125</v>
      </c>
      <c r="O4" s="42">
        <f>'STOCK 09a15-02'!O28</f>
        <v>1397</v>
      </c>
      <c r="P4" s="42">
        <f>'STOCK 09a15-02'!P28</f>
        <v>739</v>
      </c>
      <c r="Q4" s="42">
        <f>'STOCK 09a15-02'!Q28</f>
        <v>251</v>
      </c>
      <c r="R4" s="42"/>
      <c r="S4" s="42">
        <f>'STOCK 09a15-02'!R28</f>
        <v>627</v>
      </c>
      <c r="T4" s="42">
        <f>'STOCK 09a15-02'!S28</f>
        <v>272</v>
      </c>
      <c r="U4" s="42">
        <f>'STOCK 09a15-02'!T28</f>
        <v>1074</v>
      </c>
      <c r="V4" s="42">
        <f>'STOCK 09a15-02'!U28</f>
        <v>15</v>
      </c>
      <c r="W4" s="42">
        <f>'STOCK 09a15-02'!V28</f>
        <v>0</v>
      </c>
      <c r="X4" s="42">
        <f>'STOCK 09a15-02'!W28</f>
        <v>0</v>
      </c>
      <c r="Y4" s="42">
        <f>'STOCK 09a15-02'!X28</f>
        <v>7200</v>
      </c>
      <c r="Z4" s="42">
        <f>'STOCK 09a15-02'!Y28</f>
        <v>1739</v>
      </c>
      <c r="AA4" s="42">
        <f>'STOCK 09a15-02'!Z28</f>
        <v>0</v>
      </c>
      <c r="AB4" s="42">
        <f>'STOCK 09a15-02'!AA28</f>
        <v>0</v>
      </c>
      <c r="AC4" s="42">
        <f>'STOCK 09a15-02'!AB28</f>
        <v>0</v>
      </c>
    </row>
    <row r="5" spans="1:29" x14ac:dyDescent="0.25">
      <c r="A5" s="311"/>
      <c r="B5" s="20">
        <v>45706</v>
      </c>
      <c r="C5" s="82" t="s">
        <v>46</v>
      </c>
      <c r="D5" s="27"/>
      <c r="F5" s="35"/>
      <c r="G5">
        <v>1000</v>
      </c>
      <c r="H5" s="31"/>
      <c r="I5" s="13"/>
      <c r="J5" s="35"/>
      <c r="L5" s="35"/>
      <c r="N5" s="35"/>
      <c r="O5" s="14">
        <v>2000</v>
      </c>
      <c r="P5" s="27"/>
      <c r="T5" s="31"/>
      <c r="U5" s="13"/>
      <c r="X5" s="31"/>
      <c r="Y5" s="13"/>
      <c r="Z5" s="31"/>
      <c r="AB5" s="31"/>
      <c r="AC5" s="15"/>
    </row>
    <row r="6" spans="1:29" x14ac:dyDescent="0.25">
      <c r="A6" s="311"/>
      <c r="B6" s="20">
        <v>45706</v>
      </c>
      <c r="C6" s="82" t="s">
        <v>27</v>
      </c>
      <c r="D6" s="27"/>
      <c r="F6" s="35"/>
      <c r="H6" s="31"/>
      <c r="I6" s="13"/>
      <c r="J6" s="35"/>
      <c r="L6" s="35"/>
      <c r="N6" s="35"/>
      <c r="O6" s="14"/>
      <c r="P6" s="27"/>
      <c r="S6">
        <v>1200</v>
      </c>
      <c r="T6" s="31"/>
      <c r="U6" s="13"/>
      <c r="X6" s="31"/>
      <c r="Y6" s="13"/>
      <c r="Z6" s="31"/>
      <c r="AB6" s="31"/>
      <c r="AC6" s="15"/>
    </row>
    <row r="7" spans="1:29" x14ac:dyDescent="0.25">
      <c r="A7" s="311"/>
      <c r="B7" s="20">
        <v>45707</v>
      </c>
      <c r="C7" s="82" t="s">
        <v>46</v>
      </c>
      <c r="D7" s="27"/>
      <c r="F7" s="35"/>
      <c r="G7">
        <v>4000</v>
      </c>
      <c r="H7" s="31"/>
      <c r="I7" s="13"/>
      <c r="J7" s="35"/>
      <c r="L7" s="35"/>
      <c r="N7" s="35"/>
      <c r="O7" s="14"/>
      <c r="P7" s="27"/>
      <c r="T7" s="31"/>
      <c r="U7" s="13"/>
      <c r="X7" s="31"/>
      <c r="Y7" s="13"/>
      <c r="Z7" s="31"/>
      <c r="AB7" s="31"/>
      <c r="AC7" s="15"/>
    </row>
    <row r="8" spans="1:29" x14ac:dyDescent="0.25">
      <c r="A8" s="311"/>
      <c r="B8" s="20">
        <v>45708</v>
      </c>
      <c r="C8" s="82" t="s">
        <v>27</v>
      </c>
      <c r="D8" s="27"/>
      <c r="F8" s="35"/>
      <c r="H8" s="31">
        <v>2500</v>
      </c>
      <c r="I8" s="13">
        <v>2500</v>
      </c>
      <c r="J8" s="35"/>
      <c r="L8" s="35"/>
      <c r="N8" s="35"/>
      <c r="O8" s="14"/>
      <c r="P8" s="27"/>
      <c r="R8">
        <v>500</v>
      </c>
      <c r="T8" s="31"/>
      <c r="U8" s="13"/>
      <c r="X8" s="31"/>
      <c r="Y8" s="13"/>
      <c r="Z8" s="31"/>
      <c r="AB8" s="31"/>
      <c r="AC8" s="15"/>
    </row>
    <row r="9" spans="1:29" x14ac:dyDescent="0.25">
      <c r="A9" s="311"/>
      <c r="B9" s="20">
        <v>45709</v>
      </c>
      <c r="C9" s="82" t="s">
        <v>27</v>
      </c>
      <c r="D9" s="27"/>
      <c r="F9" s="35"/>
      <c r="H9" s="31"/>
      <c r="I9" s="13"/>
      <c r="J9" s="35"/>
      <c r="L9" s="35"/>
      <c r="N9" s="35"/>
      <c r="O9" s="14"/>
      <c r="P9" s="27"/>
      <c r="T9" s="31"/>
      <c r="U9" s="13"/>
      <c r="X9" s="31">
        <v>200</v>
      </c>
      <c r="Y9" s="13"/>
      <c r="Z9" s="31"/>
      <c r="AB9" s="31"/>
      <c r="AC9" s="15"/>
    </row>
    <row r="10" spans="1:29" x14ac:dyDescent="0.25">
      <c r="A10" s="311"/>
      <c r="B10" s="20">
        <v>45710</v>
      </c>
      <c r="C10" s="82" t="s">
        <v>27</v>
      </c>
      <c r="D10" s="27"/>
      <c r="F10" s="35"/>
      <c r="H10" s="31"/>
      <c r="I10" s="13"/>
      <c r="J10" s="35"/>
      <c r="L10" s="35">
        <v>3500</v>
      </c>
      <c r="N10" s="35"/>
      <c r="O10" s="14"/>
      <c r="P10" s="27"/>
      <c r="S10">
        <v>1200</v>
      </c>
      <c r="T10" s="31"/>
      <c r="U10" s="13"/>
      <c r="X10" s="31"/>
      <c r="Y10" s="13"/>
      <c r="Z10" s="31"/>
      <c r="AB10" s="31"/>
      <c r="AC10" s="15"/>
    </row>
    <row r="11" spans="1:29" x14ac:dyDescent="0.25">
      <c r="A11" s="311"/>
      <c r="B11" s="20"/>
      <c r="C11" s="82"/>
      <c r="D11" s="27"/>
      <c r="F11" s="35"/>
      <c r="H11" s="31"/>
      <c r="I11" s="13"/>
      <c r="J11" s="35"/>
      <c r="L11" s="35"/>
      <c r="N11" s="35"/>
      <c r="O11" s="14"/>
      <c r="P11" s="27"/>
      <c r="T11" s="31"/>
      <c r="U11" s="13"/>
      <c r="X11" s="31"/>
      <c r="Y11" s="13"/>
      <c r="Z11" s="31"/>
      <c r="AB11" s="31"/>
      <c r="AC11" s="15"/>
    </row>
    <row r="12" spans="1:29" x14ac:dyDescent="0.25">
      <c r="A12" s="311"/>
      <c r="B12" s="20"/>
      <c r="C12" s="14"/>
      <c r="D12" s="27"/>
      <c r="F12" s="35"/>
      <c r="H12" s="31"/>
      <c r="I12" s="13"/>
      <c r="J12" s="35"/>
      <c r="L12" s="35"/>
      <c r="N12" s="35"/>
      <c r="O12" s="14"/>
      <c r="P12" s="27"/>
      <c r="T12" s="31"/>
      <c r="U12" s="13"/>
      <c r="X12" s="31"/>
      <c r="Y12" s="13"/>
      <c r="Z12" s="31"/>
      <c r="AB12" s="31"/>
      <c r="AC12" s="15"/>
    </row>
    <row r="13" spans="1:29" x14ac:dyDescent="0.25">
      <c r="A13" s="311"/>
      <c r="B13" s="20"/>
      <c r="C13" s="14"/>
      <c r="D13" s="27"/>
      <c r="F13" s="35"/>
      <c r="H13" s="31"/>
      <c r="I13" s="13"/>
      <c r="J13" s="35"/>
      <c r="L13" s="35"/>
      <c r="N13" s="35"/>
      <c r="O13" s="14"/>
      <c r="P13" s="27"/>
      <c r="T13" s="31"/>
      <c r="U13" s="13"/>
      <c r="X13" s="31"/>
      <c r="Y13" s="13"/>
      <c r="Z13" s="31"/>
      <c r="AB13" s="31"/>
      <c r="AC13" s="15"/>
    </row>
    <row r="14" spans="1:29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18"/>
      <c r="N14" s="36"/>
      <c r="O14" s="17"/>
      <c r="P14" s="28"/>
      <c r="Q14" s="18"/>
      <c r="R14" s="18"/>
      <c r="S14" s="18"/>
      <c r="T14" s="32"/>
      <c r="U14" s="16"/>
      <c r="V14" s="18"/>
      <c r="W14" s="18"/>
      <c r="X14" s="32"/>
      <c r="Y14" s="16"/>
      <c r="Z14" s="32"/>
      <c r="AA14" s="18"/>
      <c r="AB14" s="32"/>
      <c r="AC14" s="19"/>
    </row>
    <row r="15" spans="1:29" x14ac:dyDescent="0.25">
      <c r="A15" s="310" t="s">
        <v>62</v>
      </c>
      <c r="B15" s="20">
        <v>45705</v>
      </c>
      <c r="C15" s="14" t="s">
        <v>45</v>
      </c>
      <c r="D15" s="27"/>
      <c r="F15" s="35"/>
      <c r="G15">
        <v>4000</v>
      </c>
      <c r="H15" s="31"/>
      <c r="I15" s="13"/>
      <c r="J15" s="35"/>
      <c r="L15" s="35"/>
      <c r="N15" s="35"/>
      <c r="O15" s="14"/>
      <c r="P15" s="27"/>
      <c r="T15" s="31"/>
      <c r="U15" s="13"/>
      <c r="X15" s="31"/>
      <c r="Y15" s="13"/>
      <c r="Z15" s="31"/>
      <c r="AB15" s="31"/>
      <c r="AC15" s="15"/>
    </row>
    <row r="16" spans="1:29" x14ac:dyDescent="0.25">
      <c r="A16" s="311"/>
      <c r="B16" s="20">
        <v>45704</v>
      </c>
      <c r="C16" s="14" t="s">
        <v>22</v>
      </c>
      <c r="D16" s="27"/>
      <c r="F16" s="35"/>
      <c r="H16" s="31"/>
      <c r="I16" s="13"/>
      <c r="J16" s="35"/>
      <c r="L16" s="35"/>
      <c r="N16" s="35"/>
      <c r="O16" s="14"/>
      <c r="P16" s="27"/>
      <c r="T16" s="31"/>
      <c r="U16" s="13"/>
      <c r="X16" s="31"/>
      <c r="Y16" s="13">
        <v>600</v>
      </c>
      <c r="Z16" s="31"/>
      <c r="AB16" s="31"/>
      <c r="AC16" s="15"/>
    </row>
    <row r="17" spans="1:29" x14ac:dyDescent="0.25">
      <c r="A17" s="311"/>
      <c r="B17" s="20">
        <v>45705</v>
      </c>
      <c r="C17" s="14" t="s">
        <v>22</v>
      </c>
      <c r="D17" s="27"/>
      <c r="F17" s="35"/>
      <c r="G17">
        <v>1000</v>
      </c>
      <c r="H17" s="31"/>
      <c r="I17" s="13"/>
      <c r="J17" s="35"/>
      <c r="L17" s="35"/>
      <c r="N17" s="35"/>
      <c r="O17" s="14"/>
      <c r="P17" s="27"/>
      <c r="S17">
        <v>216</v>
      </c>
      <c r="T17" s="31"/>
      <c r="U17" s="13"/>
      <c r="X17" s="31"/>
      <c r="Y17" s="13">
        <v>150</v>
      </c>
      <c r="Z17" s="31"/>
      <c r="AB17" s="31"/>
      <c r="AC17" s="15"/>
    </row>
    <row r="18" spans="1:29" x14ac:dyDescent="0.25">
      <c r="A18" s="311"/>
      <c r="B18" s="20">
        <v>45706</v>
      </c>
      <c r="C18" s="14" t="s">
        <v>22</v>
      </c>
      <c r="D18" s="27"/>
      <c r="F18" s="35"/>
      <c r="H18" s="31"/>
      <c r="I18" s="13">
        <f>500+400+500+2300</f>
        <v>3700</v>
      </c>
      <c r="J18" s="35"/>
      <c r="L18" s="35"/>
      <c r="N18" s="35"/>
      <c r="O18" s="14"/>
      <c r="P18" s="27"/>
      <c r="T18" s="31"/>
      <c r="U18" s="13"/>
      <c r="X18" s="31"/>
      <c r="Y18" s="13">
        <v>500</v>
      </c>
      <c r="Z18" s="31"/>
      <c r="AB18" s="31"/>
      <c r="AC18" s="15"/>
    </row>
    <row r="19" spans="1:29" x14ac:dyDescent="0.25">
      <c r="A19" s="311"/>
      <c r="B19" s="20">
        <v>45707</v>
      </c>
      <c r="C19" s="14" t="s">
        <v>22</v>
      </c>
      <c r="D19" s="27"/>
      <c r="F19" s="35"/>
      <c r="G19">
        <v>200</v>
      </c>
      <c r="H19" s="31"/>
      <c r="I19" s="13">
        <f>500+35+40</f>
        <v>575</v>
      </c>
      <c r="J19" s="35"/>
      <c r="L19" s="35"/>
      <c r="N19" s="35"/>
      <c r="O19" s="14"/>
      <c r="P19" s="27"/>
      <c r="T19" s="31"/>
      <c r="U19" s="13">
        <v>420</v>
      </c>
      <c r="X19" s="31"/>
      <c r="Y19" s="13"/>
      <c r="Z19" s="31"/>
      <c r="AB19" s="31"/>
      <c r="AC19" s="15"/>
    </row>
    <row r="20" spans="1:29" x14ac:dyDescent="0.25">
      <c r="A20" s="311"/>
      <c r="B20" s="20">
        <v>45708</v>
      </c>
      <c r="C20" s="14" t="s">
        <v>45</v>
      </c>
      <c r="D20" s="27"/>
      <c r="F20" s="35"/>
      <c r="G20">
        <v>2000</v>
      </c>
      <c r="H20" s="31"/>
      <c r="I20" s="13"/>
      <c r="J20" s="35"/>
      <c r="L20" s="35"/>
      <c r="N20" s="35"/>
      <c r="O20" s="14"/>
      <c r="P20" s="27"/>
      <c r="Q20">
        <v>234</v>
      </c>
      <c r="T20" s="31">
        <v>266</v>
      </c>
      <c r="U20" s="13"/>
      <c r="X20" s="31"/>
      <c r="Y20" s="13"/>
      <c r="Z20" s="31"/>
      <c r="AB20" s="31"/>
      <c r="AC20" s="15"/>
    </row>
    <row r="21" spans="1:29" x14ac:dyDescent="0.25">
      <c r="A21" s="311"/>
      <c r="B21" s="20">
        <v>45708</v>
      </c>
      <c r="C21" s="14" t="s">
        <v>22</v>
      </c>
      <c r="D21" s="27"/>
      <c r="F21" s="35"/>
      <c r="G21">
        <v>500</v>
      </c>
      <c r="H21" s="31"/>
      <c r="I21" s="13"/>
      <c r="J21" s="35"/>
      <c r="L21" s="35"/>
      <c r="N21" s="35"/>
      <c r="O21" s="14"/>
      <c r="P21" s="27"/>
      <c r="S21">
        <v>25</v>
      </c>
      <c r="T21" s="31"/>
      <c r="U21" s="13"/>
      <c r="X21" s="31"/>
      <c r="Y21" s="13">
        <v>200</v>
      </c>
      <c r="Z21" s="31">
        <v>20</v>
      </c>
      <c r="AB21" s="31"/>
      <c r="AC21" s="15"/>
    </row>
    <row r="22" spans="1:29" x14ac:dyDescent="0.25">
      <c r="A22" s="311"/>
      <c r="B22" s="20">
        <v>45709</v>
      </c>
      <c r="C22" s="14" t="s">
        <v>22</v>
      </c>
      <c r="D22" s="27"/>
      <c r="F22" s="35"/>
      <c r="H22" s="31"/>
      <c r="I22" s="13">
        <v>500</v>
      </c>
      <c r="J22" s="35"/>
      <c r="L22" s="35"/>
      <c r="N22" s="35"/>
      <c r="O22" s="14">
        <f>1000+500+150</f>
        <v>1650</v>
      </c>
      <c r="P22" s="27"/>
      <c r="R22">
        <v>420</v>
      </c>
      <c r="T22" s="31"/>
      <c r="U22" s="13"/>
      <c r="X22" s="31"/>
      <c r="Y22" s="13"/>
      <c r="Z22" s="31">
        <v>400</v>
      </c>
      <c r="AB22" s="31"/>
      <c r="AC22" s="15"/>
    </row>
    <row r="23" spans="1:29" x14ac:dyDescent="0.25">
      <c r="A23" s="311"/>
      <c r="B23" s="20">
        <v>45710</v>
      </c>
      <c r="C23" s="14" t="s">
        <v>22</v>
      </c>
      <c r="D23" s="27"/>
      <c r="F23" s="35"/>
      <c r="G23">
        <v>250</v>
      </c>
      <c r="H23" s="31"/>
      <c r="I23" s="13"/>
      <c r="J23" s="35"/>
      <c r="L23" s="35"/>
      <c r="N23" s="35"/>
      <c r="O23" s="14"/>
      <c r="P23" s="27"/>
      <c r="T23" s="31"/>
      <c r="U23" s="13"/>
      <c r="X23" s="31"/>
      <c r="Y23" s="13"/>
      <c r="Z23" s="31"/>
      <c r="AB23" s="31"/>
      <c r="AC23" s="15"/>
    </row>
    <row r="24" spans="1:29" x14ac:dyDescent="0.25">
      <c r="A24" s="311"/>
      <c r="B24" s="20"/>
      <c r="C24" s="14"/>
      <c r="D24" s="27"/>
      <c r="F24" s="35"/>
      <c r="H24" s="31"/>
      <c r="I24" s="13"/>
      <c r="J24" s="35"/>
      <c r="L24" s="35"/>
      <c r="N24" s="35"/>
      <c r="O24" s="14"/>
      <c r="P24" s="27"/>
      <c r="T24" s="31"/>
      <c r="U24" s="13"/>
      <c r="X24" s="31"/>
      <c r="Y24" s="13"/>
      <c r="Z24" s="31"/>
      <c r="AB24" s="31"/>
      <c r="AC24" s="15"/>
    </row>
    <row r="25" spans="1:29" x14ac:dyDescent="0.25">
      <c r="A25" s="311"/>
      <c r="B25" s="20"/>
      <c r="C25" s="14"/>
      <c r="D25" s="27"/>
      <c r="F25" s="35"/>
      <c r="H25" s="31"/>
      <c r="I25" s="13"/>
      <c r="J25" s="35"/>
      <c r="L25" s="35"/>
      <c r="N25" s="35"/>
      <c r="O25" s="14"/>
      <c r="P25" s="27"/>
      <c r="T25" s="31"/>
      <c r="U25" s="13"/>
      <c r="X25" s="31"/>
      <c r="Y25" s="13"/>
      <c r="Z25" s="31"/>
      <c r="AB25" s="31"/>
      <c r="AC25" s="15"/>
    </row>
    <row r="26" spans="1:29" x14ac:dyDescent="0.25">
      <c r="A26" s="311"/>
      <c r="B26" s="20"/>
      <c r="C26" s="14"/>
      <c r="D26" s="27"/>
      <c r="F26" s="35"/>
      <c r="H26" s="31"/>
      <c r="I26" s="13"/>
      <c r="J26" s="35"/>
      <c r="L26" s="35"/>
      <c r="N26" s="35"/>
      <c r="O26" s="14"/>
      <c r="P26" s="27"/>
      <c r="T26" s="31"/>
      <c r="U26" s="13"/>
      <c r="X26" s="31"/>
      <c r="Y26" s="13"/>
      <c r="Z26" s="31"/>
      <c r="AB26" s="31"/>
      <c r="AC26" s="15"/>
    </row>
    <row r="27" spans="1:29" x14ac:dyDescent="0.25">
      <c r="A27" s="311"/>
      <c r="B27" s="20"/>
      <c r="C27" s="14" t="s">
        <v>73</v>
      </c>
      <c r="D27" s="27"/>
      <c r="F27" s="35"/>
      <c r="H27" s="31"/>
      <c r="I27" s="13"/>
      <c r="J27" s="35"/>
      <c r="L27" s="35"/>
      <c r="N27" s="35"/>
      <c r="O27" s="14"/>
      <c r="P27" s="27"/>
      <c r="Q27">
        <v>17</v>
      </c>
      <c r="T27" s="31"/>
      <c r="U27" s="13"/>
      <c r="X27" s="31"/>
      <c r="Y27" s="13"/>
      <c r="Z27" s="31"/>
      <c r="AB27" s="31"/>
      <c r="AC27" s="15"/>
    </row>
    <row r="28" spans="1:29" ht="15.75" thickBot="1" x14ac:dyDescent="0.3">
      <c r="A28" s="312"/>
      <c r="B28" s="13"/>
      <c r="C28" s="14"/>
      <c r="D28" s="27"/>
      <c r="F28" s="35"/>
      <c r="H28" s="31"/>
      <c r="I28" s="13"/>
      <c r="J28" s="35"/>
      <c r="L28" s="35"/>
      <c r="N28" s="35"/>
      <c r="O28" s="14"/>
      <c r="P28" s="27"/>
      <c r="T28" s="31"/>
      <c r="U28" s="13"/>
      <c r="X28" s="31"/>
      <c r="Y28" s="13"/>
      <c r="Z28" s="31"/>
      <c r="AB28" s="31"/>
      <c r="AC28" s="15"/>
    </row>
    <row r="29" spans="1:29" ht="21.75" thickBot="1" x14ac:dyDescent="0.3">
      <c r="A29" s="21" t="s">
        <v>23</v>
      </c>
      <c r="B29" s="22"/>
      <c r="C29" s="23"/>
      <c r="D29" s="29">
        <f t="shared" ref="D29:AC29" si="0">SUM(D4:D14)-SUM(D15:D28)</f>
        <v>4836</v>
      </c>
      <c r="E29" s="22">
        <f t="shared" si="0"/>
        <v>0</v>
      </c>
      <c r="F29" s="37">
        <f t="shared" si="0"/>
        <v>0</v>
      </c>
      <c r="G29" s="24">
        <f t="shared" si="0"/>
        <v>817</v>
      </c>
      <c r="H29" s="33">
        <f t="shared" si="0"/>
        <v>3512</v>
      </c>
      <c r="I29" s="22">
        <f t="shared" si="0"/>
        <v>4526</v>
      </c>
      <c r="J29" s="37">
        <f t="shared" si="0"/>
        <v>409</v>
      </c>
      <c r="K29" s="24">
        <f t="shared" si="0"/>
        <v>0</v>
      </c>
      <c r="L29" s="37">
        <f t="shared" si="0"/>
        <v>3500</v>
      </c>
      <c r="M29" s="24">
        <f t="shared" si="0"/>
        <v>0</v>
      </c>
      <c r="N29" s="37">
        <f t="shared" si="0"/>
        <v>125</v>
      </c>
      <c r="O29" s="23">
        <f t="shared" si="0"/>
        <v>1747</v>
      </c>
      <c r="P29" s="29">
        <f t="shared" si="0"/>
        <v>739</v>
      </c>
      <c r="Q29" s="29">
        <f t="shared" si="0"/>
        <v>0</v>
      </c>
      <c r="R29" s="29">
        <f t="shared" si="0"/>
        <v>80</v>
      </c>
      <c r="S29" s="24">
        <f t="shared" si="0"/>
        <v>2786</v>
      </c>
      <c r="T29" s="33">
        <f t="shared" si="0"/>
        <v>6</v>
      </c>
      <c r="U29" s="22">
        <f t="shared" si="0"/>
        <v>654</v>
      </c>
      <c r="V29" s="22">
        <f t="shared" si="0"/>
        <v>15</v>
      </c>
      <c r="W29" s="22">
        <f t="shared" si="0"/>
        <v>0</v>
      </c>
      <c r="X29" s="33">
        <f t="shared" si="0"/>
        <v>200</v>
      </c>
      <c r="Y29" s="22">
        <f t="shared" si="0"/>
        <v>5750</v>
      </c>
      <c r="Z29" s="33">
        <f t="shared" si="0"/>
        <v>1319</v>
      </c>
      <c r="AA29" s="22">
        <f t="shared" si="0"/>
        <v>0</v>
      </c>
      <c r="AB29" s="33">
        <f t="shared" si="0"/>
        <v>0</v>
      </c>
      <c r="AC29" s="25">
        <f t="shared" si="0"/>
        <v>0</v>
      </c>
    </row>
    <row r="31" spans="1:29" x14ac:dyDescent="0.25">
      <c r="D31">
        <f>D29*0.36-(336*0.03)</f>
        <v>1730.88</v>
      </c>
      <c r="E31">
        <f>+E29*0.3</f>
        <v>0</v>
      </c>
      <c r="F31">
        <f>+F29*0.28</f>
        <v>0</v>
      </c>
      <c r="G31">
        <f>+G29*0.335</f>
        <v>273.69499999999999</v>
      </c>
      <c r="H31">
        <f>+H29*0.4</f>
        <v>1404.8000000000002</v>
      </c>
      <c r="I31">
        <f>+I29*0.52-(2026*0.01)</f>
        <v>2333.2599999999998</v>
      </c>
      <c r="J31">
        <f>+J29*0.54</f>
        <v>220.86</v>
      </c>
      <c r="K31" s="50">
        <f>+K29*0.82</f>
        <v>0</v>
      </c>
      <c r="L31">
        <f>+L29*0.62</f>
        <v>2170</v>
      </c>
      <c r="M31">
        <f>+M29*0.66</f>
        <v>0</v>
      </c>
      <c r="N31">
        <f>+N29*0.64</f>
        <v>80</v>
      </c>
      <c r="O31">
        <f>+O29*0.57</f>
        <v>995.79</v>
      </c>
      <c r="P31">
        <f>+P29*2.04</f>
        <v>1507.56</v>
      </c>
      <c r="Q31">
        <f>+Q29*1.57</f>
        <v>0</v>
      </c>
      <c r="R31">
        <f>R29*1.8</f>
        <v>144</v>
      </c>
      <c r="S31">
        <f>+S29*1.83</f>
        <v>5098.38</v>
      </c>
      <c r="T31">
        <f>+T29*1.57</f>
        <v>9.42</v>
      </c>
      <c r="U31">
        <f>+U29*1.83</f>
        <v>1196.82</v>
      </c>
      <c r="V31">
        <f>+V29*1.85</f>
        <v>27.75</v>
      </c>
      <c r="W31">
        <f>+W29*2.18</f>
        <v>0</v>
      </c>
      <c r="X31">
        <f>+X29*1.9</f>
        <v>380</v>
      </c>
      <c r="Y31">
        <f>+Y29*0.46</f>
        <v>2645</v>
      </c>
      <c r="Z31">
        <f>+Z29*0.35-(9*0.06)</f>
        <v>461.10999999999996</v>
      </c>
      <c r="AA31" s="50">
        <f>+AA29*1.9</f>
        <v>0</v>
      </c>
      <c r="AB31">
        <f>+AB29*0.93</f>
        <v>0</v>
      </c>
      <c r="AC31">
        <f>+AC29*1.5</f>
        <v>0</v>
      </c>
    </row>
    <row r="32" spans="1:29" x14ac:dyDescent="0.25">
      <c r="AC32" s="39">
        <f>SUM(D31:AC31)</f>
        <v>20679.325000000001</v>
      </c>
    </row>
    <row r="34" spans="19:20" ht="15.75" x14ac:dyDescent="0.25">
      <c r="S34">
        <f>112*1.76</f>
        <v>197.12</v>
      </c>
      <c r="T34" s="89"/>
    </row>
    <row r="35" spans="19:20" ht="15.75" x14ac:dyDescent="0.25">
      <c r="S35">
        <f>13*1.83</f>
        <v>23.79</v>
      </c>
      <c r="T35" s="89"/>
    </row>
    <row r="36" spans="19:20" x14ac:dyDescent="0.25">
      <c r="S36">
        <f>SUM(S34:S35)</f>
        <v>220.91</v>
      </c>
      <c r="T36" s="85"/>
    </row>
    <row r="37" spans="19:20" x14ac:dyDescent="0.25">
      <c r="S37">
        <f>S36/125</f>
        <v>1.76728</v>
      </c>
      <c r="T37" s="85"/>
    </row>
    <row r="38" spans="19:20" x14ac:dyDescent="0.25">
      <c r="T38" s="85"/>
    </row>
    <row r="39" spans="19:20" x14ac:dyDescent="0.25">
      <c r="T39" s="85"/>
    </row>
    <row r="40" spans="19:20" x14ac:dyDescent="0.25">
      <c r="T40" s="85"/>
    </row>
    <row r="41" spans="19:20" x14ac:dyDescent="0.25">
      <c r="T41" s="85"/>
    </row>
  </sheetData>
  <mergeCells count="7">
    <mergeCell ref="Y2:Z2"/>
    <mergeCell ref="A4:A14"/>
    <mergeCell ref="A15:A28"/>
    <mergeCell ref="D2:H2"/>
    <mergeCell ref="I2:O2"/>
    <mergeCell ref="P2:T2"/>
    <mergeCell ref="U2:X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F778-149A-4C75-873F-AB2C0D7FC17B}">
  <dimension ref="A1:AB51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32" sqref="G32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16a22-02'!D29</f>
        <v>4836</v>
      </c>
      <c r="E4" s="42">
        <f>'STOCK 16a22-02'!E29</f>
        <v>0</v>
      </c>
      <c r="F4" s="42">
        <f>'STOCK 16a22-02'!F29</f>
        <v>0</v>
      </c>
      <c r="G4" s="42">
        <f>'STOCK 16a22-02'!G29</f>
        <v>817</v>
      </c>
      <c r="H4" s="42">
        <f>'STOCK 16a22-02'!H29</f>
        <v>3512</v>
      </c>
      <c r="I4" s="42">
        <f>'STOCK 16a22-02'!I29</f>
        <v>4526</v>
      </c>
      <c r="J4" s="42">
        <f>'STOCK 16a22-02'!J29</f>
        <v>409</v>
      </c>
      <c r="K4" s="42">
        <f>'STOCK 16a22-02'!K29</f>
        <v>0</v>
      </c>
      <c r="L4" s="42">
        <f>'STOCK 16a22-02'!L29</f>
        <v>3500</v>
      </c>
      <c r="M4" s="42">
        <f>'STOCK 16a22-02'!N29</f>
        <v>125</v>
      </c>
      <c r="N4" s="42">
        <f>'STOCK 16a22-02'!O29</f>
        <v>1747</v>
      </c>
      <c r="O4" s="42">
        <f>'STOCK 16a22-02'!P29</f>
        <v>739</v>
      </c>
      <c r="P4" s="42">
        <f>'STOCK 16a22-02'!Q29</f>
        <v>0</v>
      </c>
      <c r="Q4" s="42">
        <f>'STOCK 16a22-02'!R29</f>
        <v>80</v>
      </c>
      <c r="R4" s="42">
        <f>'STOCK 16a22-02'!S29</f>
        <v>2786</v>
      </c>
      <c r="S4" s="42">
        <f>'STOCK 16a22-02'!T29</f>
        <v>6</v>
      </c>
      <c r="T4" s="42">
        <f>'STOCK 16a22-02'!U29</f>
        <v>654</v>
      </c>
      <c r="U4" s="42">
        <f>'STOCK 16a22-02'!V29</f>
        <v>15</v>
      </c>
      <c r="V4" s="42">
        <f>'STOCK 16a22-02'!W29</f>
        <v>0</v>
      </c>
      <c r="W4" s="42">
        <f>'STOCK 16a22-02'!X29</f>
        <v>200</v>
      </c>
      <c r="X4" s="42">
        <f>'STOCK 16a22-02'!Y29</f>
        <v>5750</v>
      </c>
      <c r="Y4" s="42">
        <f>'STOCK 16a22-02'!Z29</f>
        <v>1319</v>
      </c>
      <c r="Z4" s="42">
        <f>'STOCK 16a22-02'!AA29</f>
        <v>0</v>
      </c>
      <c r="AA4" s="42">
        <f>'STOCK 16a22-02'!AB29</f>
        <v>0</v>
      </c>
      <c r="AB4" s="42">
        <f>'STOCK 16a22-02'!AC29</f>
        <v>0</v>
      </c>
    </row>
    <row r="5" spans="1:28" x14ac:dyDescent="0.25">
      <c r="A5" s="311"/>
      <c r="B5" s="20">
        <v>45712</v>
      </c>
      <c r="C5" s="82" t="s">
        <v>46</v>
      </c>
      <c r="D5" s="27"/>
      <c r="F5" s="35"/>
      <c r="H5" s="31"/>
      <c r="I5" s="13"/>
      <c r="J5" s="35"/>
      <c r="L5" s="35"/>
      <c r="M5" s="35"/>
      <c r="N5" s="14">
        <v>2000</v>
      </c>
      <c r="O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45714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R6">
        <v>350</v>
      </c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45714</v>
      </c>
      <c r="C7" s="82" t="s">
        <v>46</v>
      </c>
      <c r="D7" s="27">
        <v>4000</v>
      </c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45716</v>
      </c>
      <c r="C8" s="82" t="s">
        <v>46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>
        <v>220</v>
      </c>
      <c r="W8" s="31"/>
      <c r="X8" s="13"/>
      <c r="Y8" s="31"/>
      <c r="AA8" s="31"/>
      <c r="AB8" s="15"/>
    </row>
    <row r="9" spans="1:28" x14ac:dyDescent="0.25">
      <c r="A9" s="311"/>
      <c r="B9" s="20">
        <v>45712</v>
      </c>
      <c r="C9" s="82" t="s">
        <v>99</v>
      </c>
      <c r="D9" s="27"/>
      <c r="F9" s="35"/>
      <c r="H9" s="31"/>
      <c r="I9" s="13">
        <v>8000</v>
      </c>
      <c r="J9" s="35"/>
      <c r="L9" s="35"/>
      <c r="M9" s="35"/>
      <c r="N9" s="14"/>
      <c r="O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>
        <v>45716</v>
      </c>
      <c r="C10" s="82" t="s">
        <v>46</v>
      </c>
      <c r="D10" s="27"/>
      <c r="F10" s="35"/>
      <c r="H10" s="31"/>
      <c r="I10" s="13">
        <v>3000</v>
      </c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>
        <v>45716</v>
      </c>
      <c r="C11" s="82" t="s">
        <v>27</v>
      </c>
      <c r="D11" s="27"/>
      <c r="F11" s="35"/>
      <c r="H11" s="31"/>
      <c r="I11" s="13"/>
      <c r="J11" s="35"/>
      <c r="L11" s="35"/>
      <c r="M11" s="35"/>
      <c r="N11" s="14"/>
      <c r="O11" s="27"/>
      <c r="P11">
        <v>1200</v>
      </c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>
        <v>1000</v>
      </c>
      <c r="W12" s="31"/>
      <c r="X12" s="13"/>
      <c r="Y12" s="31"/>
      <c r="AA12" s="31"/>
      <c r="AB12" s="15"/>
    </row>
    <row r="13" spans="1:28" x14ac:dyDescent="0.25">
      <c r="A13" s="311"/>
      <c r="B13" s="20">
        <v>45717</v>
      </c>
      <c r="C13" s="14" t="s">
        <v>27</v>
      </c>
      <c r="D13" s="27">
        <v>6000</v>
      </c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 t="s">
        <v>59</v>
      </c>
      <c r="C14" s="14"/>
      <c r="D14" s="27"/>
      <c r="F14" s="35"/>
      <c r="G14">
        <v>1000</v>
      </c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31"/>
      <c r="AB14" s="15"/>
    </row>
    <row r="15" spans="1:28" ht="15.75" thickBot="1" x14ac:dyDescent="0.3">
      <c r="A15" s="312"/>
      <c r="B15" s="72"/>
      <c r="C15" s="17"/>
      <c r="D15" s="28"/>
      <c r="E15" s="18"/>
      <c r="F15" s="36"/>
      <c r="G15" s="18"/>
      <c r="H15" s="32"/>
      <c r="I15" s="16"/>
      <c r="J15" s="36"/>
      <c r="K15" s="18"/>
      <c r="L15" s="36"/>
      <c r="M15" s="36"/>
      <c r="N15" s="17"/>
      <c r="O15" s="28"/>
      <c r="P15" s="18"/>
      <c r="Q15" s="18"/>
      <c r="R15" s="18"/>
      <c r="S15" s="32"/>
      <c r="T15" s="16"/>
      <c r="U15" s="18"/>
      <c r="V15" s="18"/>
      <c r="W15" s="32"/>
      <c r="X15" s="16"/>
      <c r="Y15" s="32"/>
      <c r="Z15" s="18"/>
      <c r="AA15" s="32"/>
      <c r="AB15" s="19"/>
    </row>
    <row r="16" spans="1:28" x14ac:dyDescent="0.25">
      <c r="A16" s="310" t="s">
        <v>62</v>
      </c>
      <c r="B16" s="20"/>
      <c r="C16" s="14"/>
      <c r="D16" s="27"/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45712</v>
      </c>
      <c r="C17" s="14" t="s">
        <v>45</v>
      </c>
      <c r="D17" s="27"/>
      <c r="F17" s="35"/>
      <c r="G17">
        <v>1500</v>
      </c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45712</v>
      </c>
      <c r="C18" s="14" t="s">
        <v>22</v>
      </c>
      <c r="D18" s="27"/>
      <c r="F18" s="35"/>
      <c r="G18">
        <v>2000</v>
      </c>
      <c r="H18" s="31"/>
      <c r="I18" s="13"/>
      <c r="J18" s="35"/>
      <c r="L18" s="35"/>
      <c r="M18" s="35"/>
      <c r="N18" s="14">
        <v>1000</v>
      </c>
      <c r="O18" s="27"/>
      <c r="R18">
        <f>400+400</f>
        <v>800</v>
      </c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>
        <v>45713</v>
      </c>
      <c r="C19" s="14" t="s">
        <v>22</v>
      </c>
      <c r="D19" s="27">
        <f>300+2000</f>
        <v>2300</v>
      </c>
      <c r="F19" s="35"/>
      <c r="G19">
        <v>290</v>
      </c>
      <c r="H19" s="31"/>
      <c r="I19" s="13">
        <v>100</v>
      </c>
      <c r="J19" s="35"/>
      <c r="L19" s="35"/>
      <c r="M19" s="35"/>
      <c r="N19" s="14"/>
      <c r="O19" s="27"/>
      <c r="R19">
        <v>220</v>
      </c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>
        <v>45714</v>
      </c>
      <c r="C20" s="14" t="s">
        <v>22</v>
      </c>
      <c r="D20" s="83">
        <v>2000</v>
      </c>
      <c r="F20" s="35"/>
      <c r="H20" s="31">
        <v>2000</v>
      </c>
      <c r="I20" s="13">
        <v>36</v>
      </c>
      <c r="J20" s="35"/>
      <c r="L20" s="35"/>
      <c r="M20" s="35"/>
      <c r="N20" s="14">
        <v>100</v>
      </c>
      <c r="O20" s="27"/>
      <c r="R20">
        <v>5</v>
      </c>
      <c r="S20" s="31"/>
      <c r="T20" s="13"/>
      <c r="W20" s="31"/>
      <c r="X20" s="13">
        <v>500</v>
      </c>
      <c r="Y20" s="31"/>
      <c r="AA20" s="31"/>
      <c r="AB20" s="15"/>
    </row>
    <row r="21" spans="1:28" x14ac:dyDescent="0.25">
      <c r="A21" s="311"/>
      <c r="B21" s="20">
        <v>45715</v>
      </c>
      <c r="C21" s="14" t="s">
        <v>22</v>
      </c>
      <c r="D21" s="27"/>
      <c r="F21" s="35"/>
      <c r="H21" s="31"/>
      <c r="I21" s="13">
        <f>1000+3000</f>
        <v>4000</v>
      </c>
      <c r="J21" s="35"/>
      <c r="L21" s="35"/>
      <c r="M21" s="35"/>
      <c r="N21" s="14"/>
      <c r="O21" s="27"/>
      <c r="S21" s="31"/>
      <c r="T21" s="13">
        <v>80</v>
      </c>
      <c r="W21" s="31"/>
      <c r="X21" s="13"/>
      <c r="Y21" s="31"/>
      <c r="AA21" s="31"/>
      <c r="AB21" s="15"/>
    </row>
    <row r="22" spans="1:28" x14ac:dyDescent="0.25">
      <c r="A22" s="311"/>
      <c r="B22" s="20">
        <v>45716</v>
      </c>
      <c r="C22" s="14" t="s">
        <v>22</v>
      </c>
      <c r="D22" s="27">
        <f>1000+1500+300</f>
        <v>2800</v>
      </c>
      <c r="F22" s="35"/>
      <c r="H22" s="31"/>
      <c r="I22" s="13">
        <v>1000</v>
      </c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>
        <v>45717</v>
      </c>
      <c r="C23" s="14" t="s">
        <v>45</v>
      </c>
      <c r="D23" s="27"/>
      <c r="F23" s="35"/>
      <c r="H23" s="31"/>
      <c r="I23" s="13"/>
      <c r="J23" s="35"/>
      <c r="L23" s="35">
        <v>3500</v>
      </c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>
        <v>45717</v>
      </c>
      <c r="C24" s="14" t="s">
        <v>22</v>
      </c>
      <c r="D24" s="27">
        <f>1000+185</f>
        <v>1185</v>
      </c>
      <c r="F24" s="35"/>
      <c r="H24" s="31">
        <v>6</v>
      </c>
      <c r="I24" s="13"/>
      <c r="J24" s="35"/>
      <c r="L24" s="35"/>
      <c r="M24" s="35"/>
      <c r="N24" s="14"/>
      <c r="O24" s="27"/>
      <c r="S24" s="31"/>
      <c r="T24" s="13">
        <f>300+20</f>
        <v>320</v>
      </c>
      <c r="W24" s="31"/>
      <c r="X24" s="13"/>
      <c r="Y24" s="31"/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31"/>
      <c r="AB26" s="15"/>
    </row>
    <row r="27" spans="1:28" x14ac:dyDescent="0.25">
      <c r="A27" s="311"/>
      <c r="B27" s="20"/>
      <c r="C27" s="14"/>
      <c r="D27" s="27"/>
      <c r="F27" s="35"/>
      <c r="H27" s="31"/>
      <c r="I27" s="13"/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31"/>
      <c r="AB27" s="15"/>
    </row>
    <row r="28" spans="1:28" x14ac:dyDescent="0.25">
      <c r="A28" s="311"/>
      <c r="B28" s="20" t="s">
        <v>59</v>
      </c>
      <c r="C28" s="14"/>
      <c r="D28" s="27"/>
      <c r="F28" s="35"/>
      <c r="H28" s="31">
        <v>1000</v>
      </c>
      <c r="I28" s="13"/>
      <c r="J28" s="35"/>
      <c r="L28" s="35"/>
      <c r="M28" s="35"/>
      <c r="N28" s="14"/>
      <c r="O28" s="27"/>
      <c r="S28" s="31"/>
      <c r="T28" s="13"/>
      <c r="W28" s="31"/>
      <c r="X28" s="13"/>
      <c r="Y28" s="31"/>
      <c r="AA28" s="31"/>
      <c r="AB28" s="15"/>
    </row>
    <row r="29" spans="1:28" ht="15.75" thickBot="1" x14ac:dyDescent="0.3">
      <c r="A29" s="312"/>
      <c r="B29" s="13"/>
      <c r="C29" s="14"/>
      <c r="D29" s="27"/>
      <c r="F29" s="35"/>
      <c r="H29" s="31"/>
      <c r="I29" s="13"/>
      <c r="J29" s="35"/>
      <c r="L29" s="35"/>
      <c r="M29" s="35"/>
      <c r="N29" s="14"/>
      <c r="O29" s="27"/>
      <c r="S29" s="31"/>
      <c r="T29" s="13"/>
      <c r="W29" s="31"/>
      <c r="X29" s="13"/>
      <c r="Y29" s="31"/>
      <c r="AA29" s="31"/>
      <c r="AB29" s="15"/>
    </row>
    <row r="30" spans="1:28" ht="21.75" thickBot="1" x14ac:dyDescent="0.3">
      <c r="A30" s="21" t="s">
        <v>23</v>
      </c>
      <c r="B30" s="22"/>
      <c r="C30" s="23"/>
      <c r="D30" s="29">
        <f t="shared" ref="D30:AB30" si="0">SUM(D4:D15)-SUM(D16:D29)</f>
        <v>6551</v>
      </c>
      <c r="E30" s="22">
        <f t="shared" si="0"/>
        <v>0</v>
      </c>
      <c r="F30" s="37">
        <f t="shared" si="0"/>
        <v>0</v>
      </c>
      <c r="G30" s="24">
        <f t="shared" si="0"/>
        <v>-1973</v>
      </c>
      <c r="H30" s="33">
        <f t="shared" si="0"/>
        <v>506</v>
      </c>
      <c r="I30" s="22">
        <f t="shared" si="0"/>
        <v>10390</v>
      </c>
      <c r="J30" s="37">
        <f t="shared" si="0"/>
        <v>409</v>
      </c>
      <c r="K30" s="24">
        <f t="shared" si="0"/>
        <v>0</v>
      </c>
      <c r="L30" s="37">
        <f t="shared" si="0"/>
        <v>0</v>
      </c>
      <c r="M30" s="37">
        <f t="shared" si="0"/>
        <v>125</v>
      </c>
      <c r="N30" s="23">
        <f t="shared" si="0"/>
        <v>2647</v>
      </c>
      <c r="O30" s="29">
        <f t="shared" si="0"/>
        <v>739</v>
      </c>
      <c r="P30" s="29">
        <f t="shared" si="0"/>
        <v>1200</v>
      </c>
      <c r="Q30" s="29">
        <f t="shared" si="0"/>
        <v>80</v>
      </c>
      <c r="R30" s="24">
        <f t="shared" si="0"/>
        <v>2111</v>
      </c>
      <c r="S30" s="33">
        <f t="shared" si="0"/>
        <v>6</v>
      </c>
      <c r="T30" s="22">
        <f t="shared" si="0"/>
        <v>1474</v>
      </c>
      <c r="U30" s="22">
        <f t="shared" si="0"/>
        <v>15</v>
      </c>
      <c r="V30" s="22">
        <f t="shared" si="0"/>
        <v>0</v>
      </c>
      <c r="W30" s="33">
        <f t="shared" si="0"/>
        <v>200</v>
      </c>
      <c r="X30" s="22">
        <f t="shared" si="0"/>
        <v>5250</v>
      </c>
      <c r="Y30" s="33">
        <f t="shared" si="0"/>
        <v>1319</v>
      </c>
      <c r="Z30" s="22">
        <f t="shared" si="0"/>
        <v>0</v>
      </c>
      <c r="AA30" s="33">
        <f t="shared" si="0"/>
        <v>0</v>
      </c>
      <c r="AB30" s="25">
        <f t="shared" si="0"/>
        <v>0</v>
      </c>
    </row>
    <row r="32" spans="1:28" x14ac:dyDescent="0.25">
      <c r="D32">
        <f>D30*0.37</f>
        <v>2423.87</v>
      </c>
      <c r="E32">
        <f>+E30*0.3</f>
        <v>0</v>
      </c>
      <c r="F32">
        <f>+F30*0.28</f>
        <v>0</v>
      </c>
      <c r="G32">
        <f>+G30*0.335</f>
        <v>-660.95500000000004</v>
      </c>
      <c r="H32">
        <f>+H30*0.4</f>
        <v>202.4</v>
      </c>
      <c r="I32">
        <f>+I30*0.55</f>
        <v>5714.5000000000009</v>
      </c>
      <c r="J32">
        <f>+J30*0.54</f>
        <v>220.86</v>
      </c>
      <c r="K32" s="50">
        <f>+K30*0.82</f>
        <v>0</v>
      </c>
      <c r="L32">
        <f>+L30*0.62</f>
        <v>0</v>
      </c>
      <c r="M32">
        <f>+M30*0.64</f>
        <v>80</v>
      </c>
      <c r="N32">
        <f>+N30*0.57</f>
        <v>1508.79</v>
      </c>
      <c r="O32">
        <f>+O30*2.04</f>
        <v>1507.56</v>
      </c>
      <c r="P32">
        <f>+P30*1.575</f>
        <v>1890</v>
      </c>
      <c r="Q32">
        <f>Q30*1.8</f>
        <v>144</v>
      </c>
      <c r="R32">
        <f>+R30*1.83</f>
        <v>3863.13</v>
      </c>
      <c r="S32">
        <f>+S30*1.57</f>
        <v>9.42</v>
      </c>
      <c r="T32">
        <f>+T30*1.88-(254*0.05)</f>
        <v>2758.42</v>
      </c>
      <c r="U32">
        <f>+U30*1.85</f>
        <v>27.75</v>
      </c>
      <c r="V32">
        <f>+V30*2.18</f>
        <v>0</v>
      </c>
      <c r="W32">
        <f>+W30*1.9</f>
        <v>380</v>
      </c>
      <c r="X32">
        <f>+X30*0.46</f>
        <v>2415</v>
      </c>
      <c r="Y32">
        <f>+Y30*0.35-(9*0.06)</f>
        <v>461.10999999999996</v>
      </c>
      <c r="Z32" s="50">
        <f>+Z30*1.9</f>
        <v>0</v>
      </c>
      <c r="AA32">
        <f>+AA30*0.93</f>
        <v>0</v>
      </c>
      <c r="AB32">
        <f>+AB30*1.5</f>
        <v>0</v>
      </c>
    </row>
    <row r="33" spans="4:28" x14ac:dyDescent="0.25">
      <c r="AB33" s="39">
        <f>SUM(D32:AB32)</f>
        <v>22945.854999999996</v>
      </c>
    </row>
    <row r="35" spans="4:28" ht="15.75" x14ac:dyDescent="0.25">
      <c r="D35">
        <f>36*0.33</f>
        <v>11.88</v>
      </c>
      <c r="R35">
        <f>112*1.76</f>
        <v>197.12</v>
      </c>
      <c r="S35" s="89"/>
    </row>
    <row r="36" spans="4:28" ht="15.75" x14ac:dyDescent="0.25">
      <c r="D36">
        <f>1964*0.36</f>
        <v>707.04</v>
      </c>
      <c r="R36">
        <f>13*1.83</f>
        <v>23.79</v>
      </c>
      <c r="S36" s="89"/>
    </row>
    <row r="37" spans="4:28" x14ac:dyDescent="0.25">
      <c r="D37">
        <f>+D35+D36</f>
        <v>718.92</v>
      </c>
      <c r="R37">
        <f>SUM(R35:R36)</f>
        <v>220.91</v>
      </c>
      <c r="S37" s="85"/>
    </row>
    <row r="38" spans="4:28" x14ac:dyDescent="0.25">
      <c r="D38">
        <f>D37/2000</f>
        <v>0.35946</v>
      </c>
      <c r="R38">
        <f>R37/125</f>
        <v>1.76728</v>
      </c>
      <c r="S38" s="85"/>
    </row>
    <row r="39" spans="4:28" x14ac:dyDescent="0.25">
      <c r="S39" s="85"/>
    </row>
    <row r="40" spans="4:28" x14ac:dyDescent="0.25">
      <c r="S40" s="85"/>
    </row>
    <row r="41" spans="4:28" x14ac:dyDescent="0.25">
      <c r="S41" s="85"/>
    </row>
    <row r="42" spans="4:28" x14ac:dyDescent="0.25">
      <c r="S42" s="85"/>
    </row>
    <row r="49" spans="3:15" x14ac:dyDescent="0.25">
      <c r="C49">
        <f>1110*8*3.689</f>
        <v>32758.32</v>
      </c>
      <c r="O49">
        <f>580*32.2</f>
        <v>18676</v>
      </c>
    </row>
    <row r="50" spans="3:15" x14ac:dyDescent="0.25">
      <c r="C50">
        <v>4500</v>
      </c>
      <c r="O50">
        <f>570*30</f>
        <v>17100</v>
      </c>
    </row>
    <row r="51" spans="3:15" x14ac:dyDescent="0.25">
      <c r="C51">
        <f>SUM(C49:C50)</f>
        <v>37258.32</v>
      </c>
    </row>
  </sheetData>
  <mergeCells count="7">
    <mergeCell ref="X2:Y2"/>
    <mergeCell ref="A4:A15"/>
    <mergeCell ref="A16:A29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5154-5243-439C-A796-E85B82A48D0C}">
  <dimension ref="A1:AB51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30" sqref="O3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23a01-03'!D30</f>
        <v>6551</v>
      </c>
      <c r="E4" s="42">
        <f>'STOCK 23a01-03'!E30</f>
        <v>0</v>
      </c>
      <c r="F4" s="42">
        <f>'STOCK 23a01-03'!F30</f>
        <v>0</v>
      </c>
      <c r="G4" s="42">
        <v>0</v>
      </c>
      <c r="H4" s="42">
        <f>'STOCK 23a01-03'!H30</f>
        <v>506</v>
      </c>
      <c r="I4" s="42">
        <f>'STOCK 23a01-03'!I30</f>
        <v>10390</v>
      </c>
      <c r="J4" s="42">
        <f>'STOCK 23a01-03'!J30</f>
        <v>409</v>
      </c>
      <c r="K4" s="42">
        <f>'STOCK 23a01-03'!K30</f>
        <v>0</v>
      </c>
      <c r="L4" s="42">
        <f>'STOCK 23a01-03'!L30</f>
        <v>0</v>
      </c>
      <c r="M4" s="42">
        <f>'STOCK 23a01-03'!M30</f>
        <v>125</v>
      </c>
      <c r="N4" s="42">
        <f>'STOCK 23a01-03'!N30</f>
        <v>2647</v>
      </c>
      <c r="O4" s="42">
        <f>'STOCK 23a01-03'!O30</f>
        <v>739</v>
      </c>
      <c r="P4" s="42">
        <f>'STOCK 23a01-03'!P30</f>
        <v>1200</v>
      </c>
      <c r="Q4" s="42">
        <f>'STOCK 23a01-03'!Q30</f>
        <v>80</v>
      </c>
      <c r="R4" s="42">
        <f>'STOCK 23a01-03'!R30</f>
        <v>2111</v>
      </c>
      <c r="S4" s="42">
        <f>'STOCK 23a01-03'!S30</f>
        <v>6</v>
      </c>
      <c r="T4" s="42">
        <f>'STOCK 23a01-03'!T30</f>
        <v>1474</v>
      </c>
      <c r="U4" s="42">
        <f>'STOCK 23a01-03'!U30</f>
        <v>15</v>
      </c>
      <c r="V4" s="42">
        <f>'STOCK 23a01-03'!V30</f>
        <v>0</v>
      </c>
      <c r="W4" s="42">
        <f>'STOCK 23a01-03'!W30</f>
        <v>200</v>
      </c>
      <c r="X4" s="42">
        <f>'STOCK 23a01-03'!X30</f>
        <v>5250</v>
      </c>
      <c r="Y4" s="42">
        <f>'STOCK 23a01-03'!Y30</f>
        <v>1319</v>
      </c>
      <c r="Z4" s="42">
        <f>'STOCK 23a01-03'!Z30</f>
        <v>0</v>
      </c>
      <c r="AA4" s="42">
        <f>'STOCK 23a01-03'!AA30</f>
        <v>0</v>
      </c>
      <c r="AB4" s="42">
        <f>'STOCK 23a01-03'!AB30</f>
        <v>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45722</v>
      </c>
      <c r="C6" s="82" t="s">
        <v>27</v>
      </c>
      <c r="D6" s="27"/>
      <c r="F6" s="35"/>
      <c r="H6" s="31"/>
      <c r="I6" s="13">
        <v>4000</v>
      </c>
      <c r="J6" s="35"/>
      <c r="L6" s="35"/>
      <c r="M6" s="35"/>
      <c r="N6" s="14"/>
      <c r="O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45723</v>
      </c>
      <c r="C7" s="82" t="s">
        <v>46</v>
      </c>
      <c r="D7" s="27">
        <v>6000</v>
      </c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45724</v>
      </c>
      <c r="C8" s="82" t="s">
        <v>27</v>
      </c>
      <c r="D8" s="27"/>
      <c r="F8" s="35"/>
      <c r="H8" s="31"/>
      <c r="I8" s="13"/>
      <c r="J8" s="35"/>
      <c r="L8" s="35"/>
      <c r="M8" s="35"/>
      <c r="N8" s="14"/>
      <c r="O8" s="27"/>
      <c r="P8">
        <v>300</v>
      </c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31"/>
      <c r="AB14" s="15"/>
    </row>
    <row r="15" spans="1:28" ht="15.75" thickBot="1" x14ac:dyDescent="0.3">
      <c r="A15" s="312"/>
      <c r="B15" s="72"/>
      <c r="C15" s="17"/>
      <c r="D15" s="28"/>
      <c r="E15" s="18"/>
      <c r="F15" s="36"/>
      <c r="G15" s="18"/>
      <c r="H15" s="32"/>
      <c r="I15" s="16"/>
      <c r="J15" s="36"/>
      <c r="K15" s="18"/>
      <c r="L15" s="36"/>
      <c r="M15" s="36"/>
      <c r="N15" s="17"/>
      <c r="O15" s="28"/>
      <c r="P15" s="18"/>
      <c r="Q15" s="18"/>
      <c r="R15" s="18"/>
      <c r="S15" s="32"/>
      <c r="T15" s="16"/>
      <c r="U15" s="18"/>
      <c r="V15" s="18"/>
      <c r="W15" s="32"/>
      <c r="X15" s="16"/>
      <c r="Y15" s="32"/>
      <c r="Z15" s="18"/>
      <c r="AA15" s="32"/>
      <c r="AB15" s="19"/>
    </row>
    <row r="16" spans="1:28" x14ac:dyDescent="0.25">
      <c r="A16" s="310" t="s">
        <v>62</v>
      </c>
      <c r="B16" s="20">
        <v>45719</v>
      </c>
      <c r="C16" s="14" t="s">
        <v>22</v>
      </c>
      <c r="D16" s="27">
        <f>1500+1500+250+2500</f>
        <v>5750</v>
      </c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>
        <f>1000+319</f>
        <v>1319</v>
      </c>
      <c r="AA16" s="31"/>
      <c r="AB16" s="15"/>
    </row>
    <row r="17" spans="1:28" x14ac:dyDescent="0.25">
      <c r="A17" s="311"/>
      <c r="B17" s="20">
        <v>45720</v>
      </c>
      <c r="C17" s="14" t="s">
        <v>22</v>
      </c>
      <c r="D17" s="27"/>
      <c r="F17" s="35"/>
      <c r="H17" s="31"/>
      <c r="I17" s="13">
        <v>500</v>
      </c>
      <c r="J17" s="35"/>
      <c r="L17" s="35"/>
      <c r="M17" s="35"/>
      <c r="N17" s="14"/>
      <c r="O17" s="27"/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45721</v>
      </c>
      <c r="C18" s="14" t="s">
        <v>22</v>
      </c>
      <c r="D18" s="27">
        <v>500</v>
      </c>
      <c r="F18" s="35"/>
      <c r="H18" s="31"/>
      <c r="I18" s="13">
        <v>500</v>
      </c>
      <c r="J18" s="35"/>
      <c r="L18" s="35"/>
      <c r="M18" s="35"/>
      <c r="N18" s="14">
        <v>1500</v>
      </c>
      <c r="O18" s="27"/>
      <c r="S18" s="31"/>
      <c r="T18" s="13"/>
      <c r="W18" s="31"/>
      <c r="X18" s="13">
        <v>2000</v>
      </c>
      <c r="Y18" s="31"/>
      <c r="AA18" s="31"/>
      <c r="AB18" s="15"/>
    </row>
    <row r="19" spans="1:28" x14ac:dyDescent="0.25">
      <c r="A19" s="311"/>
      <c r="B19" s="20">
        <v>45722</v>
      </c>
      <c r="C19" s="14" t="s">
        <v>22</v>
      </c>
      <c r="D19" s="27"/>
      <c r="F19" s="35"/>
      <c r="H19" s="31"/>
      <c r="I19" s="13"/>
      <c r="J19" s="35">
        <v>300</v>
      </c>
      <c r="L19" s="35"/>
      <c r="M19" s="35"/>
      <c r="N19" s="14"/>
      <c r="O19" s="27"/>
      <c r="S19" s="31"/>
      <c r="T19" s="13">
        <v>500</v>
      </c>
      <c r="W19" s="31"/>
      <c r="X19" s="13">
        <f>200+150</f>
        <v>350</v>
      </c>
      <c r="Y19" s="31"/>
      <c r="AA19" s="31"/>
      <c r="AB19" s="15"/>
    </row>
    <row r="20" spans="1:28" x14ac:dyDescent="0.25">
      <c r="A20" s="311"/>
      <c r="B20" s="20">
        <v>45723</v>
      </c>
      <c r="C20" s="14" t="s">
        <v>22</v>
      </c>
      <c r="D20" s="27">
        <f>10+650</f>
        <v>660</v>
      </c>
      <c r="F20" s="35"/>
      <c r="H20" s="31"/>
      <c r="I20" s="13"/>
      <c r="J20" s="35"/>
      <c r="L20" s="35"/>
      <c r="M20" s="35"/>
      <c r="N20" s="14"/>
      <c r="O20" s="27"/>
      <c r="S20" s="31"/>
      <c r="T20" s="13">
        <v>250</v>
      </c>
      <c r="W20" s="31"/>
      <c r="X20" s="13"/>
      <c r="Y20" s="31"/>
      <c r="AA20" s="31"/>
      <c r="AB20" s="15"/>
    </row>
    <row r="21" spans="1:28" x14ac:dyDescent="0.25">
      <c r="A21" s="311"/>
      <c r="B21" s="20">
        <v>45724</v>
      </c>
      <c r="C21" s="14" t="s">
        <v>22</v>
      </c>
      <c r="D21" s="27"/>
      <c r="F21" s="35"/>
      <c r="H21" s="31"/>
      <c r="I21" s="13">
        <v>100</v>
      </c>
      <c r="J21" s="35">
        <v>100</v>
      </c>
      <c r="L21" s="35"/>
      <c r="M21" s="35"/>
      <c r="N21" s="14"/>
      <c r="O21" s="27"/>
      <c r="S21" s="31"/>
      <c r="T21" s="13"/>
      <c r="W21" s="31"/>
      <c r="X21" s="13">
        <v>2000</v>
      </c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31"/>
      <c r="AB26" s="15"/>
    </row>
    <row r="27" spans="1:28" x14ac:dyDescent="0.25">
      <c r="A27" s="311"/>
      <c r="B27" s="20"/>
      <c r="C27" s="14"/>
      <c r="D27" s="27"/>
      <c r="F27" s="35"/>
      <c r="H27" s="31"/>
      <c r="I27" s="13"/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31"/>
      <c r="AB27" s="15"/>
    </row>
    <row r="28" spans="1:28" x14ac:dyDescent="0.25">
      <c r="A28" s="311"/>
      <c r="B28" s="20"/>
      <c r="C28" s="14"/>
      <c r="D28" s="27"/>
      <c r="F28" s="35"/>
      <c r="H28" s="31"/>
      <c r="I28" s="13"/>
      <c r="J28" s="35"/>
      <c r="L28" s="35"/>
      <c r="M28" s="35"/>
      <c r="N28" s="14"/>
      <c r="O28" s="27"/>
      <c r="S28" s="31"/>
      <c r="T28" s="13"/>
      <c r="W28" s="31"/>
      <c r="X28" s="13"/>
      <c r="Y28" s="31"/>
      <c r="AA28" s="31"/>
      <c r="AB28" s="15"/>
    </row>
    <row r="29" spans="1:28" ht="15.75" thickBot="1" x14ac:dyDescent="0.3">
      <c r="A29" s="312"/>
      <c r="B29" s="13"/>
      <c r="C29" s="14"/>
      <c r="D29" s="27"/>
      <c r="F29" s="35"/>
      <c r="H29" s="31"/>
      <c r="I29" s="13"/>
      <c r="J29" s="35"/>
      <c r="L29" s="35"/>
      <c r="M29" s="35"/>
      <c r="N29" s="14"/>
      <c r="O29" s="27"/>
      <c r="S29" s="31"/>
      <c r="T29" s="13"/>
      <c r="W29" s="31"/>
      <c r="X29" s="13"/>
      <c r="Y29" s="31"/>
      <c r="AA29" s="31"/>
      <c r="AB29" s="15"/>
    </row>
    <row r="30" spans="1:28" ht="21.75" thickBot="1" x14ac:dyDescent="0.3">
      <c r="A30" s="21" t="s">
        <v>23</v>
      </c>
      <c r="B30" s="22"/>
      <c r="C30" s="23"/>
      <c r="D30" s="29">
        <f t="shared" ref="D30:AB30" si="0">SUM(D4:D15)-SUM(D16:D29)</f>
        <v>5641</v>
      </c>
      <c r="E30" s="22">
        <f t="shared" si="0"/>
        <v>0</v>
      </c>
      <c r="F30" s="37">
        <f t="shared" si="0"/>
        <v>0</v>
      </c>
      <c r="G30" s="24">
        <f t="shared" si="0"/>
        <v>0</v>
      </c>
      <c r="H30" s="33">
        <f t="shared" si="0"/>
        <v>506</v>
      </c>
      <c r="I30" s="22">
        <f t="shared" si="0"/>
        <v>13290</v>
      </c>
      <c r="J30" s="37">
        <f t="shared" si="0"/>
        <v>9</v>
      </c>
      <c r="K30" s="24">
        <f t="shared" si="0"/>
        <v>0</v>
      </c>
      <c r="L30" s="37">
        <f t="shared" si="0"/>
        <v>0</v>
      </c>
      <c r="M30" s="37">
        <f t="shared" si="0"/>
        <v>125</v>
      </c>
      <c r="N30" s="23">
        <f t="shared" si="0"/>
        <v>1147</v>
      </c>
      <c r="O30" s="29">
        <f t="shared" si="0"/>
        <v>739</v>
      </c>
      <c r="P30" s="29">
        <f t="shared" si="0"/>
        <v>1500</v>
      </c>
      <c r="Q30" s="29">
        <f t="shared" si="0"/>
        <v>80</v>
      </c>
      <c r="R30" s="24">
        <f t="shared" si="0"/>
        <v>2111</v>
      </c>
      <c r="S30" s="33">
        <f t="shared" si="0"/>
        <v>6</v>
      </c>
      <c r="T30" s="22">
        <f t="shared" si="0"/>
        <v>724</v>
      </c>
      <c r="U30" s="22">
        <f t="shared" si="0"/>
        <v>15</v>
      </c>
      <c r="V30" s="22">
        <f t="shared" si="0"/>
        <v>0</v>
      </c>
      <c r="W30" s="33">
        <f t="shared" si="0"/>
        <v>200</v>
      </c>
      <c r="X30" s="22">
        <f t="shared" si="0"/>
        <v>900</v>
      </c>
      <c r="Y30" s="33">
        <f t="shared" si="0"/>
        <v>0</v>
      </c>
      <c r="Z30" s="22">
        <f t="shared" si="0"/>
        <v>0</v>
      </c>
      <c r="AA30" s="33">
        <f t="shared" si="0"/>
        <v>0</v>
      </c>
      <c r="AB30" s="25">
        <f t="shared" si="0"/>
        <v>0</v>
      </c>
    </row>
    <row r="32" spans="1:28" x14ac:dyDescent="0.25">
      <c r="D32">
        <f>D30*0.37</f>
        <v>2087.17</v>
      </c>
      <c r="E32">
        <f>+E30*0.3</f>
        <v>0</v>
      </c>
      <c r="F32">
        <f>+F30*0.28</f>
        <v>0</v>
      </c>
      <c r="G32">
        <f>+G30*0.335</f>
        <v>0</v>
      </c>
      <c r="H32">
        <f>+H30*0.4</f>
        <v>202.4</v>
      </c>
      <c r="I32">
        <f>+I30*0.55</f>
        <v>7309.5000000000009</v>
      </c>
      <c r="J32">
        <f>+J30*0.54</f>
        <v>4.8600000000000003</v>
      </c>
      <c r="K32" s="50">
        <f>+K30*0.82</f>
        <v>0</v>
      </c>
      <c r="L32">
        <f>+L30*0.62</f>
        <v>0</v>
      </c>
      <c r="M32">
        <f>+M30*0.64</f>
        <v>80</v>
      </c>
      <c r="N32">
        <f>+N30*0.57</f>
        <v>653.79</v>
      </c>
      <c r="O32">
        <f>+O30*2.04</f>
        <v>1507.56</v>
      </c>
      <c r="P32">
        <f>+P30*1.575+(300*0.285)</f>
        <v>2448</v>
      </c>
      <c r="Q32">
        <f>Q30*1.8</f>
        <v>144</v>
      </c>
      <c r="R32">
        <f>+R30*1.83</f>
        <v>3863.13</v>
      </c>
      <c r="S32">
        <f>+S30*1.57</f>
        <v>9.42</v>
      </c>
      <c r="T32">
        <f>+T30*1.88</f>
        <v>1361.12</v>
      </c>
      <c r="U32">
        <f>+U30*1.85</f>
        <v>27.75</v>
      </c>
      <c r="V32">
        <f>+V30*2.18</f>
        <v>0</v>
      </c>
      <c r="W32">
        <f>+W30*1.9</f>
        <v>380</v>
      </c>
      <c r="X32">
        <f>+X30*0.46</f>
        <v>414</v>
      </c>
      <c r="Y32">
        <f>+Y30*0.35</f>
        <v>0</v>
      </c>
      <c r="Z32" s="50">
        <f>+Z30*1.9</f>
        <v>0</v>
      </c>
      <c r="AA32">
        <f>+AA30*0.93</f>
        <v>0</v>
      </c>
      <c r="AB32">
        <f>+AB30*1.5</f>
        <v>0</v>
      </c>
    </row>
    <row r="33" spans="4:28" x14ac:dyDescent="0.25">
      <c r="AB33" s="39">
        <f>SUM(D32:AB32)</f>
        <v>20492.699999999997</v>
      </c>
    </row>
    <row r="35" spans="4:28" ht="15.75" x14ac:dyDescent="0.25">
      <c r="D35">
        <f>36*0.33</f>
        <v>11.88</v>
      </c>
      <c r="R35">
        <f>112*1.76</f>
        <v>197.12</v>
      </c>
      <c r="S35" s="89"/>
    </row>
    <row r="36" spans="4:28" ht="15.75" x14ac:dyDescent="0.25">
      <c r="D36">
        <f>1964*0.36</f>
        <v>707.04</v>
      </c>
      <c r="R36">
        <f>13*1.83</f>
        <v>23.79</v>
      </c>
      <c r="S36" s="89"/>
    </row>
    <row r="37" spans="4:28" x14ac:dyDescent="0.25">
      <c r="D37">
        <f>+D35+D36</f>
        <v>718.92</v>
      </c>
      <c r="R37">
        <f>SUM(R35:R36)</f>
        <v>220.91</v>
      </c>
      <c r="S37" s="85"/>
    </row>
    <row r="38" spans="4:28" x14ac:dyDescent="0.25">
      <c r="D38">
        <f>D37/2000</f>
        <v>0.35946</v>
      </c>
      <c r="R38">
        <f>R37/125</f>
        <v>1.76728</v>
      </c>
      <c r="S38" s="85"/>
    </row>
    <row r="39" spans="4:28" x14ac:dyDescent="0.25">
      <c r="S39" s="85"/>
    </row>
    <row r="40" spans="4:28" x14ac:dyDescent="0.25">
      <c r="S40" s="85"/>
    </row>
    <row r="41" spans="4:28" x14ac:dyDescent="0.25">
      <c r="S41" s="85"/>
    </row>
    <row r="42" spans="4:28" x14ac:dyDescent="0.25">
      <c r="S42" s="85"/>
    </row>
    <row r="49" spans="3:15" x14ac:dyDescent="0.25">
      <c r="C49">
        <f>1110*8*3.689</f>
        <v>32758.32</v>
      </c>
      <c r="O49">
        <f>580*32.2</f>
        <v>18676</v>
      </c>
    </row>
    <row r="50" spans="3:15" x14ac:dyDescent="0.25">
      <c r="C50">
        <v>4500</v>
      </c>
      <c r="O50">
        <f>570*30</f>
        <v>17100</v>
      </c>
    </row>
    <row r="51" spans="3:15" x14ac:dyDescent="0.25">
      <c r="C51">
        <f>SUM(C49:C50)</f>
        <v>37258.32</v>
      </c>
    </row>
  </sheetData>
  <mergeCells count="7">
    <mergeCell ref="X2:Y2"/>
    <mergeCell ref="A4:A15"/>
    <mergeCell ref="A16:A29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559E-7901-426A-A02B-CE4382064586}">
  <dimension ref="A1:AB51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32" sqref="T32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02a08-03'!D30</f>
        <v>5641</v>
      </c>
      <c r="E4" s="42">
        <f>'STOCK 02a08-03'!E30</f>
        <v>0</v>
      </c>
      <c r="F4" s="42">
        <f>'STOCK 02a08-03'!F30</f>
        <v>0</v>
      </c>
      <c r="G4" s="42">
        <f>'STOCK 02a08-03'!G30</f>
        <v>0</v>
      </c>
      <c r="H4" s="42">
        <f>'STOCK 02a08-03'!H30</f>
        <v>506</v>
      </c>
      <c r="I4" s="42">
        <f>'STOCK 02a08-03'!I30</f>
        <v>13290</v>
      </c>
      <c r="J4" s="42">
        <f>'STOCK 02a08-03'!J30</f>
        <v>9</v>
      </c>
      <c r="K4" s="42">
        <f>'STOCK 02a08-03'!K30</f>
        <v>0</v>
      </c>
      <c r="L4" s="42">
        <f>'STOCK 02a08-03'!L30</f>
        <v>0</v>
      </c>
      <c r="M4" s="42">
        <f>'STOCK 02a08-03'!M30</f>
        <v>125</v>
      </c>
      <c r="N4" s="42">
        <f>'STOCK 02a08-03'!N30</f>
        <v>1147</v>
      </c>
      <c r="O4" s="42">
        <f>'STOCK 02a08-03'!O30</f>
        <v>739</v>
      </c>
      <c r="P4" s="42">
        <f>'STOCK 02a08-03'!P30</f>
        <v>1500</v>
      </c>
      <c r="Q4" s="42">
        <f>'STOCK 02a08-03'!Q30</f>
        <v>80</v>
      </c>
      <c r="R4" s="42">
        <f>'STOCK 02a08-03'!R30</f>
        <v>2111</v>
      </c>
      <c r="S4" s="42">
        <f>'STOCK 02a08-03'!S30</f>
        <v>6</v>
      </c>
      <c r="T4" s="42">
        <f>'STOCK 02a08-03'!T30</f>
        <v>724</v>
      </c>
      <c r="U4" s="42">
        <f>'STOCK 02a08-03'!U30</f>
        <v>15</v>
      </c>
      <c r="V4" s="42">
        <f>'STOCK 02a08-03'!V30</f>
        <v>0</v>
      </c>
      <c r="W4" s="42">
        <f>'STOCK 02a08-03'!W30</f>
        <v>200</v>
      </c>
      <c r="X4" s="42">
        <f>'STOCK 02a08-03'!X30</f>
        <v>900</v>
      </c>
      <c r="Y4" s="42">
        <f>'STOCK 02a08-03'!Y30</f>
        <v>0</v>
      </c>
      <c r="Z4" s="42">
        <f>'STOCK 02a08-03'!Z30</f>
        <v>0</v>
      </c>
      <c r="AA4" s="42">
        <f>'STOCK 02a08-03'!AA30</f>
        <v>0</v>
      </c>
      <c r="AB4" s="42">
        <f>'STOCK 02a08-03'!AB30</f>
        <v>0</v>
      </c>
    </row>
    <row r="5" spans="1:28" x14ac:dyDescent="0.25">
      <c r="A5" s="311"/>
      <c r="B5" s="20">
        <v>45726</v>
      </c>
      <c r="C5" s="82" t="s">
        <v>46</v>
      </c>
      <c r="D5" s="27">
        <v>1000</v>
      </c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45727</v>
      </c>
      <c r="C6" s="82" t="s">
        <v>27</v>
      </c>
      <c r="D6" s="27">
        <v>4500</v>
      </c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45728</v>
      </c>
      <c r="C7" s="82" t="s">
        <v>27</v>
      </c>
      <c r="D7" s="27"/>
      <c r="F7" s="35"/>
      <c r="G7">
        <v>4200</v>
      </c>
      <c r="H7" s="31"/>
      <c r="I7" s="13"/>
      <c r="J7" s="35"/>
      <c r="L7" s="35"/>
      <c r="M7" s="35"/>
      <c r="N7" s="14"/>
      <c r="O7" s="27"/>
      <c r="S7" s="31"/>
      <c r="T7" s="13"/>
      <c r="W7" s="31"/>
      <c r="X7" s="13">
        <v>1250</v>
      </c>
      <c r="Y7" s="31"/>
      <c r="AA7" s="31"/>
      <c r="AB7" s="15"/>
    </row>
    <row r="8" spans="1:28" x14ac:dyDescent="0.25">
      <c r="A8" s="311"/>
      <c r="B8" s="20">
        <v>45729</v>
      </c>
      <c r="C8" s="82" t="s">
        <v>27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>
        <v>4150</v>
      </c>
      <c r="AA8" s="31"/>
      <c r="AB8" s="15"/>
    </row>
    <row r="9" spans="1:28" x14ac:dyDescent="0.25">
      <c r="A9" s="311"/>
      <c r="B9" s="20">
        <v>45730</v>
      </c>
      <c r="C9" s="82" t="s">
        <v>46</v>
      </c>
      <c r="D9" s="27"/>
      <c r="F9" s="35"/>
      <c r="H9" s="31"/>
      <c r="I9" s="13">
        <v>4000</v>
      </c>
      <c r="J9" s="35"/>
      <c r="L9" s="35"/>
      <c r="M9" s="35"/>
      <c r="N9" s="14"/>
      <c r="O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31"/>
      <c r="AB14" s="15"/>
    </row>
    <row r="15" spans="1:28" ht="15.75" thickBot="1" x14ac:dyDescent="0.3">
      <c r="A15" s="312"/>
      <c r="B15" s="72"/>
      <c r="C15" s="17"/>
      <c r="D15" s="28"/>
      <c r="E15" s="18"/>
      <c r="F15" s="36"/>
      <c r="G15" s="18"/>
      <c r="H15" s="32"/>
      <c r="I15" s="16"/>
      <c r="J15" s="36"/>
      <c r="K15" s="18"/>
      <c r="L15" s="36"/>
      <c r="M15" s="36"/>
      <c r="N15" s="17"/>
      <c r="O15" s="28"/>
      <c r="P15" s="18"/>
      <c r="Q15" s="18"/>
      <c r="R15" s="18"/>
      <c r="S15" s="32"/>
      <c r="T15" s="16"/>
      <c r="U15" s="18"/>
      <c r="V15" s="18"/>
      <c r="W15" s="32"/>
      <c r="X15" s="16"/>
      <c r="Y15" s="32"/>
      <c r="Z15" s="18"/>
      <c r="AA15" s="32"/>
      <c r="AB15" s="19"/>
    </row>
    <row r="16" spans="1:28" x14ac:dyDescent="0.25">
      <c r="A16" s="310" t="s">
        <v>62</v>
      </c>
      <c r="B16" s="20"/>
      <c r="C16" s="14"/>
      <c r="D16" s="27"/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45726</v>
      </c>
      <c r="C17" s="14" t="s">
        <v>79</v>
      </c>
      <c r="D17" s="27">
        <f>2000+800+1000</f>
        <v>3800</v>
      </c>
      <c r="F17" s="35"/>
      <c r="H17" s="31"/>
      <c r="I17" s="13">
        <v>1000</v>
      </c>
      <c r="J17" s="35"/>
      <c r="L17" s="35"/>
      <c r="M17" s="35"/>
      <c r="N17" s="14"/>
      <c r="O17" s="27"/>
      <c r="S17" s="31"/>
      <c r="T17" s="13"/>
      <c r="W17" s="31"/>
      <c r="X17" s="13">
        <v>400</v>
      </c>
      <c r="Y17" s="31"/>
      <c r="AA17" s="31"/>
      <c r="AB17" s="15"/>
    </row>
    <row r="18" spans="1:28" x14ac:dyDescent="0.25">
      <c r="A18" s="311"/>
      <c r="B18" s="20">
        <v>45727</v>
      </c>
      <c r="C18" s="14" t="s">
        <v>38</v>
      </c>
      <c r="D18" s="27"/>
      <c r="F18" s="35"/>
      <c r="H18" s="31"/>
      <c r="I18" s="13">
        <v>2000</v>
      </c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>
        <v>45727</v>
      </c>
      <c r="C19" s="14" t="s">
        <v>79</v>
      </c>
      <c r="D19" s="27">
        <f>200+500+1000+1000+300</f>
        <v>3000</v>
      </c>
      <c r="F19" s="35"/>
      <c r="H19" s="31"/>
      <c r="I19" s="13"/>
      <c r="J19" s="35"/>
      <c r="L19" s="35"/>
      <c r="M19" s="35"/>
      <c r="N19" s="14"/>
      <c r="O19" s="27"/>
      <c r="R19">
        <v>210</v>
      </c>
      <c r="S19" s="31"/>
      <c r="T19" s="13">
        <v>400</v>
      </c>
      <c r="W19" s="31"/>
      <c r="X19" s="13">
        <v>50</v>
      </c>
      <c r="Y19" s="31"/>
      <c r="AA19" s="31"/>
      <c r="AB19" s="15"/>
    </row>
    <row r="20" spans="1:28" x14ac:dyDescent="0.25">
      <c r="A20" s="311"/>
      <c r="B20" s="20">
        <v>45728</v>
      </c>
      <c r="C20" s="14" t="s">
        <v>79</v>
      </c>
      <c r="D20" s="27">
        <v>1000</v>
      </c>
      <c r="F20" s="35"/>
      <c r="H20" s="31"/>
      <c r="I20" s="13">
        <f>1500+1500</f>
        <v>3000</v>
      </c>
      <c r="J20" s="35"/>
      <c r="L20" s="35"/>
      <c r="M20" s="35"/>
      <c r="N20" s="14"/>
      <c r="O20" s="27"/>
      <c r="R20">
        <v>200</v>
      </c>
      <c r="S20" s="31"/>
      <c r="T20" s="13"/>
      <c r="W20" s="31"/>
      <c r="X20" s="13">
        <f>50+1000</f>
        <v>1050</v>
      </c>
      <c r="Y20" s="31"/>
      <c r="AA20" s="31"/>
      <c r="AB20" s="15"/>
    </row>
    <row r="21" spans="1:28" x14ac:dyDescent="0.25">
      <c r="A21" s="311"/>
      <c r="B21" s="20">
        <v>45729</v>
      </c>
      <c r="C21" s="14" t="s">
        <v>79</v>
      </c>
      <c r="D21" s="27">
        <f>300+1000</f>
        <v>1300</v>
      </c>
      <c r="F21" s="35"/>
      <c r="H21" s="31"/>
      <c r="I21" s="13">
        <v>1000</v>
      </c>
      <c r="J21" s="35"/>
      <c r="L21" s="35"/>
      <c r="M21" s="35"/>
      <c r="N21" s="14"/>
      <c r="O21" s="27"/>
      <c r="R21">
        <f>230+30</f>
        <v>260</v>
      </c>
      <c r="S21" s="31"/>
      <c r="T21" s="13">
        <v>115</v>
      </c>
      <c r="W21" s="31"/>
      <c r="X21" s="13"/>
      <c r="Y21" s="31">
        <v>200</v>
      </c>
      <c r="AA21" s="31"/>
      <c r="AB21" s="15"/>
    </row>
    <row r="22" spans="1:28" x14ac:dyDescent="0.25">
      <c r="A22" s="311"/>
      <c r="B22" s="20">
        <v>45730</v>
      </c>
      <c r="C22" s="14" t="s">
        <v>79</v>
      </c>
      <c r="D22" s="27">
        <v>1000</v>
      </c>
      <c r="F22" s="35"/>
      <c r="G22">
        <v>1700</v>
      </c>
      <c r="H22" s="31"/>
      <c r="I22" s="13">
        <v>260</v>
      </c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>
        <v>45731</v>
      </c>
      <c r="C23" s="14" t="s">
        <v>79</v>
      </c>
      <c r="D23" s="27">
        <v>1000</v>
      </c>
      <c r="F23" s="35"/>
      <c r="H23" s="31">
        <v>300</v>
      </c>
      <c r="I23" s="13">
        <v>2500</v>
      </c>
      <c r="J23" s="35"/>
      <c r="L23" s="35"/>
      <c r="M23" s="35"/>
      <c r="N23" s="14"/>
      <c r="O23" s="27"/>
      <c r="S23" s="31"/>
      <c r="T23" s="13"/>
      <c r="W23" s="31"/>
      <c r="X23" s="13">
        <v>416</v>
      </c>
      <c r="Y23" s="31"/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31"/>
      <c r="AB26" s="15"/>
    </row>
    <row r="27" spans="1:28" x14ac:dyDescent="0.25">
      <c r="A27" s="311"/>
      <c r="B27" s="20"/>
      <c r="C27" s="14"/>
      <c r="D27" s="27"/>
      <c r="F27" s="35"/>
      <c r="H27" s="31"/>
      <c r="I27" s="13"/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31"/>
      <c r="AB27" s="15"/>
    </row>
    <row r="28" spans="1:28" x14ac:dyDescent="0.25">
      <c r="A28" s="311"/>
      <c r="B28" s="20"/>
      <c r="C28" s="14"/>
      <c r="D28" s="27"/>
      <c r="F28" s="35"/>
      <c r="H28" s="31"/>
      <c r="I28" s="13"/>
      <c r="J28" s="35"/>
      <c r="L28" s="35"/>
      <c r="M28" s="35"/>
      <c r="N28" s="14"/>
      <c r="O28" s="27"/>
      <c r="S28" s="31"/>
      <c r="T28" s="13"/>
      <c r="W28" s="31"/>
      <c r="X28" s="13"/>
      <c r="Y28" s="31"/>
      <c r="AA28" s="31"/>
      <c r="AB28" s="15"/>
    </row>
    <row r="29" spans="1:28" ht="15.75" thickBot="1" x14ac:dyDescent="0.3">
      <c r="A29" s="312"/>
      <c r="B29" s="13"/>
      <c r="C29" s="14"/>
      <c r="D29" s="27"/>
      <c r="F29" s="35"/>
      <c r="H29" s="31"/>
      <c r="I29" s="13"/>
      <c r="J29" s="35"/>
      <c r="L29" s="35"/>
      <c r="M29" s="35"/>
      <c r="N29" s="14"/>
      <c r="O29" s="27"/>
      <c r="S29" s="31"/>
      <c r="T29" s="13"/>
      <c r="W29" s="31"/>
      <c r="X29" s="13"/>
      <c r="Y29" s="31"/>
      <c r="AA29" s="31"/>
      <c r="AB29" s="15"/>
    </row>
    <row r="30" spans="1:28" ht="21.75" thickBot="1" x14ac:dyDescent="0.3">
      <c r="A30" s="21" t="s">
        <v>23</v>
      </c>
      <c r="B30" s="22"/>
      <c r="C30" s="23"/>
      <c r="D30" s="29">
        <f t="shared" ref="D30:AB30" si="0">SUM(D4:D15)-SUM(D16:D29)</f>
        <v>41</v>
      </c>
      <c r="E30" s="22">
        <f t="shared" si="0"/>
        <v>0</v>
      </c>
      <c r="F30" s="37">
        <f t="shared" si="0"/>
        <v>0</v>
      </c>
      <c r="G30" s="24">
        <f t="shared" si="0"/>
        <v>2500</v>
      </c>
      <c r="H30" s="33">
        <f t="shared" si="0"/>
        <v>206</v>
      </c>
      <c r="I30" s="22">
        <f t="shared" si="0"/>
        <v>7530</v>
      </c>
      <c r="J30" s="37">
        <f t="shared" si="0"/>
        <v>9</v>
      </c>
      <c r="K30" s="24">
        <f t="shared" si="0"/>
        <v>0</v>
      </c>
      <c r="L30" s="37">
        <f t="shared" si="0"/>
        <v>0</v>
      </c>
      <c r="M30" s="37">
        <f t="shared" si="0"/>
        <v>125</v>
      </c>
      <c r="N30" s="23">
        <f t="shared" si="0"/>
        <v>1147</v>
      </c>
      <c r="O30" s="29">
        <f t="shared" si="0"/>
        <v>739</v>
      </c>
      <c r="P30" s="29">
        <f t="shared" si="0"/>
        <v>1500</v>
      </c>
      <c r="Q30" s="29">
        <f t="shared" si="0"/>
        <v>80</v>
      </c>
      <c r="R30" s="24">
        <f t="shared" si="0"/>
        <v>1441</v>
      </c>
      <c r="S30" s="33">
        <f t="shared" si="0"/>
        <v>6</v>
      </c>
      <c r="T30" s="22">
        <f t="shared" si="0"/>
        <v>209</v>
      </c>
      <c r="U30" s="22">
        <f t="shared" si="0"/>
        <v>15</v>
      </c>
      <c r="V30" s="22">
        <f t="shared" si="0"/>
        <v>0</v>
      </c>
      <c r="W30" s="33">
        <f t="shared" si="0"/>
        <v>200</v>
      </c>
      <c r="X30" s="22">
        <f t="shared" si="0"/>
        <v>234</v>
      </c>
      <c r="Y30" s="33">
        <f t="shared" si="0"/>
        <v>3950</v>
      </c>
      <c r="Z30" s="22">
        <f t="shared" si="0"/>
        <v>0</v>
      </c>
      <c r="AA30" s="33">
        <f t="shared" si="0"/>
        <v>0</v>
      </c>
      <c r="AB30" s="25">
        <f t="shared" si="0"/>
        <v>0</v>
      </c>
    </row>
    <row r="32" spans="1:28" x14ac:dyDescent="0.25">
      <c r="D32">
        <f>D30*0.37</f>
        <v>15.17</v>
      </c>
      <c r="E32">
        <f>+E30*0.3</f>
        <v>0</v>
      </c>
      <c r="F32">
        <f>+F30*0.28</f>
        <v>0</v>
      </c>
      <c r="G32">
        <f>+G30*0.37</f>
        <v>925</v>
      </c>
      <c r="H32">
        <f>+H30*0.4</f>
        <v>82.4</v>
      </c>
      <c r="I32">
        <f>+I30*0.55</f>
        <v>4141.5</v>
      </c>
      <c r="J32">
        <f>+J30*0.54</f>
        <v>4.8600000000000003</v>
      </c>
      <c r="K32" s="50">
        <f>+K30*0.82</f>
        <v>0</v>
      </c>
      <c r="L32">
        <f>+L30*0.62</f>
        <v>0</v>
      </c>
      <c r="M32">
        <f>+M30*0.64</f>
        <v>80</v>
      </c>
      <c r="N32">
        <f>+N30*0.57</f>
        <v>653.79</v>
      </c>
      <c r="O32">
        <f>+O30*2.04</f>
        <v>1507.56</v>
      </c>
      <c r="P32">
        <f>+P30*1.575+(300*0.285)</f>
        <v>2448</v>
      </c>
      <c r="Q32">
        <f>Q30*1.8</f>
        <v>144</v>
      </c>
      <c r="R32">
        <f>+R30*1.83</f>
        <v>2637.03</v>
      </c>
      <c r="S32">
        <f>+S30*1.57</f>
        <v>9.42</v>
      </c>
      <c r="T32">
        <f>+T30*1.88</f>
        <v>392.91999999999996</v>
      </c>
      <c r="U32">
        <f>+U30*1.85</f>
        <v>27.75</v>
      </c>
      <c r="V32">
        <f>+V30*2.18</f>
        <v>0</v>
      </c>
      <c r="W32">
        <f>+W30*1.9</f>
        <v>380</v>
      </c>
      <c r="X32">
        <f>+X30*0.46</f>
        <v>107.64</v>
      </c>
      <c r="Y32">
        <f>+Y30*0.35</f>
        <v>1382.5</v>
      </c>
      <c r="Z32" s="50">
        <f>+Z30*1.9</f>
        <v>0</v>
      </c>
      <c r="AA32">
        <f>+AA30*0.93</f>
        <v>0</v>
      </c>
      <c r="AB32">
        <f>+AB30*1.5</f>
        <v>0</v>
      </c>
    </row>
    <row r="33" spans="4:28" x14ac:dyDescent="0.25">
      <c r="AB33" s="39">
        <f>SUM(D32:AB32)</f>
        <v>14939.539999999999</v>
      </c>
    </row>
    <row r="35" spans="4:28" ht="15.75" x14ac:dyDescent="0.25">
      <c r="D35">
        <f>36*0.33</f>
        <v>11.88</v>
      </c>
      <c r="R35">
        <f>112*1.76</f>
        <v>197.12</v>
      </c>
      <c r="S35" s="89"/>
    </row>
    <row r="36" spans="4:28" ht="15.75" x14ac:dyDescent="0.25">
      <c r="D36">
        <f>1964*0.36</f>
        <v>707.04</v>
      </c>
      <c r="R36">
        <f>13*1.83</f>
        <v>23.79</v>
      </c>
      <c r="S36" s="89"/>
    </row>
    <row r="37" spans="4:28" x14ac:dyDescent="0.25">
      <c r="D37">
        <f>+D35+D36</f>
        <v>718.92</v>
      </c>
      <c r="R37">
        <f>SUM(R35:R36)</f>
        <v>220.91</v>
      </c>
      <c r="S37" s="85"/>
    </row>
    <row r="38" spans="4:28" x14ac:dyDescent="0.25">
      <c r="D38">
        <f>D37/2000</f>
        <v>0.35946</v>
      </c>
      <c r="R38">
        <f>R37/125</f>
        <v>1.76728</v>
      </c>
      <c r="S38" s="85"/>
    </row>
    <row r="39" spans="4:28" x14ac:dyDescent="0.25">
      <c r="S39" s="85"/>
    </row>
    <row r="40" spans="4:28" x14ac:dyDescent="0.25">
      <c r="S40" s="85"/>
    </row>
    <row r="41" spans="4:28" x14ac:dyDescent="0.25">
      <c r="S41" s="85"/>
    </row>
    <row r="42" spans="4:28" x14ac:dyDescent="0.25">
      <c r="S42" s="85"/>
    </row>
    <row r="49" spans="3:15" x14ac:dyDescent="0.25">
      <c r="C49">
        <f>1110*8*3.689</f>
        <v>32758.32</v>
      </c>
      <c r="O49">
        <f>580*32.2</f>
        <v>18676</v>
      </c>
    </row>
    <row r="50" spans="3:15" x14ac:dyDescent="0.25">
      <c r="C50">
        <v>4500</v>
      </c>
      <c r="O50">
        <f>570*30</f>
        <v>17100</v>
      </c>
    </row>
    <row r="51" spans="3:15" x14ac:dyDescent="0.25">
      <c r="C51">
        <f>SUM(C49:C50)</f>
        <v>37258.32</v>
      </c>
    </row>
  </sheetData>
  <mergeCells count="7">
    <mergeCell ref="X2:Y2"/>
    <mergeCell ref="A4:A15"/>
    <mergeCell ref="A16:A29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6F3C-190B-4DA8-9E03-C6590FB83619}">
  <dimension ref="A1:AB50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20" sqref="J2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09a15-03'!D30</f>
        <v>41</v>
      </c>
      <c r="E4" s="42">
        <f>'STOCK 09a15-03'!E30</f>
        <v>0</v>
      </c>
      <c r="F4" s="42">
        <f>'STOCK 09a15-03'!F30</f>
        <v>0</v>
      </c>
      <c r="G4" s="42">
        <f>'STOCK 09a15-03'!G30</f>
        <v>2500</v>
      </c>
      <c r="H4" s="42">
        <f>'STOCK 09a15-03'!H30</f>
        <v>206</v>
      </c>
      <c r="I4" s="42">
        <f>'STOCK 09a15-03'!I30</f>
        <v>7530</v>
      </c>
      <c r="J4" s="42">
        <f>'STOCK 09a15-03'!J30</f>
        <v>9</v>
      </c>
      <c r="K4" s="42">
        <f>'STOCK 09a15-03'!K30</f>
        <v>0</v>
      </c>
      <c r="L4" s="42">
        <f>'STOCK 09a15-03'!L30</f>
        <v>0</v>
      </c>
      <c r="M4" s="42">
        <f>'STOCK 09a15-03'!M30</f>
        <v>125</v>
      </c>
      <c r="N4" s="42">
        <f>'STOCK 09a15-03'!N30</f>
        <v>1147</v>
      </c>
      <c r="O4" s="42">
        <f>'STOCK 09a15-03'!O30</f>
        <v>739</v>
      </c>
      <c r="P4" s="42">
        <f>'STOCK 09a15-03'!P30</f>
        <v>1500</v>
      </c>
      <c r="Q4" s="42">
        <f>'STOCK 09a15-03'!Q30</f>
        <v>80</v>
      </c>
      <c r="R4" s="42">
        <f>'STOCK 09a15-03'!R30</f>
        <v>1441</v>
      </c>
      <c r="S4" s="42">
        <f>'STOCK 09a15-03'!S30</f>
        <v>6</v>
      </c>
      <c r="T4" s="42">
        <f>'STOCK 09a15-03'!T30</f>
        <v>209</v>
      </c>
      <c r="U4" s="42">
        <f>'STOCK 09a15-03'!U30</f>
        <v>15</v>
      </c>
      <c r="V4" s="42">
        <f>'STOCK 09a15-03'!V30</f>
        <v>0</v>
      </c>
      <c r="W4" s="42">
        <f>'STOCK 09a15-03'!W30</f>
        <v>200</v>
      </c>
      <c r="X4" s="42">
        <f>'STOCK 09a15-03'!X30</f>
        <v>234</v>
      </c>
      <c r="Y4" s="42">
        <f>'STOCK 09a15-03'!Y30</f>
        <v>3950</v>
      </c>
      <c r="Z4" s="42">
        <f>'STOCK 09a15-03'!Z30</f>
        <v>0</v>
      </c>
      <c r="AA4" s="42">
        <f>'STOCK 09a15-03'!AA30</f>
        <v>0</v>
      </c>
      <c r="AB4" s="42">
        <f>'STOCK 09a15-03'!AB30</f>
        <v>0</v>
      </c>
    </row>
    <row r="5" spans="1:28" x14ac:dyDescent="0.25">
      <c r="A5" s="311"/>
      <c r="B5" s="20">
        <v>45733</v>
      </c>
      <c r="C5" s="82" t="s">
        <v>27</v>
      </c>
      <c r="D5" s="27">
        <v>2000</v>
      </c>
      <c r="F5" s="35"/>
      <c r="G5">
        <v>1000</v>
      </c>
      <c r="H5" s="31"/>
      <c r="I5" s="13"/>
      <c r="J5" s="35"/>
      <c r="L5" s="35"/>
      <c r="M5" s="35"/>
      <c r="N5" s="14"/>
      <c r="O5" s="27"/>
      <c r="S5" s="31"/>
      <c r="T5" s="13">
        <v>330</v>
      </c>
      <c r="W5" s="31"/>
      <c r="X5" s="13"/>
      <c r="Y5" s="31"/>
      <c r="AA5" s="31"/>
      <c r="AB5" s="15"/>
    </row>
    <row r="6" spans="1:28" x14ac:dyDescent="0.25">
      <c r="A6" s="311"/>
      <c r="B6" s="20">
        <v>45734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R6">
        <v>600</v>
      </c>
      <c r="S6" s="31"/>
      <c r="T6" s="13">
        <v>500</v>
      </c>
      <c r="W6" s="31"/>
      <c r="X6" s="13"/>
      <c r="Y6" s="31"/>
      <c r="AA6" s="31"/>
      <c r="AB6" s="15"/>
    </row>
    <row r="7" spans="1:28" x14ac:dyDescent="0.25">
      <c r="A7" s="311"/>
      <c r="B7" s="20">
        <v>45734</v>
      </c>
      <c r="C7" s="82" t="s">
        <v>98</v>
      </c>
      <c r="D7" s="27"/>
      <c r="F7" s="35"/>
      <c r="H7" s="31"/>
      <c r="I7" s="13">
        <v>8000</v>
      </c>
      <c r="J7" s="35"/>
      <c r="L7" s="35"/>
      <c r="M7" s="35"/>
      <c r="N7" s="14"/>
      <c r="O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45735</v>
      </c>
      <c r="C8" s="82" t="s">
        <v>27</v>
      </c>
      <c r="D8" s="27">
        <v>2000</v>
      </c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45736</v>
      </c>
      <c r="C9" s="82" t="s">
        <v>46</v>
      </c>
      <c r="D9" s="27">
        <v>4000</v>
      </c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>
        <v>45738</v>
      </c>
      <c r="C10" s="82" t="s">
        <v>46</v>
      </c>
      <c r="D10" s="27"/>
      <c r="F10" s="35"/>
      <c r="G10">
        <v>7000</v>
      </c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32"/>
      <c r="AB13" s="19"/>
    </row>
    <row r="14" spans="1:28" x14ac:dyDescent="0.25">
      <c r="A14" s="310" t="s">
        <v>62</v>
      </c>
      <c r="B14" s="20">
        <v>45732</v>
      </c>
      <c r="C14" s="14" t="s">
        <v>22</v>
      </c>
      <c r="D14" s="27"/>
      <c r="F14" s="35"/>
      <c r="G14">
        <v>500</v>
      </c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>
        <v>45733</v>
      </c>
      <c r="C15" s="14" t="s">
        <v>22</v>
      </c>
      <c r="D15" s="27"/>
      <c r="F15" s="35"/>
      <c r="G15">
        <v>1000</v>
      </c>
      <c r="H15" s="31"/>
      <c r="I15" s="13">
        <v>80</v>
      </c>
      <c r="J15" s="35"/>
      <c r="L15" s="35"/>
      <c r="M15" s="35"/>
      <c r="N15" s="14"/>
      <c r="O15" s="27"/>
      <c r="S15" s="31"/>
      <c r="T15" s="13"/>
      <c r="W15" s="31"/>
      <c r="X15" s="13"/>
      <c r="Y15" s="31">
        <f>50+24</f>
        <v>74</v>
      </c>
      <c r="AA15" s="31"/>
      <c r="AB15" s="15"/>
    </row>
    <row r="16" spans="1:28" x14ac:dyDescent="0.25">
      <c r="A16" s="311"/>
      <c r="B16" s="20">
        <v>45734</v>
      </c>
      <c r="C16" s="14" t="s">
        <v>22</v>
      </c>
      <c r="D16" s="27">
        <f>2000+150+1000</f>
        <v>3150</v>
      </c>
      <c r="F16" s="35"/>
      <c r="H16" s="31"/>
      <c r="I16" s="13">
        <f>1000+1000</f>
        <v>2000</v>
      </c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45735</v>
      </c>
      <c r="C17" s="14" t="s">
        <v>22</v>
      </c>
      <c r="D17" s="27">
        <v>100</v>
      </c>
      <c r="F17" s="35"/>
      <c r="H17" s="31"/>
      <c r="I17" s="13"/>
      <c r="J17" s="35"/>
      <c r="L17" s="35"/>
      <c r="M17" s="35"/>
      <c r="N17" s="14"/>
      <c r="O17" s="27"/>
      <c r="R17">
        <v>50</v>
      </c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45736</v>
      </c>
      <c r="C18" s="14" t="s">
        <v>45</v>
      </c>
      <c r="D18" s="27"/>
      <c r="F18" s="35"/>
      <c r="H18" s="31"/>
      <c r="I18" s="13"/>
      <c r="J18" s="35"/>
      <c r="L18" s="35"/>
      <c r="M18" s="35"/>
      <c r="N18" s="14"/>
      <c r="O18" s="27"/>
      <c r="R18">
        <v>500</v>
      </c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>
        <v>45736</v>
      </c>
      <c r="C19" s="14" t="s">
        <v>22</v>
      </c>
      <c r="D19" s="27"/>
      <c r="F19" s="35"/>
      <c r="G19">
        <v>500</v>
      </c>
      <c r="H19" s="31"/>
      <c r="I19" s="13">
        <v>200</v>
      </c>
      <c r="J19" s="35"/>
      <c r="L19" s="35"/>
      <c r="M19" s="35"/>
      <c r="N19" s="14"/>
      <c r="O19" s="27"/>
      <c r="R19">
        <f>240+130</f>
        <v>370</v>
      </c>
      <c r="S19" s="31"/>
      <c r="T19" s="13">
        <v>350</v>
      </c>
      <c r="W19" s="31"/>
      <c r="X19" s="13"/>
      <c r="Y19" s="31"/>
      <c r="AA19" s="31"/>
      <c r="AB19" s="15"/>
    </row>
    <row r="20" spans="1:28" x14ac:dyDescent="0.25">
      <c r="A20" s="311"/>
      <c r="B20" s="20">
        <v>45737</v>
      </c>
      <c r="C20" s="14" t="s">
        <v>22</v>
      </c>
      <c r="D20" s="27">
        <f>500+2268+1000+1000</f>
        <v>4768</v>
      </c>
      <c r="F20" s="35"/>
      <c r="G20">
        <f>500+380</f>
        <v>880</v>
      </c>
      <c r="H20" s="31"/>
      <c r="I20" s="13">
        <v>1000</v>
      </c>
      <c r="J20" s="35"/>
      <c r="L20" s="35"/>
      <c r="M20" s="35"/>
      <c r="N20" s="14">
        <v>500</v>
      </c>
      <c r="O20" s="27"/>
      <c r="R20">
        <v>50</v>
      </c>
      <c r="S20" s="31"/>
      <c r="T20" s="13">
        <f>350+10+35</f>
        <v>395</v>
      </c>
      <c r="W20" s="31"/>
      <c r="X20" s="13"/>
      <c r="Y20" s="31"/>
      <c r="AA20" s="31"/>
      <c r="AB20" s="15"/>
    </row>
    <row r="21" spans="1:28" x14ac:dyDescent="0.25">
      <c r="A21" s="311"/>
      <c r="B21" s="20">
        <v>45738</v>
      </c>
      <c r="C21" s="14" t="s">
        <v>22</v>
      </c>
      <c r="D21" s="27"/>
      <c r="F21" s="35"/>
      <c r="H21" s="31"/>
      <c r="I21" s="13">
        <v>1500</v>
      </c>
      <c r="J21" s="35"/>
      <c r="L21" s="35"/>
      <c r="M21" s="35"/>
      <c r="N21" s="14"/>
      <c r="O21" s="27"/>
      <c r="S21" s="31"/>
      <c r="T21" s="13">
        <v>15</v>
      </c>
      <c r="W21" s="31"/>
      <c r="X21" s="13"/>
      <c r="Y21" s="31">
        <v>100</v>
      </c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31"/>
      <c r="AB26" s="15"/>
    </row>
    <row r="27" spans="1:28" x14ac:dyDescent="0.25">
      <c r="A27" s="311"/>
      <c r="B27" s="20"/>
      <c r="C27" s="14"/>
      <c r="D27" s="27"/>
      <c r="F27" s="35"/>
      <c r="H27" s="31"/>
      <c r="I27" s="13"/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31"/>
      <c r="AB27" s="15"/>
    </row>
    <row r="28" spans="1:28" ht="15.75" thickBot="1" x14ac:dyDescent="0.3">
      <c r="A28" s="312"/>
      <c r="B28" s="13"/>
      <c r="C28" s="14"/>
      <c r="D28" s="27"/>
      <c r="F28" s="35"/>
      <c r="H28" s="31"/>
      <c r="I28" s="13"/>
      <c r="J28" s="35"/>
      <c r="L28" s="35"/>
      <c r="M28" s="35"/>
      <c r="N28" s="14"/>
      <c r="O28" s="27"/>
      <c r="S28" s="31"/>
      <c r="T28" s="13"/>
      <c r="W28" s="31"/>
      <c r="X28" s="13"/>
      <c r="Y28" s="31"/>
      <c r="AA28" s="31"/>
      <c r="AB28" s="15"/>
    </row>
    <row r="29" spans="1:28" ht="21.75" thickBot="1" x14ac:dyDescent="0.3">
      <c r="A29" s="21" t="s">
        <v>23</v>
      </c>
      <c r="B29" s="22"/>
      <c r="C29" s="23"/>
      <c r="D29" s="29">
        <f t="shared" ref="D29:AB29" si="0">SUM(D4:D13)-SUM(D14:D28)</f>
        <v>23</v>
      </c>
      <c r="E29" s="22">
        <f t="shared" si="0"/>
        <v>0</v>
      </c>
      <c r="F29" s="37">
        <f t="shared" si="0"/>
        <v>0</v>
      </c>
      <c r="G29" s="24">
        <f t="shared" si="0"/>
        <v>7620</v>
      </c>
      <c r="H29" s="33">
        <f t="shared" si="0"/>
        <v>206</v>
      </c>
      <c r="I29" s="22">
        <f t="shared" si="0"/>
        <v>10750</v>
      </c>
      <c r="J29" s="37">
        <f t="shared" si="0"/>
        <v>9</v>
      </c>
      <c r="K29" s="24">
        <f t="shared" si="0"/>
        <v>0</v>
      </c>
      <c r="L29" s="37">
        <f t="shared" si="0"/>
        <v>0</v>
      </c>
      <c r="M29" s="37">
        <f t="shared" si="0"/>
        <v>125</v>
      </c>
      <c r="N29" s="23">
        <f t="shared" si="0"/>
        <v>647</v>
      </c>
      <c r="O29" s="29">
        <f t="shared" si="0"/>
        <v>739</v>
      </c>
      <c r="P29" s="29">
        <f t="shared" si="0"/>
        <v>1500</v>
      </c>
      <c r="Q29" s="29">
        <f t="shared" si="0"/>
        <v>80</v>
      </c>
      <c r="R29" s="24">
        <f t="shared" si="0"/>
        <v>1071</v>
      </c>
      <c r="S29" s="33">
        <f t="shared" si="0"/>
        <v>6</v>
      </c>
      <c r="T29" s="22">
        <f t="shared" si="0"/>
        <v>279</v>
      </c>
      <c r="U29" s="22">
        <f t="shared" si="0"/>
        <v>15</v>
      </c>
      <c r="V29" s="22">
        <f t="shared" si="0"/>
        <v>0</v>
      </c>
      <c r="W29" s="33">
        <f t="shared" si="0"/>
        <v>200</v>
      </c>
      <c r="X29" s="22">
        <f t="shared" si="0"/>
        <v>234</v>
      </c>
      <c r="Y29" s="33">
        <f t="shared" si="0"/>
        <v>3776</v>
      </c>
      <c r="Z29" s="22">
        <f t="shared" si="0"/>
        <v>0</v>
      </c>
      <c r="AA29" s="33">
        <f t="shared" si="0"/>
        <v>0</v>
      </c>
      <c r="AB29" s="25">
        <f t="shared" si="0"/>
        <v>0</v>
      </c>
    </row>
    <row r="31" spans="1:28" x14ac:dyDescent="0.25">
      <c r="D31">
        <f>D29*0.37</f>
        <v>8.51</v>
      </c>
      <c r="E31">
        <f>+E29*0.3</f>
        <v>0</v>
      </c>
      <c r="F31">
        <f>+F29*0.28</f>
        <v>0</v>
      </c>
      <c r="G31">
        <f>+G29*0.44</f>
        <v>3352.8</v>
      </c>
      <c r="H31">
        <f>+H29*0.4</f>
        <v>82.4</v>
      </c>
      <c r="I31">
        <f>+I29*0.55</f>
        <v>5912.5000000000009</v>
      </c>
      <c r="J31">
        <f>+J29*0.54</f>
        <v>4.8600000000000003</v>
      </c>
      <c r="K31" s="50">
        <f>+K29*0.82</f>
        <v>0</v>
      </c>
      <c r="L31">
        <f>+L29*0.62</f>
        <v>0</v>
      </c>
      <c r="M31">
        <f>+M29*0.64</f>
        <v>80</v>
      </c>
      <c r="N31">
        <f>+N29*0.57</f>
        <v>368.78999999999996</v>
      </c>
      <c r="O31">
        <f>+O29*2.04</f>
        <v>1507.56</v>
      </c>
      <c r="P31">
        <f>+P29*1.575+(300*0.285)</f>
        <v>2448</v>
      </c>
      <c r="Q31">
        <f>Q29*1.8</f>
        <v>144</v>
      </c>
      <c r="R31">
        <f>+R29*1.88-(471*0.05)</f>
        <v>1989.9299999999998</v>
      </c>
      <c r="S31">
        <f>+S29*1.57</f>
        <v>9.42</v>
      </c>
      <c r="T31">
        <f>+T29*1.98</f>
        <v>552.41999999999996</v>
      </c>
      <c r="U31">
        <f>+U29*1.85</f>
        <v>27.75</v>
      </c>
      <c r="V31">
        <f>+V29*2.18</f>
        <v>0</v>
      </c>
      <c r="W31">
        <f>+W29*1.9</f>
        <v>380</v>
      </c>
      <c r="X31">
        <f>+X29*0.46</f>
        <v>107.64</v>
      </c>
      <c r="Y31">
        <f>+Y29*0.35</f>
        <v>1321.6</v>
      </c>
      <c r="Z31" s="50">
        <f>+Z29*1.9</f>
        <v>0</v>
      </c>
      <c r="AA31">
        <f>+AA29*0.93</f>
        <v>0</v>
      </c>
      <c r="AB31">
        <f>+AB29*1.5</f>
        <v>0</v>
      </c>
    </row>
    <row r="32" spans="1:28" x14ac:dyDescent="0.25">
      <c r="AB32" s="39">
        <f>SUM(D31:AB31)</f>
        <v>18298.179999999997</v>
      </c>
    </row>
    <row r="34" spans="3:19" ht="15.75" x14ac:dyDescent="0.25">
      <c r="D34">
        <f>36*0.33</f>
        <v>11.88</v>
      </c>
      <c r="R34">
        <f>112*1.76</f>
        <v>197.12</v>
      </c>
      <c r="S34" s="89"/>
    </row>
    <row r="35" spans="3:19" ht="15.75" x14ac:dyDescent="0.25">
      <c r="D35">
        <f>1964*0.36</f>
        <v>707.04</v>
      </c>
      <c r="R35">
        <f>13*1.83</f>
        <v>23.79</v>
      </c>
      <c r="S35" s="89"/>
    </row>
    <row r="36" spans="3:19" x14ac:dyDescent="0.25">
      <c r="D36">
        <f>+D34+D35</f>
        <v>718.92</v>
      </c>
      <c r="R36">
        <f>SUM(R34:R35)</f>
        <v>220.91</v>
      </c>
      <c r="S36" s="85"/>
    </row>
    <row r="37" spans="3:19" x14ac:dyDescent="0.25">
      <c r="D37">
        <f>D36/2000</f>
        <v>0.35946</v>
      </c>
      <c r="R37">
        <f>R36/125</f>
        <v>1.76728</v>
      </c>
      <c r="S37" s="85"/>
    </row>
    <row r="38" spans="3:19" x14ac:dyDescent="0.25">
      <c r="S38" s="85"/>
    </row>
    <row r="39" spans="3:19" x14ac:dyDescent="0.25">
      <c r="S39" s="85"/>
    </row>
    <row r="40" spans="3:19" x14ac:dyDescent="0.25">
      <c r="S40" s="85"/>
    </row>
    <row r="41" spans="3:19" x14ac:dyDescent="0.25">
      <c r="S41" s="85"/>
    </row>
    <row r="44" spans="3:19" x14ac:dyDescent="0.25">
      <c r="Q44">
        <v>211692</v>
      </c>
    </row>
    <row r="45" spans="3:19" x14ac:dyDescent="0.25">
      <c r="Q45">
        <v>160820</v>
      </c>
    </row>
    <row r="46" spans="3:19" x14ac:dyDescent="0.25">
      <c r="Q46">
        <f>+Q44-Q45</f>
        <v>50872</v>
      </c>
    </row>
    <row r="48" spans="3:19" x14ac:dyDescent="0.25">
      <c r="C48">
        <f>1110*8*3.689</f>
        <v>32758.32</v>
      </c>
      <c r="O48">
        <f>580*32.2</f>
        <v>18676</v>
      </c>
    </row>
    <row r="49" spans="3:15" x14ac:dyDescent="0.25">
      <c r="C49">
        <v>4500</v>
      </c>
      <c r="O49">
        <f>570*30</f>
        <v>17100</v>
      </c>
    </row>
    <row r="50" spans="3:15" x14ac:dyDescent="0.25">
      <c r="C50">
        <f>SUM(C48:C49)</f>
        <v>37258.32</v>
      </c>
    </row>
  </sheetData>
  <mergeCells count="7">
    <mergeCell ref="X2:Y2"/>
    <mergeCell ref="A4:A13"/>
    <mergeCell ref="A14:A28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0DDB-CE1E-4C8D-8B57-3AB68D036832}">
  <dimension ref="A1:AB50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20" sqref="J2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16a22-03'!D29</f>
        <v>23</v>
      </c>
      <c r="E4" s="42">
        <f>'STOCK 16a22-03'!E29</f>
        <v>0</v>
      </c>
      <c r="F4" s="42">
        <f>'STOCK 16a22-03'!F29</f>
        <v>0</v>
      </c>
      <c r="G4" s="42">
        <f>'STOCK 16a22-03'!G29</f>
        <v>7620</v>
      </c>
      <c r="H4" s="42">
        <f>'STOCK 16a22-03'!H29</f>
        <v>206</v>
      </c>
      <c r="I4" s="42">
        <f>'STOCK 16a22-03'!I29</f>
        <v>10750</v>
      </c>
      <c r="J4" s="42">
        <f>'STOCK 16a22-03'!J29</f>
        <v>9</v>
      </c>
      <c r="K4" s="42">
        <f>'STOCK 16a22-03'!K29</f>
        <v>0</v>
      </c>
      <c r="L4" s="42">
        <f>'STOCK 16a22-03'!L29</f>
        <v>0</v>
      </c>
      <c r="M4" s="42">
        <f>'STOCK 16a22-03'!M29</f>
        <v>125</v>
      </c>
      <c r="N4" s="42">
        <f>'STOCK 16a22-03'!N29</f>
        <v>647</v>
      </c>
      <c r="O4" s="42">
        <f>'STOCK 16a22-03'!O29</f>
        <v>739</v>
      </c>
      <c r="P4" s="42">
        <f>'STOCK 16a22-03'!P29</f>
        <v>1500</v>
      </c>
      <c r="Q4" s="42">
        <f>'STOCK 16a22-03'!Q29</f>
        <v>80</v>
      </c>
      <c r="R4" s="42">
        <f>'STOCK 16a22-03'!R29</f>
        <v>1071</v>
      </c>
      <c r="S4" s="42">
        <f>'STOCK 16a22-03'!S29</f>
        <v>6</v>
      </c>
      <c r="T4" s="42">
        <f>'STOCK 16a22-03'!T29</f>
        <v>279</v>
      </c>
      <c r="U4" s="42">
        <f>'STOCK 16a22-03'!U29</f>
        <v>15</v>
      </c>
      <c r="V4" s="42">
        <f>'STOCK 16a22-03'!V29</f>
        <v>0</v>
      </c>
      <c r="W4" s="42">
        <f>'STOCK 16a22-03'!W29</f>
        <v>200</v>
      </c>
      <c r="X4" s="42">
        <f>'STOCK 16a22-03'!X29</f>
        <v>234</v>
      </c>
      <c r="Y4" s="42">
        <f>'STOCK 16a22-03'!Y29</f>
        <v>3776</v>
      </c>
      <c r="Z4" s="42">
        <f>'STOCK 16a22-03'!Z29</f>
        <v>0</v>
      </c>
      <c r="AA4" s="42">
        <f>'STOCK 16a22-03'!AA29</f>
        <v>0</v>
      </c>
      <c r="AB4" s="42">
        <f>'STOCK 16a22-03'!AB29</f>
        <v>0</v>
      </c>
    </row>
    <row r="5" spans="1:28" x14ac:dyDescent="0.25">
      <c r="A5" s="311"/>
      <c r="B5" s="20">
        <v>45740</v>
      </c>
      <c r="C5" s="82" t="s">
        <v>46</v>
      </c>
      <c r="D5" s="27"/>
      <c r="F5" s="35"/>
      <c r="G5">
        <v>4000</v>
      </c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45741</v>
      </c>
      <c r="C6" s="82" t="s">
        <v>46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31"/>
      <c r="AB6" s="15">
        <v>1000</v>
      </c>
    </row>
    <row r="7" spans="1:28" x14ac:dyDescent="0.25">
      <c r="A7" s="311"/>
      <c r="B7" s="20">
        <v>45742</v>
      </c>
      <c r="C7" s="82" t="s">
        <v>65</v>
      </c>
      <c r="D7" s="27"/>
      <c r="F7" s="35"/>
      <c r="H7" s="31"/>
      <c r="I7" s="13">
        <v>1000</v>
      </c>
      <c r="J7" s="35"/>
      <c r="L7" s="35"/>
      <c r="M7" s="35"/>
      <c r="N7" s="14"/>
      <c r="O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32"/>
      <c r="AB13" s="19"/>
    </row>
    <row r="14" spans="1:28" x14ac:dyDescent="0.25">
      <c r="A14" s="310" t="s">
        <v>62</v>
      </c>
      <c r="B14" s="20">
        <v>45739</v>
      </c>
      <c r="C14" s="14" t="s">
        <v>79</v>
      </c>
      <c r="D14" s="27"/>
      <c r="F14" s="35"/>
      <c r="H14" s="31"/>
      <c r="I14" s="13">
        <f>500+50</f>
        <v>550</v>
      </c>
      <c r="J14" s="35"/>
      <c r="L14" s="35"/>
      <c r="M14" s="35"/>
      <c r="N14" s="14"/>
      <c r="O14" s="27"/>
      <c r="S14" s="31"/>
      <c r="T14" s="13"/>
      <c r="W14" s="31"/>
      <c r="X14" s="13"/>
      <c r="Y14" s="31">
        <f>3+50</f>
        <v>53</v>
      </c>
      <c r="AA14" s="31"/>
      <c r="AB14" s="15"/>
    </row>
    <row r="15" spans="1:28" x14ac:dyDescent="0.25">
      <c r="A15" s="311"/>
      <c r="B15" s="20">
        <v>45740</v>
      </c>
      <c r="C15" s="14" t="s">
        <v>79</v>
      </c>
      <c r="D15" s="27"/>
      <c r="F15" s="35"/>
      <c r="H15" s="31"/>
      <c r="I15" s="13">
        <f>340+1500</f>
        <v>1840</v>
      </c>
      <c r="J15" s="35"/>
      <c r="L15" s="35"/>
      <c r="M15" s="35"/>
      <c r="N15" s="14"/>
      <c r="O15" s="27"/>
      <c r="R15">
        <v>400</v>
      </c>
      <c r="S15" s="31"/>
      <c r="T15" s="13">
        <v>20</v>
      </c>
      <c r="W15" s="31"/>
      <c r="X15" s="13"/>
      <c r="Y15" s="31">
        <v>500</v>
      </c>
      <c r="AA15" s="31"/>
      <c r="AB15" s="15"/>
    </row>
    <row r="16" spans="1:28" x14ac:dyDescent="0.25">
      <c r="A16" s="311"/>
      <c r="B16" s="20">
        <v>45740</v>
      </c>
      <c r="C16" s="14" t="s">
        <v>38</v>
      </c>
      <c r="D16" s="27"/>
      <c r="F16" s="35"/>
      <c r="H16" s="31"/>
      <c r="I16" s="13">
        <v>1500</v>
      </c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45741</v>
      </c>
      <c r="C17" s="14" t="s">
        <v>79</v>
      </c>
      <c r="D17" s="27"/>
      <c r="F17" s="35"/>
      <c r="G17">
        <f>500+50</f>
        <v>550</v>
      </c>
      <c r="H17" s="31"/>
      <c r="I17" s="13"/>
      <c r="J17" s="35"/>
      <c r="L17" s="35"/>
      <c r="M17" s="35"/>
      <c r="N17" s="14"/>
      <c r="O17" s="27"/>
      <c r="S17" s="31"/>
      <c r="T17" s="13">
        <v>10</v>
      </c>
      <c r="W17" s="31"/>
      <c r="X17" s="13"/>
      <c r="Y17" s="31">
        <v>15</v>
      </c>
      <c r="AA17" s="31"/>
      <c r="AB17" s="15"/>
    </row>
    <row r="18" spans="1:28" x14ac:dyDescent="0.25">
      <c r="A18" s="311"/>
      <c r="B18" s="20">
        <v>45742</v>
      </c>
      <c r="C18" s="14" t="s">
        <v>79</v>
      </c>
      <c r="D18" s="27"/>
      <c r="F18" s="35"/>
      <c r="H18" s="31"/>
      <c r="I18" s="13">
        <v>2000</v>
      </c>
      <c r="J18" s="35"/>
      <c r="L18" s="35"/>
      <c r="M18" s="35"/>
      <c r="N18" s="14"/>
      <c r="O18" s="27"/>
      <c r="R18">
        <v>200</v>
      </c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>
        <v>45743</v>
      </c>
      <c r="C19" s="14" t="s">
        <v>79</v>
      </c>
      <c r="D19" s="27"/>
      <c r="F19" s="35"/>
      <c r="H19" s="31"/>
      <c r="I19" s="13"/>
      <c r="J19" s="35"/>
      <c r="L19" s="35"/>
      <c r="M19" s="35"/>
      <c r="N19" s="14"/>
      <c r="O19" s="27"/>
      <c r="R19">
        <v>200</v>
      </c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>
        <v>45744</v>
      </c>
      <c r="C20" s="14" t="s">
        <v>79</v>
      </c>
      <c r="D20" s="27"/>
      <c r="F20" s="35"/>
      <c r="H20" s="31"/>
      <c r="I20" s="13"/>
      <c r="J20" s="35"/>
      <c r="L20" s="35"/>
      <c r="M20" s="35"/>
      <c r="N20" s="14"/>
      <c r="O20" s="27"/>
      <c r="R20">
        <v>100</v>
      </c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>
        <v>45745</v>
      </c>
      <c r="C21" s="14" t="s">
        <v>79</v>
      </c>
      <c r="D21" s="27"/>
      <c r="F21" s="35"/>
      <c r="G21">
        <f>2500+500</f>
        <v>3000</v>
      </c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31"/>
      <c r="AB26" s="15"/>
    </row>
    <row r="27" spans="1:28" x14ac:dyDescent="0.25">
      <c r="A27" s="311"/>
      <c r="B27" s="20"/>
      <c r="C27" s="14"/>
      <c r="D27" s="27"/>
      <c r="F27" s="35"/>
      <c r="H27" s="31"/>
      <c r="I27" s="13"/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31"/>
      <c r="AB27" s="15"/>
    </row>
    <row r="28" spans="1:28" ht="15.75" thickBot="1" x14ac:dyDescent="0.3">
      <c r="A28" s="312"/>
      <c r="B28" s="13"/>
      <c r="C28" s="14"/>
      <c r="D28" s="27"/>
      <c r="F28" s="35"/>
      <c r="H28" s="31"/>
      <c r="I28" s="13"/>
      <c r="J28" s="35"/>
      <c r="L28" s="35"/>
      <c r="M28" s="35"/>
      <c r="N28" s="14"/>
      <c r="O28" s="27"/>
      <c r="S28" s="31"/>
      <c r="T28" s="13"/>
      <c r="W28" s="31"/>
      <c r="X28" s="13"/>
      <c r="Y28" s="31"/>
      <c r="AA28" s="31"/>
      <c r="AB28" s="15"/>
    </row>
    <row r="29" spans="1:28" ht="21.75" thickBot="1" x14ac:dyDescent="0.3">
      <c r="A29" s="21" t="s">
        <v>23</v>
      </c>
      <c r="B29" s="22"/>
      <c r="C29" s="23"/>
      <c r="D29" s="29">
        <f t="shared" ref="D29:AB29" si="0">SUM(D4:D13)-SUM(D14:D28)</f>
        <v>23</v>
      </c>
      <c r="E29" s="22">
        <f t="shared" si="0"/>
        <v>0</v>
      </c>
      <c r="F29" s="37">
        <f t="shared" si="0"/>
        <v>0</v>
      </c>
      <c r="G29" s="24">
        <f t="shared" si="0"/>
        <v>8070</v>
      </c>
      <c r="H29" s="33">
        <f t="shared" si="0"/>
        <v>206</v>
      </c>
      <c r="I29" s="22">
        <f t="shared" si="0"/>
        <v>5860</v>
      </c>
      <c r="J29" s="37">
        <f t="shared" si="0"/>
        <v>9</v>
      </c>
      <c r="K29" s="24">
        <f t="shared" si="0"/>
        <v>0</v>
      </c>
      <c r="L29" s="37">
        <f t="shared" si="0"/>
        <v>0</v>
      </c>
      <c r="M29" s="37">
        <f t="shared" si="0"/>
        <v>125</v>
      </c>
      <c r="N29" s="23">
        <f t="shared" si="0"/>
        <v>647</v>
      </c>
      <c r="O29" s="29">
        <f t="shared" si="0"/>
        <v>739</v>
      </c>
      <c r="P29" s="29">
        <f t="shared" si="0"/>
        <v>1500</v>
      </c>
      <c r="Q29" s="29">
        <f t="shared" si="0"/>
        <v>80</v>
      </c>
      <c r="R29" s="24">
        <f t="shared" si="0"/>
        <v>171</v>
      </c>
      <c r="S29" s="33">
        <f t="shared" si="0"/>
        <v>6</v>
      </c>
      <c r="T29" s="22">
        <f t="shared" si="0"/>
        <v>249</v>
      </c>
      <c r="U29" s="22">
        <f t="shared" si="0"/>
        <v>15</v>
      </c>
      <c r="V29" s="22">
        <f t="shared" si="0"/>
        <v>0</v>
      </c>
      <c r="W29" s="33">
        <f t="shared" si="0"/>
        <v>200</v>
      </c>
      <c r="X29" s="22">
        <f t="shared" si="0"/>
        <v>234</v>
      </c>
      <c r="Y29" s="33">
        <f t="shared" si="0"/>
        <v>3208</v>
      </c>
      <c r="Z29" s="22">
        <f t="shared" si="0"/>
        <v>0</v>
      </c>
      <c r="AA29" s="33">
        <f t="shared" si="0"/>
        <v>0</v>
      </c>
      <c r="AB29" s="25">
        <f t="shared" si="0"/>
        <v>1000</v>
      </c>
    </row>
    <row r="31" spans="1:28" x14ac:dyDescent="0.25">
      <c r="D31">
        <f>D29*0.37</f>
        <v>8.51</v>
      </c>
      <c r="E31">
        <f>+E29*0.3</f>
        <v>0</v>
      </c>
      <c r="F31">
        <f>+F29*0.28</f>
        <v>0</v>
      </c>
      <c r="G31">
        <f>+G29*0.44</f>
        <v>3550.8</v>
      </c>
      <c r="H31">
        <f>+H29*0.4</f>
        <v>82.4</v>
      </c>
      <c r="I31">
        <f>+I29*0.55+(1000*0.02)</f>
        <v>3243.0000000000005</v>
      </c>
      <c r="J31">
        <f>+J29*0.54</f>
        <v>4.8600000000000003</v>
      </c>
      <c r="K31" s="50">
        <f>+K29*0.82</f>
        <v>0</v>
      </c>
      <c r="L31">
        <f>+L29*0.62</f>
        <v>0</v>
      </c>
      <c r="M31">
        <f>+M29*0.64</f>
        <v>80</v>
      </c>
      <c r="N31">
        <f>+N29*0.57</f>
        <v>368.78999999999996</v>
      </c>
      <c r="O31">
        <f>+O29*2.04</f>
        <v>1507.56</v>
      </c>
      <c r="P31">
        <f>+P29*1.575+(300*0.285)</f>
        <v>2448</v>
      </c>
      <c r="Q31">
        <f>Q29*1.8</f>
        <v>144</v>
      </c>
      <c r="R31">
        <f>+R29*1.88</f>
        <v>321.47999999999996</v>
      </c>
      <c r="S31">
        <f>+S29*1.57</f>
        <v>9.42</v>
      </c>
      <c r="T31">
        <f>+T29*1.98</f>
        <v>493.02</v>
      </c>
      <c r="U31">
        <f>+U29*1.85</f>
        <v>27.75</v>
      </c>
      <c r="V31">
        <f>+V29*2.18</f>
        <v>0</v>
      </c>
      <c r="W31">
        <f>+W29*1.9</f>
        <v>380</v>
      </c>
      <c r="X31">
        <f>+X29*0.46</f>
        <v>107.64</v>
      </c>
      <c r="Y31">
        <f>+Y29*0.35</f>
        <v>1122.8</v>
      </c>
      <c r="Z31" s="50">
        <f>+Z29*1.9</f>
        <v>0</v>
      </c>
      <c r="AA31">
        <f>+AA29*0.93</f>
        <v>0</v>
      </c>
      <c r="AB31">
        <f>+AB29*1.65</f>
        <v>1650</v>
      </c>
    </row>
    <row r="32" spans="1:28" x14ac:dyDescent="0.25">
      <c r="AB32" s="39">
        <f>SUM(D31:AB31)</f>
        <v>15550.029999999999</v>
      </c>
    </row>
    <row r="34" spans="3:19" ht="15.75" x14ac:dyDescent="0.25">
      <c r="D34">
        <f>36*0.33</f>
        <v>11.88</v>
      </c>
      <c r="S34" s="89"/>
    </row>
    <row r="35" spans="3:19" ht="15.75" x14ac:dyDescent="0.25">
      <c r="D35">
        <f>1964*0.36</f>
        <v>707.04</v>
      </c>
      <c r="S35" s="89"/>
    </row>
    <row r="36" spans="3:19" x14ac:dyDescent="0.25">
      <c r="D36">
        <f>+D34+D35</f>
        <v>718.92</v>
      </c>
      <c r="R36">
        <f>71*1.83</f>
        <v>129.93</v>
      </c>
      <c r="S36" s="85"/>
    </row>
    <row r="37" spans="3:19" x14ac:dyDescent="0.25">
      <c r="D37">
        <f>D36/2000</f>
        <v>0.35946</v>
      </c>
      <c r="R37">
        <f>129*1.88</f>
        <v>242.51999999999998</v>
      </c>
      <c r="S37" s="85"/>
    </row>
    <row r="38" spans="3:19" x14ac:dyDescent="0.25">
      <c r="R38">
        <f>SUM(R36:R37)</f>
        <v>372.45</v>
      </c>
      <c r="S38" s="85"/>
    </row>
    <row r="39" spans="3:19" x14ac:dyDescent="0.25">
      <c r="R39">
        <f>R38/200</f>
        <v>1.86225</v>
      </c>
      <c r="S39" s="85"/>
    </row>
    <row r="40" spans="3:19" x14ac:dyDescent="0.25">
      <c r="S40" s="85"/>
    </row>
    <row r="41" spans="3:19" x14ac:dyDescent="0.25">
      <c r="S41" s="85"/>
    </row>
    <row r="48" spans="3:19" x14ac:dyDescent="0.25">
      <c r="C48">
        <f>1110*8*3.689</f>
        <v>32758.32</v>
      </c>
    </row>
    <row r="49" spans="3:15" x14ac:dyDescent="0.25">
      <c r="C49">
        <v>4500</v>
      </c>
      <c r="O49">
        <f>570*30</f>
        <v>17100</v>
      </c>
    </row>
    <row r="50" spans="3:15" x14ac:dyDescent="0.25">
      <c r="C50">
        <f>SUM(C48:C49)</f>
        <v>37258.32</v>
      </c>
    </row>
  </sheetData>
  <mergeCells count="7">
    <mergeCell ref="X2:Y2"/>
    <mergeCell ref="A4:A13"/>
    <mergeCell ref="A14:A28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E9B6-0BA6-44F7-A6F8-5537DE9631AE}">
  <dimension ref="A1:AB46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5" sqref="O1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23a29-03'!D29</f>
        <v>23</v>
      </c>
      <c r="E4" s="42">
        <f>'STOCK 23a29-03'!E29</f>
        <v>0</v>
      </c>
      <c r="F4" s="42">
        <f>'STOCK 23a29-03'!F29</f>
        <v>0</v>
      </c>
      <c r="G4" s="42">
        <f>'STOCK 23a29-03'!G29</f>
        <v>8070</v>
      </c>
      <c r="H4" s="42">
        <f>'STOCK 23a29-03'!H29</f>
        <v>206</v>
      </c>
      <c r="I4" s="42">
        <f>'STOCK 23a29-03'!I29</f>
        <v>5860</v>
      </c>
      <c r="J4" s="42">
        <f>'STOCK 23a29-03'!J29</f>
        <v>9</v>
      </c>
      <c r="K4" s="42">
        <f>'STOCK 23a29-03'!K29</f>
        <v>0</v>
      </c>
      <c r="L4" s="42">
        <f>'STOCK 23a29-03'!L29</f>
        <v>0</v>
      </c>
      <c r="M4" s="42">
        <f>'STOCK 23a29-03'!M29</f>
        <v>125</v>
      </c>
      <c r="N4" s="42">
        <f>'STOCK 23a29-03'!N29</f>
        <v>647</v>
      </c>
      <c r="O4" s="42">
        <f>'STOCK 23a29-03'!O29</f>
        <v>739</v>
      </c>
      <c r="P4" s="42">
        <f>'STOCK 23a29-03'!P29</f>
        <v>1500</v>
      </c>
      <c r="Q4" s="42">
        <f>'STOCK 23a29-03'!Q29</f>
        <v>80</v>
      </c>
      <c r="R4" s="42">
        <f>'STOCK 23a29-03'!R29</f>
        <v>171</v>
      </c>
      <c r="S4" s="42">
        <f>'STOCK 23a29-03'!S29</f>
        <v>6</v>
      </c>
      <c r="T4" s="42">
        <f>'STOCK 23a29-03'!T29</f>
        <v>249</v>
      </c>
      <c r="U4" s="42">
        <f>'STOCK 23a29-03'!U29</f>
        <v>15</v>
      </c>
      <c r="V4" s="42">
        <f>'STOCK 23a29-03'!V29</f>
        <v>0</v>
      </c>
      <c r="W4" s="42">
        <f>'STOCK 23a29-03'!W29</f>
        <v>200</v>
      </c>
      <c r="X4" s="42">
        <f>'STOCK 23a29-03'!X29</f>
        <v>234</v>
      </c>
      <c r="Y4" s="42">
        <f>'STOCK 23a29-03'!Y29</f>
        <v>3208</v>
      </c>
      <c r="Z4" s="42">
        <f>'STOCK 23a29-03'!Z29</f>
        <v>0</v>
      </c>
      <c r="AA4" s="42">
        <f>'STOCK 23a29-03'!AA29</f>
        <v>0</v>
      </c>
      <c r="AB4" s="42">
        <f>'STOCK 23a29-03'!AB29</f>
        <v>1000</v>
      </c>
    </row>
    <row r="5" spans="1:28" x14ac:dyDescent="0.25">
      <c r="A5" s="311"/>
      <c r="B5" s="20">
        <v>45748</v>
      </c>
      <c r="C5" s="82" t="s">
        <v>46</v>
      </c>
      <c r="D5" s="27">
        <v>1500</v>
      </c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45749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>
        <v>1000</v>
      </c>
      <c r="W6" s="31"/>
      <c r="X6" s="13"/>
      <c r="Y6" s="31"/>
      <c r="AA6" s="31"/>
      <c r="AB6" s="15"/>
    </row>
    <row r="7" spans="1:28" x14ac:dyDescent="0.25">
      <c r="A7" s="311"/>
      <c r="B7" s="20">
        <v>45749</v>
      </c>
      <c r="C7" s="82" t="s">
        <v>100</v>
      </c>
      <c r="D7" s="27">
        <v>4560</v>
      </c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45749</v>
      </c>
      <c r="C8" s="82" t="s">
        <v>93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>
        <v>500</v>
      </c>
      <c r="AA8" s="31"/>
      <c r="AB8" s="15"/>
    </row>
    <row r="9" spans="1:28" x14ac:dyDescent="0.25">
      <c r="A9" s="311"/>
      <c r="B9" s="20">
        <v>45751</v>
      </c>
      <c r="C9" s="82" t="s">
        <v>27</v>
      </c>
      <c r="D9" s="27"/>
      <c r="F9" s="35"/>
      <c r="H9" s="31"/>
      <c r="I9" s="13">
        <v>4000</v>
      </c>
      <c r="J9" s="35"/>
      <c r="L9" s="35"/>
      <c r="M9" s="35"/>
      <c r="N9" s="14"/>
      <c r="O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32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>
        <v>45747</v>
      </c>
      <c r="C15" s="14" t="s">
        <v>22</v>
      </c>
      <c r="D15" s="27"/>
      <c r="F15" s="35"/>
      <c r="G15">
        <f>100+1000+500+800+225</f>
        <v>2625</v>
      </c>
      <c r="H15" s="31"/>
      <c r="I15" s="13">
        <f>20+500+200</f>
        <v>720</v>
      </c>
      <c r="J15" s="35"/>
      <c r="L15" s="35"/>
      <c r="M15" s="35"/>
      <c r="N15" s="14"/>
      <c r="O15" s="27">
        <v>200</v>
      </c>
      <c r="S15" s="31"/>
      <c r="T15" s="13"/>
      <c r="W15" s="31"/>
      <c r="X15" s="13"/>
      <c r="Y15" s="31"/>
      <c r="AA15" s="31"/>
      <c r="AB15" s="15"/>
    </row>
    <row r="16" spans="1:28" x14ac:dyDescent="0.25">
      <c r="A16" s="311"/>
      <c r="B16" s="20">
        <v>45749</v>
      </c>
      <c r="C16" s="14" t="s">
        <v>22</v>
      </c>
      <c r="D16" s="27"/>
      <c r="F16" s="35"/>
      <c r="G16">
        <v>1750</v>
      </c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45750</v>
      </c>
      <c r="C17" s="14" t="s">
        <v>22</v>
      </c>
      <c r="D17" s="27"/>
      <c r="F17" s="35"/>
      <c r="G17">
        <f>350+150</f>
        <v>500</v>
      </c>
      <c r="H17" s="31"/>
      <c r="I17" s="13">
        <v>2500</v>
      </c>
      <c r="J17" s="35"/>
      <c r="L17" s="35"/>
      <c r="M17" s="35"/>
      <c r="N17" s="14"/>
      <c r="O17" s="27"/>
      <c r="P17">
        <v>140</v>
      </c>
      <c r="R17">
        <v>100</v>
      </c>
      <c r="S17" s="31"/>
      <c r="T17" s="13"/>
      <c r="W17" s="31"/>
      <c r="X17" s="13"/>
      <c r="Y17" s="31"/>
      <c r="AA17" s="31"/>
      <c r="AB17" s="15"/>
    </row>
    <row r="18" spans="1:28" x14ac:dyDescent="0.25">
      <c r="A18" s="311"/>
      <c r="B18" s="20">
        <v>45751</v>
      </c>
      <c r="C18" s="14" t="s">
        <v>22</v>
      </c>
      <c r="D18" s="27">
        <v>100</v>
      </c>
      <c r="F18" s="35"/>
      <c r="H18" s="31"/>
      <c r="I18" s="13"/>
      <c r="J18" s="35"/>
      <c r="L18" s="35"/>
      <c r="M18" s="35"/>
      <c r="N18" s="14"/>
      <c r="O18" s="27"/>
      <c r="S18" s="31"/>
      <c r="T18" s="13">
        <v>280</v>
      </c>
      <c r="W18" s="31"/>
      <c r="X18" s="13"/>
      <c r="Y18" s="31">
        <v>250</v>
      </c>
      <c r="AA18" s="31"/>
      <c r="AB18" s="15"/>
    </row>
    <row r="19" spans="1:28" x14ac:dyDescent="0.25">
      <c r="A19" s="311"/>
      <c r="B19" s="20">
        <v>45752</v>
      </c>
      <c r="C19" s="14" t="s">
        <v>22</v>
      </c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>
        <v>200</v>
      </c>
      <c r="W19" s="31"/>
      <c r="X19" s="13"/>
      <c r="Y19" s="31"/>
      <c r="AA19" s="31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31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SUM(D4:D13)-SUM(D14:D24)</f>
        <v>5983</v>
      </c>
      <c r="E25" s="22">
        <f t="shared" si="0"/>
        <v>0</v>
      </c>
      <c r="F25" s="37">
        <f t="shared" si="0"/>
        <v>0</v>
      </c>
      <c r="G25" s="24">
        <f t="shared" si="0"/>
        <v>3195</v>
      </c>
      <c r="H25" s="33">
        <f t="shared" si="0"/>
        <v>206</v>
      </c>
      <c r="I25" s="22">
        <f t="shared" si="0"/>
        <v>6640</v>
      </c>
      <c r="J25" s="37">
        <f t="shared" si="0"/>
        <v>9</v>
      </c>
      <c r="K25" s="24">
        <f t="shared" si="0"/>
        <v>0</v>
      </c>
      <c r="L25" s="37">
        <f t="shared" si="0"/>
        <v>0</v>
      </c>
      <c r="M25" s="37">
        <f t="shared" si="0"/>
        <v>125</v>
      </c>
      <c r="N25" s="23">
        <f t="shared" si="0"/>
        <v>647</v>
      </c>
      <c r="O25" s="29">
        <f t="shared" si="0"/>
        <v>539</v>
      </c>
      <c r="P25" s="29">
        <f t="shared" si="0"/>
        <v>1360</v>
      </c>
      <c r="Q25" s="29">
        <f t="shared" si="0"/>
        <v>80</v>
      </c>
      <c r="R25" s="24">
        <f t="shared" si="0"/>
        <v>71</v>
      </c>
      <c r="S25" s="33">
        <f t="shared" si="0"/>
        <v>6</v>
      </c>
      <c r="T25" s="22">
        <f t="shared" si="0"/>
        <v>769</v>
      </c>
      <c r="U25" s="22">
        <f t="shared" si="0"/>
        <v>15</v>
      </c>
      <c r="V25" s="22">
        <f t="shared" si="0"/>
        <v>0</v>
      </c>
      <c r="W25" s="33">
        <f t="shared" si="0"/>
        <v>200</v>
      </c>
      <c r="X25" s="22">
        <f t="shared" si="0"/>
        <v>234</v>
      </c>
      <c r="Y25" s="33">
        <f t="shared" si="0"/>
        <v>3458</v>
      </c>
      <c r="Z25" s="22">
        <f t="shared" si="0"/>
        <v>0</v>
      </c>
      <c r="AA25" s="33">
        <f t="shared" si="0"/>
        <v>0</v>
      </c>
      <c r="AB25" s="25">
        <f t="shared" si="0"/>
        <v>1000</v>
      </c>
    </row>
    <row r="27" spans="1:28" x14ac:dyDescent="0.25">
      <c r="D27">
        <f>D25*0.4</f>
        <v>2393.2000000000003</v>
      </c>
      <c r="E27">
        <f>+E25*0.3</f>
        <v>0</v>
      </c>
      <c r="F27">
        <f>+F25*0.28</f>
        <v>0</v>
      </c>
      <c r="G27">
        <f>+G25*0.44</f>
        <v>1405.8</v>
      </c>
      <c r="H27">
        <f>+H25*0.4</f>
        <v>82.4</v>
      </c>
      <c r="I27">
        <f>+I25*0.57-(1640*0.02)</f>
        <v>3751.9999999999995</v>
      </c>
      <c r="J27">
        <f>+J25*0.54</f>
        <v>4.8600000000000003</v>
      </c>
      <c r="K27" s="50">
        <f>+K25*0.82</f>
        <v>0</v>
      </c>
      <c r="L27">
        <f>+L25*0.62</f>
        <v>0</v>
      </c>
      <c r="M27">
        <f>+M25*0.64</f>
        <v>80</v>
      </c>
      <c r="N27">
        <f>+N25*0.57</f>
        <v>368.78999999999996</v>
      </c>
      <c r="O27">
        <f>+O25*2.04</f>
        <v>1099.56</v>
      </c>
      <c r="P27">
        <f>+P25*1.575+(160*0.285)</f>
        <v>2187.6</v>
      </c>
      <c r="Q27">
        <f>Q25*1.8</f>
        <v>144</v>
      </c>
      <c r="R27">
        <f>+R25*1.88</f>
        <v>133.47999999999999</v>
      </c>
      <c r="S27">
        <f>+S25*1.57</f>
        <v>9.42</v>
      </c>
      <c r="T27">
        <f>+T25*1.98</f>
        <v>1522.62</v>
      </c>
      <c r="U27">
        <f>+U25*1.85</f>
        <v>27.75</v>
      </c>
      <c r="V27">
        <f>+V25*2.18</f>
        <v>0</v>
      </c>
      <c r="W27">
        <f>+W25*1.9</f>
        <v>380</v>
      </c>
      <c r="X27">
        <f>+X25*0.46</f>
        <v>107.64</v>
      </c>
      <c r="Y27">
        <f>+Y25*0.35</f>
        <v>1210.3</v>
      </c>
      <c r="Z27" s="50">
        <f>+Z25*1.9</f>
        <v>0</v>
      </c>
      <c r="AA27">
        <f>+AA25*0.93</f>
        <v>0</v>
      </c>
      <c r="AB27">
        <f>+AB25*1.65</f>
        <v>1650</v>
      </c>
    </row>
    <row r="28" spans="1:28" x14ac:dyDescent="0.25">
      <c r="AB28" s="39">
        <f>SUM(D27:AB27)</f>
        <v>16559.419999999998</v>
      </c>
    </row>
    <row r="30" spans="1:28" ht="15.75" x14ac:dyDescent="0.25">
      <c r="D30">
        <f>36*0.33</f>
        <v>11.88</v>
      </c>
      <c r="S30" s="89"/>
    </row>
    <row r="31" spans="1:28" ht="15.75" x14ac:dyDescent="0.25">
      <c r="D31">
        <f>1964*0.36</f>
        <v>707.04</v>
      </c>
      <c r="S31" s="89"/>
    </row>
    <row r="32" spans="1:28" x14ac:dyDescent="0.25">
      <c r="D32">
        <f>+D30+D31</f>
        <v>718.92</v>
      </c>
      <c r="R32">
        <f>71*1.83</f>
        <v>129.93</v>
      </c>
      <c r="S32" s="85"/>
    </row>
    <row r="33" spans="3:19" x14ac:dyDescent="0.25">
      <c r="D33">
        <f>D32/2000</f>
        <v>0.35946</v>
      </c>
      <c r="R33">
        <f>129*1.88</f>
        <v>242.51999999999998</v>
      </c>
      <c r="S33" s="85"/>
    </row>
    <row r="34" spans="3:19" x14ac:dyDescent="0.25">
      <c r="R34">
        <f>SUM(R32:R33)</f>
        <v>372.45</v>
      </c>
      <c r="S34" s="85"/>
    </row>
    <row r="35" spans="3:19" x14ac:dyDescent="0.25">
      <c r="R35">
        <f>R34/200</f>
        <v>1.86225</v>
      </c>
      <c r="S35" s="85"/>
    </row>
    <row r="36" spans="3:19" x14ac:dyDescent="0.25">
      <c r="S36" s="85"/>
    </row>
    <row r="37" spans="3:19" x14ac:dyDescent="0.25">
      <c r="S37" s="85"/>
    </row>
    <row r="44" spans="3:19" x14ac:dyDescent="0.25">
      <c r="C44">
        <f>1110*8*3.689</f>
        <v>32758.32</v>
      </c>
    </row>
    <row r="45" spans="3:19" x14ac:dyDescent="0.25">
      <c r="C45">
        <v>4500</v>
      </c>
      <c r="O45">
        <f>570*30</f>
        <v>17100</v>
      </c>
    </row>
    <row r="46" spans="3:19" x14ac:dyDescent="0.25">
      <c r="C46">
        <f>SUM(C44:C45)</f>
        <v>37258.32</v>
      </c>
    </row>
  </sheetData>
  <mergeCells count="7">
    <mergeCell ref="X2:Y2"/>
    <mergeCell ref="A4:A13"/>
    <mergeCell ref="A14:A24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2649-8E83-42F3-A565-149BBDAF43FA}">
  <dimension ref="A1:AB46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20" sqref="R2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31a05-04'!D25</f>
        <v>5983</v>
      </c>
      <c r="E4" s="42">
        <f>'STOCK 31a05-04'!E25</f>
        <v>0</v>
      </c>
      <c r="F4" s="42">
        <f>'STOCK 31a05-04'!F25</f>
        <v>0</v>
      </c>
      <c r="G4" s="42">
        <f>'STOCK 31a05-04'!G25</f>
        <v>3195</v>
      </c>
      <c r="H4" s="42">
        <f>'STOCK 31a05-04'!H25</f>
        <v>206</v>
      </c>
      <c r="I4" s="42">
        <f>'STOCK 31a05-04'!I25</f>
        <v>6640</v>
      </c>
      <c r="J4" s="42">
        <f>'STOCK 31a05-04'!J25</f>
        <v>9</v>
      </c>
      <c r="K4" s="42">
        <f>'STOCK 31a05-04'!K25</f>
        <v>0</v>
      </c>
      <c r="L4" s="42">
        <f>'STOCK 31a05-04'!L25</f>
        <v>0</v>
      </c>
      <c r="M4" s="42">
        <f>'STOCK 31a05-04'!M25</f>
        <v>125</v>
      </c>
      <c r="N4" s="42">
        <f>'STOCK 31a05-04'!N25</f>
        <v>647</v>
      </c>
      <c r="O4" s="42">
        <f>'STOCK 31a05-04'!O25</f>
        <v>539</v>
      </c>
      <c r="P4" s="42">
        <f>'STOCK 31a05-04'!P25</f>
        <v>1360</v>
      </c>
      <c r="Q4" s="42">
        <f>'STOCK 31a05-04'!Q25</f>
        <v>80</v>
      </c>
      <c r="R4" s="42">
        <f>'STOCK 31a05-04'!R25</f>
        <v>71</v>
      </c>
      <c r="S4" s="42">
        <f>'STOCK 31a05-04'!S25</f>
        <v>6</v>
      </c>
      <c r="T4" s="42">
        <f>'STOCK 31a05-04'!T25</f>
        <v>769</v>
      </c>
      <c r="U4" s="42">
        <f>'STOCK 31a05-04'!U25</f>
        <v>15</v>
      </c>
      <c r="V4" s="42">
        <f>'STOCK 31a05-04'!V25</f>
        <v>0</v>
      </c>
      <c r="W4" s="42">
        <f>'STOCK 31a05-04'!W25</f>
        <v>200</v>
      </c>
      <c r="X4" s="42">
        <f>'STOCK 31a05-04'!X25</f>
        <v>234</v>
      </c>
      <c r="Y4" s="42">
        <f>'STOCK 31a05-04'!Y25</f>
        <v>3458</v>
      </c>
      <c r="Z4" s="42">
        <f>'STOCK 31a05-04'!Z25</f>
        <v>0</v>
      </c>
      <c r="AA4" s="42">
        <f>'STOCK 31a05-04'!AA25</f>
        <v>0</v>
      </c>
      <c r="AB4" s="42">
        <f>'STOCK 31a05-04'!AB25</f>
        <v>1000</v>
      </c>
    </row>
    <row r="5" spans="1:28" x14ac:dyDescent="0.25">
      <c r="A5" s="311"/>
      <c r="B5" s="20">
        <v>45754</v>
      </c>
      <c r="C5" s="82" t="s">
        <v>27</v>
      </c>
      <c r="D5" s="27"/>
      <c r="F5" s="35"/>
      <c r="H5" s="31"/>
      <c r="I5" s="13"/>
      <c r="J5" s="35"/>
      <c r="L5" s="35"/>
      <c r="M5" s="35"/>
      <c r="N5" s="14"/>
      <c r="O5" s="27"/>
      <c r="R5">
        <v>700</v>
      </c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45755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>
        <v>250</v>
      </c>
      <c r="W6" s="31"/>
      <c r="X6" s="13"/>
      <c r="Y6" s="31"/>
      <c r="AA6" s="31"/>
      <c r="AB6" s="15"/>
    </row>
    <row r="7" spans="1:28" x14ac:dyDescent="0.25">
      <c r="A7" s="311"/>
      <c r="B7" s="20">
        <v>45756</v>
      </c>
      <c r="C7" s="82" t="s">
        <v>101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>
        <f>1000+1000</f>
        <v>2000</v>
      </c>
      <c r="Y7" s="31"/>
      <c r="AA7" s="31"/>
      <c r="AB7" s="15"/>
    </row>
    <row r="8" spans="1:28" x14ac:dyDescent="0.25">
      <c r="A8" s="311"/>
      <c r="B8" s="20">
        <v>45756</v>
      </c>
      <c r="C8" s="82" t="s">
        <v>27</v>
      </c>
      <c r="D8" s="27"/>
      <c r="F8" s="35"/>
      <c r="H8" s="31"/>
      <c r="I8" s="13"/>
      <c r="J8" s="35"/>
      <c r="L8" s="35"/>
      <c r="M8" s="35"/>
      <c r="N8" s="14"/>
      <c r="O8" s="27"/>
      <c r="R8">
        <v>1200</v>
      </c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45757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>
        <v>700</v>
      </c>
      <c r="Y9" s="31"/>
      <c r="AA9" s="31"/>
      <c r="AB9" s="15"/>
    </row>
    <row r="10" spans="1:28" x14ac:dyDescent="0.25">
      <c r="A10" s="311"/>
      <c r="B10" s="20">
        <v>45758</v>
      </c>
      <c r="C10" s="82" t="s">
        <v>27</v>
      </c>
      <c r="D10" s="27"/>
      <c r="F10" s="35"/>
      <c r="H10" s="31"/>
      <c r="I10" s="13">
        <v>3500</v>
      </c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>
        <v>45759</v>
      </c>
      <c r="C11" s="14" t="s">
        <v>46</v>
      </c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>
        <v>395</v>
      </c>
      <c r="W11" s="31"/>
      <c r="X11" s="13"/>
      <c r="Y11" s="31"/>
      <c r="AA11" s="31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32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>
        <v>45753</v>
      </c>
      <c r="C15" s="14" t="s">
        <v>22</v>
      </c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>
        <v>1000</v>
      </c>
      <c r="AA15" s="31"/>
      <c r="AB15" s="15"/>
    </row>
    <row r="16" spans="1:28" x14ac:dyDescent="0.25">
      <c r="A16" s="311"/>
      <c r="B16" s="20">
        <v>45754</v>
      </c>
      <c r="C16" s="14" t="s">
        <v>22</v>
      </c>
      <c r="D16" s="27"/>
      <c r="F16" s="35"/>
      <c r="G16">
        <v>100</v>
      </c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45755</v>
      </c>
      <c r="C17" s="14" t="s">
        <v>22</v>
      </c>
      <c r="D17" s="27">
        <v>1000</v>
      </c>
      <c r="F17" s="35"/>
      <c r="H17" s="31"/>
      <c r="I17" s="13">
        <v>500</v>
      </c>
      <c r="J17" s="35"/>
      <c r="L17" s="35"/>
      <c r="M17" s="35"/>
      <c r="N17" s="14"/>
      <c r="O17" s="27"/>
      <c r="R17">
        <v>340</v>
      </c>
      <c r="S17" s="31"/>
      <c r="T17" s="13"/>
      <c r="W17" s="31"/>
      <c r="X17" s="13"/>
      <c r="Y17" s="31">
        <f>200+500</f>
        <v>700</v>
      </c>
      <c r="AA17" s="31"/>
      <c r="AB17" s="15"/>
    </row>
    <row r="18" spans="1:28" x14ac:dyDescent="0.25">
      <c r="A18" s="311"/>
      <c r="B18" s="20">
        <v>45756</v>
      </c>
      <c r="C18" s="14" t="s">
        <v>22</v>
      </c>
      <c r="D18" s="27">
        <v>500</v>
      </c>
      <c r="F18" s="35"/>
      <c r="G18">
        <v>1000</v>
      </c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>
        <f>30+850</f>
        <v>880</v>
      </c>
      <c r="AA18" s="31"/>
      <c r="AB18" s="15"/>
    </row>
    <row r="19" spans="1:28" x14ac:dyDescent="0.25">
      <c r="A19" s="311"/>
      <c r="B19" s="20">
        <v>45757</v>
      </c>
      <c r="C19" s="14" t="s">
        <v>22</v>
      </c>
      <c r="D19" s="27"/>
      <c r="F19" s="35"/>
      <c r="H19" s="31"/>
      <c r="I19" s="13">
        <v>20</v>
      </c>
      <c r="J19" s="35"/>
      <c r="L19" s="35"/>
      <c r="M19" s="35"/>
      <c r="N19" s="14"/>
      <c r="O19" s="27"/>
      <c r="S19" s="31"/>
      <c r="T19" s="13"/>
      <c r="W19" s="31"/>
      <c r="X19" s="13"/>
      <c r="Y19" s="31">
        <f>400+40</f>
        <v>440</v>
      </c>
      <c r="AA19" s="31"/>
      <c r="AB19" s="15">
        <v>35</v>
      </c>
    </row>
    <row r="20" spans="1:28" x14ac:dyDescent="0.25">
      <c r="A20" s="311"/>
      <c r="B20" s="20">
        <v>45758</v>
      </c>
      <c r="C20" s="14" t="s">
        <v>22</v>
      </c>
      <c r="D20" s="27">
        <v>500</v>
      </c>
      <c r="F20" s="35"/>
      <c r="H20" s="31"/>
      <c r="I20" s="13">
        <v>700</v>
      </c>
      <c r="J20" s="35"/>
      <c r="L20" s="35"/>
      <c r="M20" s="35"/>
      <c r="N20" s="14"/>
      <c r="O20" s="27"/>
      <c r="R20">
        <f>40+500</f>
        <v>540</v>
      </c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>
        <v>45759</v>
      </c>
      <c r="C21" s="14" t="s">
        <v>22</v>
      </c>
      <c r="D21" s="27">
        <f>100+16</f>
        <v>116</v>
      </c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31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SUM(D4:D13)-SUM(D14:D24)</f>
        <v>3867</v>
      </c>
      <c r="E25" s="22">
        <f t="shared" si="0"/>
        <v>0</v>
      </c>
      <c r="F25" s="37">
        <f t="shared" si="0"/>
        <v>0</v>
      </c>
      <c r="G25" s="24">
        <f t="shared" si="0"/>
        <v>2095</v>
      </c>
      <c r="H25" s="33">
        <f t="shared" si="0"/>
        <v>206</v>
      </c>
      <c r="I25" s="22">
        <f t="shared" si="0"/>
        <v>8920</v>
      </c>
      <c r="J25" s="37">
        <f t="shared" si="0"/>
        <v>9</v>
      </c>
      <c r="K25" s="24">
        <f t="shared" si="0"/>
        <v>0</v>
      </c>
      <c r="L25" s="37">
        <f t="shared" si="0"/>
        <v>0</v>
      </c>
      <c r="M25" s="37">
        <f t="shared" si="0"/>
        <v>125</v>
      </c>
      <c r="N25" s="23">
        <f t="shared" si="0"/>
        <v>647</v>
      </c>
      <c r="O25" s="29">
        <f t="shared" si="0"/>
        <v>539</v>
      </c>
      <c r="P25" s="29">
        <f t="shared" si="0"/>
        <v>1360</v>
      </c>
      <c r="Q25" s="29">
        <f t="shared" si="0"/>
        <v>80</v>
      </c>
      <c r="R25" s="24">
        <f t="shared" si="0"/>
        <v>1091</v>
      </c>
      <c r="S25" s="33">
        <f t="shared" si="0"/>
        <v>6</v>
      </c>
      <c r="T25" s="22">
        <f t="shared" si="0"/>
        <v>1414</v>
      </c>
      <c r="U25" s="22">
        <f t="shared" si="0"/>
        <v>15</v>
      </c>
      <c r="V25" s="22">
        <f t="shared" si="0"/>
        <v>0</v>
      </c>
      <c r="W25" s="33">
        <f t="shared" si="0"/>
        <v>200</v>
      </c>
      <c r="X25" s="22">
        <f t="shared" si="0"/>
        <v>2934</v>
      </c>
      <c r="Y25" s="33">
        <f t="shared" si="0"/>
        <v>438</v>
      </c>
      <c r="Z25" s="22">
        <f t="shared" si="0"/>
        <v>0</v>
      </c>
      <c r="AA25" s="33">
        <f t="shared" si="0"/>
        <v>0</v>
      </c>
      <c r="AB25" s="25">
        <f t="shared" si="0"/>
        <v>965</v>
      </c>
    </row>
    <row r="27" spans="1:28" x14ac:dyDescent="0.25">
      <c r="D27">
        <f>D25*0.4</f>
        <v>1546.8000000000002</v>
      </c>
      <c r="E27">
        <f>+E25*0.3</f>
        <v>0</v>
      </c>
      <c r="F27">
        <f>+F25*0.28</f>
        <v>0</v>
      </c>
      <c r="G27">
        <f>+G25*0.44</f>
        <v>921.8</v>
      </c>
      <c r="H27">
        <f>+H25*0.4</f>
        <v>82.4</v>
      </c>
      <c r="I27">
        <f>+I25*0.57-(420*0.02)</f>
        <v>5076</v>
      </c>
      <c r="J27">
        <f>+J25*0.54</f>
        <v>4.8600000000000003</v>
      </c>
      <c r="K27" s="50">
        <f>+K25*0.82</f>
        <v>0</v>
      </c>
      <c r="L27">
        <f>+L25*0.62</f>
        <v>0</v>
      </c>
      <c r="M27">
        <f>+M25*0.64</f>
        <v>80</v>
      </c>
      <c r="N27">
        <f>+N25*0.57</f>
        <v>368.78999999999996</v>
      </c>
      <c r="O27">
        <f>+O25*2.04</f>
        <v>1099.56</v>
      </c>
      <c r="P27">
        <f>+P25*1.575+(160*0.285)</f>
        <v>2187.6</v>
      </c>
      <c r="Q27">
        <f>Q25*1.8</f>
        <v>144</v>
      </c>
      <c r="R27">
        <f>+R25*1.88</f>
        <v>2051.08</v>
      </c>
      <c r="S27">
        <f>+S25*1.57</f>
        <v>9.42</v>
      </c>
      <c r="T27">
        <f>+T25*1.98</f>
        <v>2799.72</v>
      </c>
      <c r="U27">
        <f>+U25*1.85</f>
        <v>27.75</v>
      </c>
      <c r="V27">
        <f>+V25*2.18</f>
        <v>0</v>
      </c>
      <c r="W27">
        <f>+W25*1.9</f>
        <v>380</v>
      </c>
      <c r="X27">
        <f>+X25*0.44+(234*0.02)</f>
        <v>1295.6400000000001</v>
      </c>
      <c r="Y27">
        <f>+Y25*0.35</f>
        <v>153.29999999999998</v>
      </c>
      <c r="Z27" s="50">
        <f>+Z25*1.9</f>
        <v>0</v>
      </c>
      <c r="AA27">
        <f>+AA25*0.93</f>
        <v>0</v>
      </c>
      <c r="AB27">
        <f>+AB25*1.65</f>
        <v>1592.25</v>
      </c>
    </row>
    <row r="28" spans="1:28" x14ac:dyDescent="0.25">
      <c r="AB28" s="39">
        <f>SUM(D27:AB27)</f>
        <v>19820.969999999998</v>
      </c>
    </row>
    <row r="30" spans="1:28" ht="15.75" x14ac:dyDescent="0.25">
      <c r="D30">
        <f>36*0.33</f>
        <v>11.88</v>
      </c>
      <c r="S30" s="89"/>
    </row>
    <row r="31" spans="1:28" ht="15.75" x14ac:dyDescent="0.25">
      <c r="D31">
        <f>1964*0.36</f>
        <v>707.04</v>
      </c>
      <c r="S31" s="89"/>
    </row>
    <row r="32" spans="1:28" x14ac:dyDescent="0.25">
      <c r="D32">
        <f>+D30+D31</f>
        <v>718.92</v>
      </c>
      <c r="R32">
        <f>71*1.83</f>
        <v>129.93</v>
      </c>
      <c r="S32" s="85"/>
    </row>
    <row r="33" spans="3:19" x14ac:dyDescent="0.25">
      <c r="D33">
        <f>D32/2000</f>
        <v>0.35946</v>
      </c>
      <c r="R33">
        <f>129*1.88</f>
        <v>242.51999999999998</v>
      </c>
      <c r="S33" s="85"/>
    </row>
    <row r="34" spans="3:19" x14ac:dyDescent="0.25">
      <c r="R34">
        <f>SUM(R32:R33)</f>
        <v>372.45</v>
      </c>
      <c r="S34" s="85"/>
    </row>
    <row r="35" spans="3:19" x14ac:dyDescent="0.25">
      <c r="R35">
        <f>R34/200</f>
        <v>1.86225</v>
      </c>
      <c r="S35" s="85"/>
    </row>
    <row r="36" spans="3:19" x14ac:dyDescent="0.25">
      <c r="S36" s="85"/>
    </row>
    <row r="37" spans="3:19" x14ac:dyDescent="0.25">
      <c r="S37" s="85"/>
    </row>
    <row r="44" spans="3:19" x14ac:dyDescent="0.25">
      <c r="C44">
        <f>1110*8*3.689</f>
        <v>32758.32</v>
      </c>
    </row>
    <row r="45" spans="3:19" x14ac:dyDescent="0.25">
      <c r="C45">
        <v>4500</v>
      </c>
      <c r="O45">
        <f>570*30</f>
        <v>17100</v>
      </c>
    </row>
    <row r="46" spans="3:19" x14ac:dyDescent="0.25">
      <c r="C46">
        <f>SUM(C44:C45)</f>
        <v>37258.32</v>
      </c>
    </row>
  </sheetData>
  <mergeCells count="7">
    <mergeCell ref="X2:Y2"/>
    <mergeCell ref="A4:A13"/>
    <mergeCell ref="A14:A24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3B3F-3EF0-4682-B9CA-3FB8715CA03A}">
  <dimension ref="A1:AB4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9" sqref="O19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06a12-04'!D25</f>
        <v>3867</v>
      </c>
      <c r="E4" s="42">
        <f>'STOCK 06a12-04'!E25</f>
        <v>0</v>
      </c>
      <c r="F4" s="42">
        <f>'STOCK 06a12-04'!F25</f>
        <v>0</v>
      </c>
      <c r="G4" s="42">
        <f>'STOCK 06a12-04'!G25</f>
        <v>2095</v>
      </c>
      <c r="H4" s="42">
        <f>'STOCK 06a12-04'!H25</f>
        <v>206</v>
      </c>
      <c r="I4" s="42">
        <f>'STOCK 06a12-04'!I25</f>
        <v>8920</v>
      </c>
      <c r="J4" s="42">
        <f>'STOCK 06a12-04'!J25</f>
        <v>9</v>
      </c>
      <c r="K4" s="42">
        <f>'STOCK 06a12-04'!K25</f>
        <v>0</v>
      </c>
      <c r="L4" s="42">
        <f>'STOCK 06a12-04'!L25</f>
        <v>0</v>
      </c>
      <c r="M4" s="42">
        <f>'STOCK 06a12-04'!M25</f>
        <v>125</v>
      </c>
      <c r="N4" s="42">
        <f>'STOCK 06a12-04'!N25</f>
        <v>647</v>
      </c>
      <c r="O4" s="42">
        <f>'STOCK 06a12-04'!O25</f>
        <v>539</v>
      </c>
      <c r="P4" s="42">
        <f>'STOCK 06a12-04'!P25</f>
        <v>1360</v>
      </c>
      <c r="Q4" s="42">
        <f>'STOCK 06a12-04'!Q25</f>
        <v>80</v>
      </c>
      <c r="R4" s="42">
        <f>'STOCK 06a12-04'!R25</f>
        <v>1091</v>
      </c>
      <c r="S4" s="42">
        <f>'STOCK 06a12-04'!S25</f>
        <v>6</v>
      </c>
      <c r="T4" s="42">
        <f>'STOCK 06a12-04'!T25</f>
        <v>1414</v>
      </c>
      <c r="U4" s="42">
        <f>'STOCK 06a12-04'!U25</f>
        <v>15</v>
      </c>
      <c r="V4" s="42">
        <f>'STOCK 06a12-04'!V25</f>
        <v>0</v>
      </c>
      <c r="W4" s="42">
        <f>'STOCK 06a12-04'!W25</f>
        <v>200</v>
      </c>
      <c r="X4" s="42">
        <f>'STOCK 06a12-04'!X25</f>
        <v>2934</v>
      </c>
      <c r="Y4" s="42">
        <f>'STOCK 06a12-04'!Y25</f>
        <v>438</v>
      </c>
      <c r="Z4" s="42">
        <f>'STOCK 06a12-04'!Z25</f>
        <v>0</v>
      </c>
      <c r="AA4" s="42">
        <f>'STOCK 06a12-04'!AA25</f>
        <v>0</v>
      </c>
      <c r="AB4" s="42">
        <f>'STOCK 06a12-04'!AB25</f>
        <v>965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45761</v>
      </c>
      <c r="C6" s="82" t="s">
        <v>27</v>
      </c>
      <c r="D6" s="27"/>
      <c r="F6" s="35"/>
      <c r="H6" s="31"/>
      <c r="I6" s="13"/>
      <c r="J6" s="35"/>
      <c r="L6" s="35"/>
      <c r="M6" s="35"/>
      <c r="N6" s="14">
        <v>3000</v>
      </c>
      <c r="O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45762</v>
      </c>
      <c r="C7" s="82" t="s">
        <v>27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>
        <v>3000</v>
      </c>
      <c r="Y7" s="31">
        <v>3000</v>
      </c>
      <c r="AA7" s="31"/>
      <c r="AB7" s="15"/>
    </row>
    <row r="8" spans="1:28" x14ac:dyDescent="0.25">
      <c r="A8" s="311"/>
      <c r="B8" s="20">
        <v>45763</v>
      </c>
      <c r="C8" s="82" t="s">
        <v>102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>
        <v>1500</v>
      </c>
      <c r="Y8" s="31"/>
      <c r="AA8" s="31"/>
      <c r="AB8" s="15"/>
    </row>
    <row r="9" spans="1:28" x14ac:dyDescent="0.25">
      <c r="A9" s="311"/>
      <c r="B9" s="20">
        <v>45764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S9" s="31"/>
      <c r="T9" s="13">
        <v>400</v>
      </c>
      <c r="W9" s="31"/>
      <c r="X9" s="13"/>
      <c r="Y9" s="31"/>
      <c r="AA9" s="31"/>
      <c r="AB9" s="15"/>
    </row>
    <row r="10" spans="1:28" x14ac:dyDescent="0.25">
      <c r="A10" s="311"/>
      <c r="B10" s="20">
        <v>45766</v>
      </c>
      <c r="C10" s="82" t="s">
        <v>27</v>
      </c>
      <c r="D10" s="27"/>
      <c r="F10" s="35"/>
      <c r="H10" s="31"/>
      <c r="I10" s="13"/>
      <c r="J10" s="35"/>
      <c r="L10" s="35"/>
      <c r="M10" s="35"/>
      <c r="N10" s="14"/>
      <c r="O10" s="27"/>
      <c r="R10">
        <v>1200</v>
      </c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>
        <v>45766</v>
      </c>
      <c r="C11" s="82" t="s">
        <v>46</v>
      </c>
      <c r="D11" s="27"/>
      <c r="F11" s="35"/>
      <c r="H11" s="31"/>
      <c r="I11" s="13">
        <v>4000</v>
      </c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31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32"/>
      <c r="AB14" s="19"/>
    </row>
    <row r="15" spans="1:28" x14ac:dyDescent="0.25">
      <c r="A15" s="310" t="s">
        <v>62</v>
      </c>
      <c r="B15" s="20">
        <v>45760</v>
      </c>
      <c r="C15" s="14" t="s">
        <v>22</v>
      </c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>
        <v>25</v>
      </c>
      <c r="Y15" s="31"/>
      <c r="AA15" s="31"/>
      <c r="AB15" s="15"/>
    </row>
    <row r="16" spans="1:28" x14ac:dyDescent="0.25">
      <c r="A16" s="311"/>
      <c r="B16" s="20">
        <v>45761</v>
      </c>
      <c r="C16" s="14" t="s">
        <v>22</v>
      </c>
      <c r="D16" s="27">
        <v>300</v>
      </c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>
        <f>55+1350</f>
        <v>1405</v>
      </c>
      <c r="Y16" s="31">
        <f>40+250+45</f>
        <v>335</v>
      </c>
      <c r="AA16" s="31"/>
      <c r="AB16" s="15"/>
    </row>
    <row r="17" spans="1:28" x14ac:dyDescent="0.25">
      <c r="A17" s="311"/>
      <c r="B17" s="20">
        <v>45762</v>
      </c>
      <c r="C17" s="14" t="s">
        <v>22</v>
      </c>
      <c r="D17" s="27"/>
      <c r="F17" s="35"/>
      <c r="H17" s="31"/>
      <c r="I17" s="13">
        <f>1500+600</f>
        <v>2100</v>
      </c>
      <c r="J17" s="35"/>
      <c r="L17" s="35"/>
      <c r="M17" s="35"/>
      <c r="N17" s="14"/>
      <c r="O17" s="27"/>
      <c r="S17" s="31"/>
      <c r="T17" s="13"/>
      <c r="W17" s="31"/>
      <c r="X17" s="13">
        <v>300</v>
      </c>
      <c r="Y17" s="31"/>
      <c r="AA17" s="31"/>
      <c r="AB17" s="15"/>
    </row>
    <row r="18" spans="1:28" x14ac:dyDescent="0.25">
      <c r="A18" s="311"/>
      <c r="B18" s="20">
        <v>45763</v>
      </c>
      <c r="C18" s="14" t="s">
        <v>22</v>
      </c>
      <c r="D18" s="27"/>
      <c r="F18" s="35"/>
      <c r="H18" s="31"/>
      <c r="I18" s="13"/>
      <c r="J18" s="35"/>
      <c r="L18" s="35"/>
      <c r="M18" s="35"/>
      <c r="N18" s="14"/>
      <c r="O18" s="27"/>
      <c r="R18">
        <v>550</v>
      </c>
      <c r="S18" s="31"/>
      <c r="T18" s="13"/>
      <c r="W18" s="31"/>
      <c r="X18" s="13">
        <f>460+500</f>
        <v>960</v>
      </c>
      <c r="Y18" s="31"/>
      <c r="AA18" s="31"/>
      <c r="AB18" s="15"/>
    </row>
    <row r="19" spans="1:28" x14ac:dyDescent="0.25">
      <c r="A19" s="311"/>
      <c r="B19" s="20">
        <v>45764</v>
      </c>
      <c r="C19" s="14" t="s">
        <v>22</v>
      </c>
      <c r="D19" s="27">
        <f>100+2000</f>
        <v>2100</v>
      </c>
      <c r="F19" s="35"/>
      <c r="H19" s="31"/>
      <c r="I19" s="13">
        <v>1000</v>
      </c>
      <c r="J19" s="35"/>
      <c r="L19" s="35"/>
      <c r="M19" s="35"/>
      <c r="N19" s="14"/>
      <c r="O19" s="27">
        <v>43</v>
      </c>
      <c r="S19" s="31"/>
      <c r="T19" s="13"/>
      <c r="W19" s="31"/>
      <c r="X19" s="13">
        <v>150</v>
      </c>
      <c r="Y19" s="31"/>
      <c r="AA19" s="31"/>
      <c r="AB19" s="15">
        <v>50</v>
      </c>
    </row>
    <row r="20" spans="1:28" x14ac:dyDescent="0.25">
      <c r="A20" s="311"/>
      <c r="B20" s="20">
        <v>45765</v>
      </c>
      <c r="C20" s="14" t="s">
        <v>22</v>
      </c>
      <c r="D20" s="27"/>
      <c r="F20" s="35"/>
      <c r="H20" s="31"/>
      <c r="I20" s="13">
        <v>1000</v>
      </c>
      <c r="J20" s="35"/>
      <c r="L20" s="35"/>
      <c r="M20" s="35"/>
      <c r="N20" s="14">
        <v>40</v>
      </c>
      <c r="O20" s="27"/>
      <c r="S20" s="31"/>
      <c r="T20" s="13"/>
      <c r="W20" s="31"/>
      <c r="X20" s="13"/>
      <c r="Y20" s="31"/>
      <c r="AA20" s="31"/>
      <c r="AB20" s="15">
        <v>150</v>
      </c>
    </row>
    <row r="21" spans="1:28" x14ac:dyDescent="0.25">
      <c r="A21" s="311"/>
      <c r="B21" s="20">
        <v>45766</v>
      </c>
      <c r="C21" s="14" t="s">
        <v>22</v>
      </c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>
        <v>200</v>
      </c>
      <c r="Y21" s="31">
        <v>100</v>
      </c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31"/>
      <c r="AB25" s="15"/>
    </row>
    <row r="26" spans="1:28" ht="15.75" thickBot="1" x14ac:dyDescent="0.3">
      <c r="A26" s="312"/>
      <c r="B26" s="13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31"/>
      <c r="AB26" s="15"/>
    </row>
    <row r="27" spans="1:28" ht="21.75" thickBot="1" x14ac:dyDescent="0.3">
      <c r="A27" s="21" t="s">
        <v>23</v>
      </c>
      <c r="B27" s="22"/>
      <c r="C27" s="23"/>
      <c r="D27" s="29">
        <f t="shared" ref="D27:AB27" si="0">SUM(D4:D14)-SUM(D15:D26)</f>
        <v>1467</v>
      </c>
      <c r="E27" s="22">
        <f t="shared" si="0"/>
        <v>0</v>
      </c>
      <c r="F27" s="37">
        <f t="shared" si="0"/>
        <v>0</v>
      </c>
      <c r="G27" s="24">
        <f t="shared" si="0"/>
        <v>2095</v>
      </c>
      <c r="H27" s="33">
        <f t="shared" si="0"/>
        <v>206</v>
      </c>
      <c r="I27" s="22">
        <f t="shared" si="0"/>
        <v>8820</v>
      </c>
      <c r="J27" s="37">
        <f t="shared" si="0"/>
        <v>9</v>
      </c>
      <c r="K27" s="24">
        <f t="shared" si="0"/>
        <v>0</v>
      </c>
      <c r="L27" s="37">
        <f t="shared" si="0"/>
        <v>0</v>
      </c>
      <c r="M27" s="37">
        <f t="shared" si="0"/>
        <v>125</v>
      </c>
      <c r="N27" s="23">
        <f t="shared" si="0"/>
        <v>3607</v>
      </c>
      <c r="O27" s="29">
        <f t="shared" si="0"/>
        <v>496</v>
      </c>
      <c r="P27" s="29">
        <f t="shared" si="0"/>
        <v>1360</v>
      </c>
      <c r="Q27" s="29">
        <f t="shared" si="0"/>
        <v>80</v>
      </c>
      <c r="R27" s="24">
        <f t="shared" si="0"/>
        <v>1741</v>
      </c>
      <c r="S27" s="33">
        <f t="shared" si="0"/>
        <v>6</v>
      </c>
      <c r="T27" s="22">
        <f t="shared" si="0"/>
        <v>1814</v>
      </c>
      <c r="U27" s="22">
        <f t="shared" si="0"/>
        <v>15</v>
      </c>
      <c r="V27" s="22">
        <f t="shared" si="0"/>
        <v>0</v>
      </c>
      <c r="W27" s="33">
        <f t="shared" si="0"/>
        <v>200</v>
      </c>
      <c r="X27" s="22">
        <f t="shared" si="0"/>
        <v>4394</v>
      </c>
      <c r="Y27" s="33">
        <f t="shared" si="0"/>
        <v>3003</v>
      </c>
      <c r="Z27" s="22">
        <f t="shared" si="0"/>
        <v>0</v>
      </c>
      <c r="AA27" s="33">
        <f t="shared" si="0"/>
        <v>0</v>
      </c>
      <c r="AB27" s="25">
        <f t="shared" si="0"/>
        <v>765</v>
      </c>
    </row>
    <row r="29" spans="1:28" x14ac:dyDescent="0.25">
      <c r="D29">
        <f>D27*0.4</f>
        <v>586.80000000000007</v>
      </c>
      <c r="E29">
        <f>+E27*0.3</f>
        <v>0</v>
      </c>
      <c r="F29">
        <f>+F27*0.28</f>
        <v>0</v>
      </c>
      <c r="G29">
        <f>+G27*0.44</f>
        <v>921.8</v>
      </c>
      <c r="H29">
        <f>+H27*0.4</f>
        <v>82.4</v>
      </c>
      <c r="I29">
        <f>+I27*0.57</f>
        <v>5027.3999999999996</v>
      </c>
      <c r="J29">
        <f>+J27*0.54</f>
        <v>4.8600000000000003</v>
      </c>
      <c r="K29" s="50">
        <f>+K27*0.82</f>
        <v>0</v>
      </c>
      <c r="L29">
        <f>+L27*0.62</f>
        <v>0</v>
      </c>
      <c r="M29">
        <f>+M27*0.64</f>
        <v>80</v>
      </c>
      <c r="N29">
        <f>+N27*0.6-(607*0.03)</f>
        <v>2145.9899999999998</v>
      </c>
      <c r="O29">
        <f>+O27*2.04</f>
        <v>1011.84</v>
      </c>
      <c r="P29">
        <f>+P27*1.575+(160*0.285)</f>
        <v>2187.6</v>
      </c>
      <c r="Q29">
        <f>Q27*1.8</f>
        <v>144</v>
      </c>
      <c r="R29">
        <f>+R27*1.88</f>
        <v>3273.08</v>
      </c>
      <c r="S29">
        <f>+S27*1.57</f>
        <v>9.42</v>
      </c>
      <c r="T29">
        <f>+T27*1.98</f>
        <v>3591.72</v>
      </c>
      <c r="U29">
        <f>+U27*1.85</f>
        <v>27.75</v>
      </c>
      <c r="V29">
        <f>+V27*2.18</f>
        <v>0</v>
      </c>
      <c r="W29">
        <f>+W27*1.9</f>
        <v>380</v>
      </c>
      <c r="X29">
        <f>+X27*0.44</f>
        <v>1933.36</v>
      </c>
      <c r="Y29">
        <f>+Y27*0.34+(103*0.01)</f>
        <v>1022.0500000000001</v>
      </c>
      <c r="Z29" s="50">
        <f>+Z27*1.9</f>
        <v>0</v>
      </c>
      <c r="AA29">
        <f>+AA27*0.93</f>
        <v>0</v>
      </c>
      <c r="AB29">
        <f>+AB27*1.65</f>
        <v>1262.25</v>
      </c>
    </row>
    <row r="30" spans="1:28" x14ac:dyDescent="0.25">
      <c r="AB30" s="39">
        <f>SUM(D29:AB29)</f>
        <v>23692.32</v>
      </c>
    </row>
    <row r="32" spans="1:28" ht="15.75" x14ac:dyDescent="0.25">
      <c r="S32" s="89"/>
    </row>
    <row r="33" spans="3:19" ht="15.75" x14ac:dyDescent="0.25">
      <c r="S33" s="89"/>
    </row>
    <row r="34" spans="3:19" x14ac:dyDescent="0.25">
      <c r="S34" s="85"/>
    </row>
    <row r="35" spans="3:19" x14ac:dyDescent="0.25">
      <c r="I35" s="60"/>
      <c r="S35" s="85"/>
    </row>
    <row r="36" spans="3:19" x14ac:dyDescent="0.25">
      <c r="S36" s="85"/>
    </row>
    <row r="37" spans="3:19" x14ac:dyDescent="0.25">
      <c r="S37" s="85"/>
    </row>
    <row r="38" spans="3:19" x14ac:dyDescent="0.25">
      <c r="S38" s="85"/>
    </row>
    <row r="39" spans="3:19" x14ac:dyDescent="0.25">
      <c r="S39" s="85"/>
    </row>
    <row r="46" spans="3:19" x14ac:dyDescent="0.25">
      <c r="C46">
        <f>1110*8*3.689</f>
        <v>32758.32</v>
      </c>
    </row>
    <row r="47" spans="3:19" x14ac:dyDescent="0.25">
      <c r="C47">
        <v>4500</v>
      </c>
      <c r="O47">
        <f>570*30</f>
        <v>17100</v>
      </c>
    </row>
    <row r="48" spans="3:19" x14ac:dyDescent="0.25">
      <c r="C48">
        <f>SUM(C46:C47)</f>
        <v>37258.32</v>
      </c>
    </row>
  </sheetData>
  <mergeCells count="7">
    <mergeCell ref="X2:Y2"/>
    <mergeCell ref="A4:A14"/>
    <mergeCell ref="A15:A26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D283-CFF7-4FF8-8989-DC31D798EF1B}">
  <dimension ref="A1:AB49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8" sqref="O1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2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13a19-04'!D27</f>
        <v>1467</v>
      </c>
      <c r="E4" s="42">
        <f>'STOCK 13a19-04'!E27</f>
        <v>0</v>
      </c>
      <c r="F4" s="42">
        <f>'STOCK 13a19-04'!F27</f>
        <v>0</v>
      </c>
      <c r="G4" s="42">
        <f>'STOCK 13a19-04'!G27</f>
        <v>2095</v>
      </c>
      <c r="H4" s="42">
        <f>'STOCK 13a19-04'!H27</f>
        <v>206</v>
      </c>
      <c r="I4" s="42">
        <f>'STOCK 13a19-04'!I27</f>
        <v>8820</v>
      </c>
      <c r="J4" s="42">
        <f>'STOCK 13a19-04'!J27</f>
        <v>9</v>
      </c>
      <c r="K4" s="42">
        <f>'STOCK 13a19-04'!K27</f>
        <v>0</v>
      </c>
      <c r="L4" s="42">
        <f>'STOCK 13a19-04'!L27</f>
        <v>0</v>
      </c>
      <c r="M4" s="42">
        <f>'STOCK 13a19-04'!M27</f>
        <v>125</v>
      </c>
      <c r="N4" s="42">
        <f>'STOCK 13a19-04'!N27</f>
        <v>3607</v>
      </c>
      <c r="O4" s="42">
        <f>'STOCK 13a19-04'!O27</f>
        <v>496</v>
      </c>
      <c r="P4" s="42">
        <f>'STOCK 13a19-04'!P27</f>
        <v>1360</v>
      </c>
      <c r="Q4" s="42">
        <f>'STOCK 13a19-04'!Q27</f>
        <v>80</v>
      </c>
      <c r="R4" s="42">
        <f>'STOCK 13a19-04'!R27</f>
        <v>1741</v>
      </c>
      <c r="S4" s="42">
        <f>'STOCK 13a19-04'!S27</f>
        <v>6</v>
      </c>
      <c r="T4" s="42">
        <f>'STOCK 13a19-04'!T27</f>
        <v>1814</v>
      </c>
      <c r="U4" s="42">
        <f>'STOCK 13a19-04'!U27</f>
        <v>15</v>
      </c>
      <c r="V4" s="42">
        <f>'STOCK 13a19-04'!V27</f>
        <v>0</v>
      </c>
      <c r="W4" s="42">
        <f>'STOCK 13a19-04'!W27</f>
        <v>200</v>
      </c>
      <c r="X4" s="42">
        <f>'STOCK 13a19-04'!X27</f>
        <v>4394</v>
      </c>
      <c r="Y4" s="42">
        <f>'STOCK 13a19-04'!Y27</f>
        <v>3003</v>
      </c>
      <c r="Z4" s="42">
        <f>'STOCK 13a19-04'!Z27</f>
        <v>0</v>
      </c>
      <c r="AA4" s="42">
        <f>'STOCK 13a19-04'!AA27</f>
        <v>0</v>
      </c>
      <c r="AB4" s="42">
        <f>'STOCK 13a19-04'!AB27</f>
        <v>765</v>
      </c>
    </row>
    <row r="5" spans="1:28" x14ac:dyDescent="0.25">
      <c r="A5" s="311"/>
      <c r="B5" s="20">
        <v>45768</v>
      </c>
      <c r="C5" s="82" t="s">
        <v>27</v>
      </c>
      <c r="D5" s="27"/>
      <c r="F5" s="35"/>
      <c r="H5" s="31"/>
      <c r="I5" s="13"/>
      <c r="J5" s="35"/>
      <c r="L5" s="35"/>
      <c r="M5" s="35"/>
      <c r="N5" s="14">
        <v>1500</v>
      </c>
      <c r="O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45768</v>
      </c>
      <c r="C6" s="82" t="s">
        <v>46</v>
      </c>
      <c r="D6" s="27">
        <v>4000</v>
      </c>
      <c r="F6" s="35"/>
      <c r="H6" s="31"/>
      <c r="I6" s="13"/>
      <c r="J6" s="35"/>
      <c r="L6" s="35"/>
      <c r="M6" s="35">
        <v>3500</v>
      </c>
      <c r="N6" s="14"/>
      <c r="O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45769</v>
      </c>
      <c r="C7" s="82" t="s">
        <v>27</v>
      </c>
      <c r="D7" s="27"/>
      <c r="F7" s="35"/>
      <c r="H7" s="31"/>
      <c r="I7" s="13"/>
      <c r="J7" s="35"/>
      <c r="L7" s="35"/>
      <c r="M7" s="35"/>
      <c r="N7" s="14">
        <v>3000</v>
      </c>
      <c r="O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45770</v>
      </c>
      <c r="C8" s="82" t="s">
        <v>27</v>
      </c>
      <c r="D8" s="27"/>
      <c r="F8" s="35"/>
      <c r="G8">
        <v>5000</v>
      </c>
      <c r="H8" s="31"/>
      <c r="I8" s="13"/>
      <c r="J8" s="35"/>
      <c r="L8" s="35"/>
      <c r="M8" s="35">
        <v>3000</v>
      </c>
      <c r="N8" s="14"/>
      <c r="O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45772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S9" s="31"/>
      <c r="T9" s="13">
        <v>400</v>
      </c>
      <c r="W9" s="31"/>
      <c r="X9" s="13"/>
      <c r="Y9" s="31"/>
      <c r="AA9" s="31"/>
      <c r="AB9" s="15"/>
    </row>
    <row r="10" spans="1:28" x14ac:dyDescent="0.25">
      <c r="A10" s="311"/>
      <c r="B10" s="20">
        <v>45772</v>
      </c>
      <c r="C10" s="82" t="s">
        <v>46</v>
      </c>
      <c r="D10" s="27"/>
      <c r="F10" s="35"/>
      <c r="G10">
        <v>500</v>
      </c>
      <c r="H10" s="31"/>
      <c r="I10" s="13">
        <v>3000</v>
      </c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>
        <v>45773</v>
      </c>
      <c r="C11" s="82" t="s">
        <v>46</v>
      </c>
      <c r="D11" s="27"/>
      <c r="F11" s="35"/>
      <c r="H11" s="31"/>
      <c r="I11" s="13"/>
      <c r="J11" s="35"/>
      <c r="K11">
        <v>3000</v>
      </c>
      <c r="L11" s="35"/>
      <c r="M11" s="35"/>
      <c r="N11" s="14"/>
      <c r="O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31"/>
      <c r="AB14" s="15"/>
    </row>
    <row r="15" spans="1:28" ht="15.75" thickBot="1" x14ac:dyDescent="0.3">
      <c r="A15" s="312"/>
      <c r="B15" s="72"/>
      <c r="C15" s="17"/>
      <c r="D15" s="28"/>
      <c r="E15" s="18"/>
      <c r="F15" s="36"/>
      <c r="G15" s="18"/>
      <c r="H15" s="32"/>
      <c r="I15" s="16"/>
      <c r="J15" s="36"/>
      <c r="K15" s="18"/>
      <c r="L15" s="36"/>
      <c r="M15" s="36"/>
      <c r="N15" s="17"/>
      <c r="O15" s="28"/>
      <c r="P15" s="18"/>
      <c r="Q15" s="18"/>
      <c r="R15" s="18"/>
      <c r="S15" s="32"/>
      <c r="T15" s="16"/>
      <c r="U15" s="18"/>
      <c r="V15" s="18"/>
      <c r="W15" s="32"/>
      <c r="X15" s="16"/>
      <c r="Y15" s="32"/>
      <c r="Z15" s="18"/>
      <c r="AA15" s="32"/>
      <c r="AB15" s="19"/>
    </row>
    <row r="16" spans="1:28" x14ac:dyDescent="0.25">
      <c r="A16" s="310" t="s">
        <v>62</v>
      </c>
      <c r="B16" s="20">
        <v>45767</v>
      </c>
      <c r="C16" s="14" t="s">
        <v>22</v>
      </c>
      <c r="D16" s="27">
        <v>960</v>
      </c>
      <c r="F16" s="35"/>
      <c r="H16" s="31"/>
      <c r="I16" s="13"/>
      <c r="J16" s="35"/>
      <c r="L16" s="35"/>
      <c r="M16" s="35"/>
      <c r="N16" s="14">
        <v>2000</v>
      </c>
      <c r="O16" s="27"/>
      <c r="S16" s="31"/>
      <c r="T16" s="13"/>
      <c r="W16" s="31"/>
      <c r="X16" s="13"/>
      <c r="Y16" s="31"/>
      <c r="AA16" s="31"/>
      <c r="AB16" s="15"/>
    </row>
    <row r="17" spans="1:28" x14ac:dyDescent="0.25">
      <c r="A17" s="311"/>
      <c r="B17" s="20">
        <v>45768</v>
      </c>
      <c r="C17" s="14" t="s">
        <v>22</v>
      </c>
      <c r="D17" s="83">
        <v>2000</v>
      </c>
      <c r="F17" s="35"/>
      <c r="H17" s="31"/>
      <c r="I17" s="13">
        <f>1000+1000</f>
        <v>2000</v>
      </c>
      <c r="J17" s="35"/>
      <c r="L17" s="35"/>
      <c r="M17" s="35">
        <v>1000</v>
      </c>
      <c r="N17" s="14"/>
      <c r="O17" s="27"/>
      <c r="S17" s="31"/>
      <c r="T17" s="13">
        <v>150</v>
      </c>
      <c r="W17" s="31"/>
      <c r="X17" s="13"/>
      <c r="Y17" s="31"/>
      <c r="AA17" s="31"/>
      <c r="AB17" s="15">
        <f>15+300</f>
        <v>315</v>
      </c>
    </row>
    <row r="18" spans="1:28" x14ac:dyDescent="0.25">
      <c r="A18" s="311"/>
      <c r="B18" s="20">
        <v>45769</v>
      </c>
      <c r="C18" s="14" t="s">
        <v>22</v>
      </c>
      <c r="D18" s="27"/>
      <c r="F18" s="35"/>
      <c r="H18" s="31"/>
      <c r="I18" s="13"/>
      <c r="J18" s="35"/>
      <c r="L18" s="35"/>
      <c r="M18" s="35">
        <v>1300</v>
      </c>
      <c r="N18" s="14"/>
      <c r="O18" s="27">
        <v>180</v>
      </c>
      <c r="S18" s="31"/>
      <c r="T18" s="13"/>
      <c r="W18" s="31"/>
      <c r="X18" s="13"/>
      <c r="Y18" s="31">
        <f>25+500</f>
        <v>525</v>
      </c>
      <c r="AA18" s="31"/>
      <c r="AB18" s="15"/>
    </row>
    <row r="19" spans="1:28" x14ac:dyDescent="0.25">
      <c r="A19" s="311"/>
      <c r="B19" s="20">
        <v>45770</v>
      </c>
      <c r="C19" s="14" t="s">
        <v>22</v>
      </c>
      <c r="D19" s="27"/>
      <c r="F19" s="35"/>
      <c r="H19" s="31"/>
      <c r="I19" s="13"/>
      <c r="J19" s="35"/>
      <c r="L19" s="35"/>
      <c r="M19" s="35"/>
      <c r="N19" s="14">
        <v>20</v>
      </c>
      <c r="O19" s="27"/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>
        <v>45771</v>
      </c>
      <c r="C20" s="14" t="s">
        <v>22</v>
      </c>
      <c r="D20" s="27"/>
      <c r="F20" s="35"/>
      <c r="H20" s="31"/>
      <c r="I20" s="13"/>
      <c r="J20" s="35"/>
      <c r="L20" s="35"/>
      <c r="M20" s="35">
        <v>1000</v>
      </c>
      <c r="N20" s="14"/>
      <c r="O20" s="27"/>
      <c r="R20">
        <v>250</v>
      </c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>
        <v>45771</v>
      </c>
      <c r="C21" s="14" t="s">
        <v>45</v>
      </c>
      <c r="D21" s="27"/>
      <c r="F21" s="35"/>
      <c r="H21" s="31"/>
      <c r="I21" s="13">
        <v>1000</v>
      </c>
      <c r="J21" s="35"/>
      <c r="L21" s="35"/>
      <c r="M21" s="35"/>
      <c r="N21" s="14"/>
      <c r="O21" s="27"/>
      <c r="S21" s="31"/>
      <c r="T21" s="13">
        <v>300</v>
      </c>
      <c r="W21" s="31"/>
      <c r="X21" s="13"/>
      <c r="Y21" s="31"/>
      <c r="AA21" s="31"/>
      <c r="AB21" s="15"/>
    </row>
    <row r="22" spans="1:28" x14ac:dyDescent="0.25">
      <c r="A22" s="311"/>
      <c r="B22" s="20">
        <v>45772</v>
      </c>
      <c r="C22" s="14" t="s">
        <v>22</v>
      </c>
      <c r="D22" s="27"/>
      <c r="F22" s="35"/>
      <c r="G22">
        <v>3000</v>
      </c>
      <c r="H22" s="31"/>
      <c r="I22" s="13">
        <v>150</v>
      </c>
      <c r="J22" s="35"/>
      <c r="L22" s="35"/>
      <c r="M22" s="35"/>
      <c r="N22" s="14"/>
      <c r="O22" s="27"/>
      <c r="S22" s="31"/>
      <c r="T22" s="13"/>
      <c r="W22" s="31"/>
      <c r="X22" s="13">
        <f>6+350</f>
        <v>356</v>
      </c>
      <c r="Y22" s="31"/>
      <c r="AA22" s="31"/>
      <c r="AB22" s="15"/>
    </row>
    <row r="23" spans="1:28" x14ac:dyDescent="0.25">
      <c r="A23" s="311"/>
      <c r="B23" s="20">
        <v>45773</v>
      </c>
      <c r="C23" s="14" t="s">
        <v>22</v>
      </c>
      <c r="D23" s="27"/>
      <c r="F23" s="35"/>
      <c r="H23" s="31"/>
      <c r="I23" s="13"/>
      <c r="J23" s="35"/>
      <c r="L23" s="35"/>
      <c r="M23" s="35">
        <v>3200</v>
      </c>
      <c r="N23" s="14"/>
      <c r="O23" s="27"/>
      <c r="S23" s="31"/>
      <c r="T23" s="13"/>
      <c r="W23" s="31"/>
      <c r="X23" s="13"/>
      <c r="Y23" s="31">
        <v>100</v>
      </c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31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31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31"/>
      <c r="AB26" s="15"/>
    </row>
    <row r="27" spans="1:28" ht="15.75" thickBot="1" x14ac:dyDescent="0.3">
      <c r="A27" s="312"/>
      <c r="B27" s="13"/>
      <c r="C27" s="14"/>
      <c r="D27" s="27"/>
      <c r="F27" s="35"/>
      <c r="H27" s="31"/>
      <c r="I27" s="13"/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31"/>
      <c r="AB27" s="15"/>
    </row>
    <row r="28" spans="1:28" ht="21.75" thickBot="1" x14ac:dyDescent="0.3">
      <c r="A28" s="21" t="s">
        <v>23</v>
      </c>
      <c r="B28" s="22"/>
      <c r="C28" s="23"/>
      <c r="D28" s="29">
        <f t="shared" ref="D28:AB28" si="0">SUM(D4:D15)-SUM(D16:D27)</f>
        <v>2507</v>
      </c>
      <c r="E28" s="22">
        <f t="shared" si="0"/>
        <v>0</v>
      </c>
      <c r="F28" s="37">
        <f t="shared" si="0"/>
        <v>0</v>
      </c>
      <c r="G28" s="24">
        <f t="shared" si="0"/>
        <v>4595</v>
      </c>
      <c r="H28" s="33">
        <f t="shared" si="0"/>
        <v>206</v>
      </c>
      <c r="I28" s="22">
        <f t="shared" si="0"/>
        <v>8670</v>
      </c>
      <c r="J28" s="37">
        <f t="shared" si="0"/>
        <v>9</v>
      </c>
      <c r="K28" s="24">
        <f t="shared" si="0"/>
        <v>3000</v>
      </c>
      <c r="L28" s="37">
        <f t="shared" si="0"/>
        <v>0</v>
      </c>
      <c r="M28" s="37">
        <f t="shared" si="0"/>
        <v>125</v>
      </c>
      <c r="N28" s="23">
        <f t="shared" si="0"/>
        <v>6087</v>
      </c>
      <c r="O28" s="29">
        <f t="shared" si="0"/>
        <v>316</v>
      </c>
      <c r="P28" s="29">
        <f t="shared" si="0"/>
        <v>1360</v>
      </c>
      <c r="Q28" s="29">
        <f t="shared" si="0"/>
        <v>80</v>
      </c>
      <c r="R28" s="24">
        <f t="shared" si="0"/>
        <v>1491</v>
      </c>
      <c r="S28" s="33">
        <f t="shared" si="0"/>
        <v>6</v>
      </c>
      <c r="T28" s="22">
        <f t="shared" si="0"/>
        <v>1764</v>
      </c>
      <c r="U28" s="22">
        <f t="shared" si="0"/>
        <v>15</v>
      </c>
      <c r="V28" s="22">
        <f t="shared" si="0"/>
        <v>0</v>
      </c>
      <c r="W28" s="33">
        <f t="shared" si="0"/>
        <v>200</v>
      </c>
      <c r="X28" s="22">
        <f t="shared" si="0"/>
        <v>4038</v>
      </c>
      <c r="Y28" s="33">
        <f t="shared" si="0"/>
        <v>2378</v>
      </c>
      <c r="Z28" s="22">
        <f t="shared" si="0"/>
        <v>0</v>
      </c>
      <c r="AA28" s="33">
        <f t="shared" si="0"/>
        <v>0</v>
      </c>
      <c r="AB28" s="25">
        <f t="shared" si="0"/>
        <v>450</v>
      </c>
    </row>
    <row r="30" spans="1:28" x14ac:dyDescent="0.25">
      <c r="D30">
        <f>D28*0.4</f>
        <v>1002.8000000000001</v>
      </c>
      <c r="E30">
        <f>+E28*0.3</f>
        <v>0</v>
      </c>
      <c r="F30">
        <f>+F28*0.28</f>
        <v>0</v>
      </c>
      <c r="G30">
        <f>+G28*0.38+(2095*0.06)</f>
        <v>1871.8</v>
      </c>
      <c r="H30">
        <f>+H28*0.4</f>
        <v>82.4</v>
      </c>
      <c r="I30">
        <f>+I28*0.57</f>
        <v>4941.8999999999996</v>
      </c>
      <c r="J30">
        <f>+J28*0.54</f>
        <v>4.8600000000000003</v>
      </c>
      <c r="K30" s="50">
        <f>+K28*0.87</f>
        <v>2610</v>
      </c>
      <c r="L30">
        <f>+L28*0.62</f>
        <v>0</v>
      </c>
      <c r="M30">
        <f>+M28*0.72-(125*0.08)</f>
        <v>80</v>
      </c>
      <c r="N30">
        <f>+N28*0.62-(1587*0.02)</f>
        <v>3742.2000000000003</v>
      </c>
      <c r="O30">
        <f>+O28*2.04</f>
        <v>644.64</v>
      </c>
      <c r="P30">
        <f>+P28*1.575+(160*0.285)</f>
        <v>2187.6</v>
      </c>
      <c r="Q30">
        <f>Q28*1.8</f>
        <v>144</v>
      </c>
      <c r="R30">
        <f>+R28*1.88</f>
        <v>2803.08</v>
      </c>
      <c r="S30">
        <f>+S28*1.57</f>
        <v>9.42</v>
      </c>
      <c r="T30">
        <f>+T28*1.98+(400*0.12)</f>
        <v>3540.72</v>
      </c>
      <c r="U30">
        <f>+U28*1.85</f>
        <v>27.75</v>
      </c>
      <c r="V30">
        <f>+V28*2.18</f>
        <v>0</v>
      </c>
      <c r="W30">
        <f>+W28*1.9</f>
        <v>380</v>
      </c>
      <c r="X30">
        <f>+X28*0.44</f>
        <v>1776.72</v>
      </c>
      <c r="Y30">
        <f>+Y28*0.34</f>
        <v>808.5200000000001</v>
      </c>
      <c r="Z30" s="50">
        <f>+Z28*1.9</f>
        <v>0</v>
      </c>
      <c r="AA30">
        <f>+AA28*0.93</f>
        <v>0</v>
      </c>
      <c r="AB30">
        <f>+AB28*1.65</f>
        <v>742.5</v>
      </c>
    </row>
    <row r="31" spans="1:28" x14ac:dyDescent="0.25">
      <c r="AB31" s="39">
        <f>SUM(D30:AB30)</f>
        <v>27400.91</v>
      </c>
    </row>
    <row r="32" spans="1:28" x14ac:dyDescent="0.25">
      <c r="M32">
        <v>0.64</v>
      </c>
      <c r="Y32">
        <f>103*0.35</f>
        <v>36.049999999999997</v>
      </c>
    </row>
    <row r="33" spans="3:25" ht="15.75" x14ac:dyDescent="0.25">
      <c r="N33">
        <f>607*0.57</f>
        <v>345.98999999999995</v>
      </c>
      <c r="S33" s="89"/>
      <c r="Y33">
        <f>397*0.34</f>
        <v>134.98000000000002</v>
      </c>
    </row>
    <row r="34" spans="3:25" ht="15.75" x14ac:dyDescent="0.25">
      <c r="N34">
        <f>1393*0.6</f>
        <v>835.8</v>
      </c>
      <c r="S34" s="89"/>
      <c r="Y34">
        <f>+Y32+Y33</f>
        <v>171.03000000000003</v>
      </c>
    </row>
    <row r="35" spans="3:25" x14ac:dyDescent="0.25">
      <c r="N35">
        <f>+N33+N34</f>
        <v>1181.79</v>
      </c>
      <c r="S35" s="85"/>
      <c r="Y35">
        <f>Y34/500</f>
        <v>0.34206000000000009</v>
      </c>
    </row>
    <row r="36" spans="3:25" x14ac:dyDescent="0.25">
      <c r="I36" s="60"/>
      <c r="N36" s="85">
        <f>N35/2000</f>
        <v>0.59089499999999995</v>
      </c>
      <c r="S36" s="85"/>
    </row>
    <row r="37" spans="3:25" x14ac:dyDescent="0.25">
      <c r="S37" s="85"/>
    </row>
    <row r="38" spans="3:25" x14ac:dyDescent="0.25">
      <c r="C38">
        <f>+N35/2000</f>
        <v>0.59089499999999995</v>
      </c>
      <c r="S38" s="85"/>
    </row>
    <row r="39" spans="3:25" x14ac:dyDescent="0.25">
      <c r="S39" s="85"/>
    </row>
    <row r="40" spans="3:25" x14ac:dyDescent="0.25">
      <c r="S40" s="85"/>
    </row>
    <row r="47" spans="3:25" x14ac:dyDescent="0.25">
      <c r="C47">
        <f>1110*8*3.689</f>
        <v>32758.32</v>
      </c>
    </row>
    <row r="48" spans="3:25" x14ac:dyDescent="0.25">
      <c r="C48">
        <v>4500</v>
      </c>
      <c r="O48">
        <f>570*30</f>
        <v>17100</v>
      </c>
    </row>
    <row r="49" spans="3:3" x14ac:dyDescent="0.25">
      <c r="C49">
        <f>SUM(C47:C48)</f>
        <v>37258.32</v>
      </c>
    </row>
  </sheetData>
  <mergeCells count="7">
    <mergeCell ref="X2:Y2"/>
    <mergeCell ref="A4:A15"/>
    <mergeCell ref="A16:A27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E7CF-B705-451B-9E62-6AD1378FE0BD}">
  <dimension ref="A1:AB4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29" sqref="N29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63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20a26-04'!D28</f>
        <v>2507</v>
      </c>
      <c r="E4" s="42">
        <f>'STOCK 20a26-04'!E28</f>
        <v>0</v>
      </c>
      <c r="F4" s="42">
        <f>'STOCK 20a26-04'!F28</f>
        <v>0</v>
      </c>
      <c r="G4" s="42">
        <f>'STOCK 20a26-04'!G28</f>
        <v>4595</v>
      </c>
      <c r="H4" s="42">
        <f>'STOCK 20a26-04'!H28</f>
        <v>206</v>
      </c>
      <c r="I4" s="42">
        <f>'STOCK 20a26-04'!I28</f>
        <v>8670</v>
      </c>
      <c r="J4" s="42">
        <f>'STOCK 20a26-04'!J28</f>
        <v>9</v>
      </c>
      <c r="K4" s="42">
        <f>'STOCK 20a26-04'!K28</f>
        <v>3000</v>
      </c>
      <c r="L4" s="42">
        <f>'STOCK 20a26-04'!L28</f>
        <v>0</v>
      </c>
      <c r="M4" s="42">
        <f>'STOCK 20a26-04'!M28</f>
        <v>125</v>
      </c>
      <c r="N4" s="42">
        <f>'STOCK 20a26-04'!N28</f>
        <v>6087</v>
      </c>
      <c r="O4" s="42">
        <f>'STOCK 20a26-04'!O28</f>
        <v>316</v>
      </c>
      <c r="P4" s="42">
        <f>'STOCK 20a26-04'!P28</f>
        <v>1360</v>
      </c>
      <c r="Q4" s="42">
        <f>'STOCK 20a26-04'!Q28</f>
        <v>80</v>
      </c>
      <c r="R4" s="42">
        <f>'STOCK 20a26-04'!R28</f>
        <v>1491</v>
      </c>
      <c r="S4" s="42">
        <f>'STOCK 20a26-04'!S28</f>
        <v>6</v>
      </c>
      <c r="T4" s="42">
        <f>'STOCK 20a26-04'!T28</f>
        <v>1764</v>
      </c>
      <c r="U4" s="42">
        <f>'STOCK 20a26-04'!U28</f>
        <v>15</v>
      </c>
      <c r="V4" s="42">
        <f>'STOCK 20a26-04'!V28</f>
        <v>0</v>
      </c>
      <c r="W4" s="42">
        <f>'STOCK 20a26-04'!W28</f>
        <v>200</v>
      </c>
      <c r="X4" s="42">
        <f>'STOCK 20a26-04'!X28</f>
        <v>4038</v>
      </c>
      <c r="Y4" s="42">
        <f>'STOCK 20a26-04'!Y28</f>
        <v>2378</v>
      </c>
      <c r="Z4" s="42">
        <f>'STOCK 20a26-04'!Z28</f>
        <v>0</v>
      </c>
      <c r="AA4" s="42">
        <f>'STOCK 20a26-04'!AA28</f>
        <v>0</v>
      </c>
      <c r="AB4" s="42">
        <f>'STOCK 20a26-04'!AB28</f>
        <v>450</v>
      </c>
    </row>
    <row r="5" spans="1:28" x14ac:dyDescent="0.25">
      <c r="A5" s="311"/>
      <c r="B5" s="20">
        <v>45775</v>
      </c>
      <c r="C5" s="82" t="s">
        <v>27</v>
      </c>
      <c r="D5" s="27"/>
      <c r="F5" s="35"/>
      <c r="H5" s="31"/>
      <c r="I5" s="13"/>
      <c r="J5" s="35"/>
      <c r="L5" s="35"/>
      <c r="M5" s="35">
        <v>7000</v>
      </c>
      <c r="N5" s="14"/>
      <c r="O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45775</v>
      </c>
      <c r="C6" s="82" t="s">
        <v>46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45776</v>
      </c>
      <c r="C7" s="82" t="s">
        <v>27</v>
      </c>
      <c r="D7" s="27">
        <v>2000</v>
      </c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45777</v>
      </c>
      <c r="C8" s="82" t="s">
        <v>46</v>
      </c>
      <c r="D8" s="27"/>
      <c r="F8" s="35"/>
      <c r="H8" s="31"/>
      <c r="I8" s="13">
        <v>1000</v>
      </c>
      <c r="J8" s="35"/>
      <c r="L8" s="35"/>
      <c r="M8" s="35"/>
      <c r="N8" s="14"/>
      <c r="O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>
        <v>45779</v>
      </c>
      <c r="C9" s="82" t="s">
        <v>27</v>
      </c>
      <c r="D9" s="27"/>
      <c r="F9" s="35"/>
      <c r="H9" s="31"/>
      <c r="I9" s="13"/>
      <c r="J9" s="35"/>
      <c r="L9" s="35"/>
      <c r="M9" s="35">
        <f>3500+3500</f>
        <v>7000</v>
      </c>
      <c r="N9" s="14"/>
      <c r="O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>
        <v>45779</v>
      </c>
      <c r="C10" s="82" t="s">
        <v>46</v>
      </c>
      <c r="D10" s="27"/>
      <c r="F10" s="35"/>
      <c r="H10" s="31"/>
      <c r="I10" s="13">
        <v>3000</v>
      </c>
      <c r="J10" s="35"/>
      <c r="L10" s="35"/>
      <c r="M10" s="35"/>
      <c r="N10" s="14">
        <v>1000</v>
      </c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>
        <v>45780</v>
      </c>
      <c r="C11" s="82" t="s">
        <v>93</v>
      </c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>
        <v>500</v>
      </c>
      <c r="AA11" s="31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31"/>
      <c r="AB14" s="15"/>
    </row>
    <row r="15" spans="1:28" ht="15.75" thickBot="1" x14ac:dyDescent="0.3">
      <c r="A15" s="312"/>
      <c r="B15" s="72"/>
      <c r="C15" s="17"/>
      <c r="D15" s="28"/>
      <c r="E15" s="18"/>
      <c r="F15" s="36"/>
      <c r="G15" s="18"/>
      <c r="H15" s="32"/>
      <c r="I15" s="16"/>
      <c r="J15" s="36"/>
      <c r="K15" s="18"/>
      <c r="L15" s="36"/>
      <c r="M15" s="36"/>
      <c r="N15" s="17"/>
      <c r="O15" s="28"/>
      <c r="P15" s="18"/>
      <c r="Q15" s="18"/>
      <c r="R15" s="18"/>
      <c r="S15" s="32"/>
      <c r="T15" s="16"/>
      <c r="U15" s="18"/>
      <c r="V15" s="18"/>
      <c r="W15" s="32"/>
      <c r="X15" s="16"/>
      <c r="Y15" s="32"/>
      <c r="Z15" s="18"/>
      <c r="AA15" s="32"/>
      <c r="AB15" s="19"/>
    </row>
    <row r="16" spans="1:28" x14ac:dyDescent="0.25">
      <c r="A16" s="310" t="s">
        <v>62</v>
      </c>
      <c r="B16" s="20">
        <v>45774</v>
      </c>
      <c r="C16" s="14" t="s">
        <v>22</v>
      </c>
      <c r="D16" s="27"/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>
        <v>1000</v>
      </c>
      <c r="Y16" s="31"/>
      <c r="AA16" s="31"/>
      <c r="AB16" s="15">
        <v>200</v>
      </c>
    </row>
    <row r="17" spans="1:28" x14ac:dyDescent="0.25">
      <c r="A17" s="311"/>
      <c r="B17" s="20">
        <v>45775</v>
      </c>
      <c r="C17" s="14" t="s">
        <v>22</v>
      </c>
      <c r="D17" s="27">
        <v>2000</v>
      </c>
      <c r="F17" s="35"/>
      <c r="G17">
        <v>1000</v>
      </c>
      <c r="H17" s="31"/>
      <c r="I17" s="13">
        <v>1000</v>
      </c>
      <c r="J17" s="35"/>
      <c r="L17" s="35"/>
      <c r="M17" s="35"/>
      <c r="N17" s="14"/>
      <c r="O17" s="27"/>
      <c r="R17">
        <v>250</v>
      </c>
      <c r="S17" s="31"/>
      <c r="T17" s="13"/>
      <c r="W17" s="31"/>
      <c r="X17" s="13">
        <v>400</v>
      </c>
      <c r="Y17" s="31"/>
      <c r="AA17" s="31"/>
      <c r="AB17" s="15"/>
    </row>
    <row r="18" spans="1:28" x14ac:dyDescent="0.25">
      <c r="A18" s="311"/>
      <c r="B18" s="20">
        <v>45776</v>
      </c>
      <c r="C18" s="14" t="s">
        <v>22</v>
      </c>
      <c r="D18" s="27">
        <v>50</v>
      </c>
      <c r="F18" s="35"/>
      <c r="G18">
        <v>100</v>
      </c>
      <c r="H18" s="31"/>
      <c r="I18" s="13"/>
      <c r="J18" s="35"/>
      <c r="L18" s="35"/>
      <c r="M18" s="35">
        <f>2800+500</f>
        <v>3300</v>
      </c>
      <c r="N18" s="14"/>
      <c r="O18" s="27"/>
      <c r="R18">
        <v>16</v>
      </c>
      <c r="S18" s="31"/>
      <c r="T18" s="13"/>
      <c r="W18" s="31"/>
      <c r="X18" s="13"/>
      <c r="Y18" s="31"/>
      <c r="AA18" s="31"/>
      <c r="AB18" s="15"/>
    </row>
    <row r="19" spans="1:28" x14ac:dyDescent="0.25">
      <c r="A19" s="311"/>
      <c r="B19" s="20">
        <v>45777</v>
      </c>
      <c r="C19" s="14" t="s">
        <v>22</v>
      </c>
      <c r="D19" s="27"/>
      <c r="F19" s="35"/>
      <c r="G19">
        <v>500</v>
      </c>
      <c r="H19" s="31"/>
      <c r="I19" s="13">
        <v>1000</v>
      </c>
      <c r="J19" s="35"/>
      <c r="L19" s="35"/>
      <c r="M19" s="35">
        <v>1000</v>
      </c>
      <c r="N19" s="14"/>
      <c r="O19" s="27"/>
      <c r="R19">
        <v>230</v>
      </c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>
        <v>45778</v>
      </c>
      <c r="C20" s="14" t="s">
        <v>22</v>
      </c>
      <c r="D20" s="27"/>
      <c r="F20" s="35"/>
      <c r="H20" s="31"/>
      <c r="I20" s="13">
        <f>50+1500</f>
        <v>1550</v>
      </c>
      <c r="J20" s="35"/>
      <c r="L20" s="35"/>
      <c r="M20" s="35"/>
      <c r="N20" s="14"/>
      <c r="O20" s="27"/>
      <c r="R20">
        <v>4</v>
      </c>
      <c r="S20" s="31"/>
      <c r="T20" s="13"/>
      <c r="W20" s="31"/>
      <c r="X20" s="13"/>
      <c r="Y20" s="31">
        <f>50+500</f>
        <v>550</v>
      </c>
      <c r="AA20" s="31"/>
      <c r="AB20" s="15"/>
    </row>
    <row r="21" spans="1:28" x14ac:dyDescent="0.25">
      <c r="A21" s="311"/>
      <c r="B21" s="20">
        <v>45779</v>
      </c>
      <c r="C21" s="14" t="s">
        <v>22</v>
      </c>
      <c r="D21" s="27"/>
      <c r="F21" s="35"/>
      <c r="H21" s="31"/>
      <c r="I21" s="13">
        <v>400</v>
      </c>
      <c r="J21" s="35"/>
      <c r="L21" s="35"/>
      <c r="M21" s="35"/>
      <c r="N21" s="14"/>
      <c r="O21" s="27"/>
      <c r="P21">
        <v>200</v>
      </c>
      <c r="R21">
        <v>60</v>
      </c>
      <c r="S21" s="31"/>
      <c r="T21" s="13"/>
      <c r="W21" s="31"/>
      <c r="X21" s="13">
        <v>120</v>
      </c>
      <c r="Y21" s="31">
        <v>60</v>
      </c>
      <c r="AA21" s="31"/>
      <c r="AB21" s="15">
        <v>25</v>
      </c>
    </row>
    <row r="22" spans="1:28" x14ac:dyDescent="0.25">
      <c r="A22" s="311"/>
      <c r="B22" s="20">
        <v>45780</v>
      </c>
      <c r="C22" s="14" t="s">
        <v>22</v>
      </c>
      <c r="D22" s="27"/>
      <c r="F22" s="35"/>
      <c r="G22">
        <v>500</v>
      </c>
      <c r="H22" s="31"/>
      <c r="I22" s="13"/>
      <c r="J22" s="35"/>
      <c r="L22" s="35"/>
      <c r="M22" s="35"/>
      <c r="N22" s="14"/>
      <c r="O22" s="27"/>
      <c r="R22">
        <v>8</v>
      </c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31"/>
      <c r="AB24" s="15"/>
    </row>
    <row r="25" spans="1:28" x14ac:dyDescent="0.25">
      <c r="A25" s="311"/>
      <c r="B25" s="20"/>
      <c r="C25" s="14" t="s">
        <v>103</v>
      </c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>
        <v>1000</v>
      </c>
      <c r="AA25" s="31"/>
      <c r="AB25" s="15"/>
    </row>
    <row r="26" spans="1:28" ht="15.75" thickBot="1" x14ac:dyDescent="0.3">
      <c r="A26" s="312"/>
      <c r="B26" s="13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31"/>
      <c r="AB26" s="15"/>
    </row>
    <row r="27" spans="1:28" ht="21.75" thickBot="1" x14ac:dyDescent="0.3">
      <c r="A27" s="21" t="s">
        <v>23</v>
      </c>
      <c r="B27" s="22"/>
      <c r="C27" s="23"/>
      <c r="D27" s="29">
        <f t="shared" ref="D27:AB27" si="0">SUM(D4:D15)-SUM(D16:D26)</f>
        <v>2457</v>
      </c>
      <c r="E27" s="22">
        <f t="shared" si="0"/>
        <v>0</v>
      </c>
      <c r="F27" s="37">
        <f t="shared" si="0"/>
        <v>0</v>
      </c>
      <c r="G27" s="24">
        <f t="shared" si="0"/>
        <v>2495</v>
      </c>
      <c r="H27" s="33">
        <f t="shared" si="0"/>
        <v>206</v>
      </c>
      <c r="I27" s="22">
        <f t="shared" si="0"/>
        <v>8720</v>
      </c>
      <c r="J27" s="37">
        <f t="shared" si="0"/>
        <v>9</v>
      </c>
      <c r="K27" s="24">
        <f t="shared" si="0"/>
        <v>3000</v>
      </c>
      <c r="L27" s="37">
        <f t="shared" si="0"/>
        <v>0</v>
      </c>
      <c r="M27" s="37">
        <f t="shared" si="0"/>
        <v>9825</v>
      </c>
      <c r="N27" s="23">
        <f t="shared" si="0"/>
        <v>7087</v>
      </c>
      <c r="O27" s="29">
        <f t="shared" si="0"/>
        <v>316</v>
      </c>
      <c r="P27" s="29">
        <f t="shared" si="0"/>
        <v>1160</v>
      </c>
      <c r="Q27" s="29">
        <f t="shared" si="0"/>
        <v>80</v>
      </c>
      <c r="R27" s="24">
        <f t="shared" si="0"/>
        <v>923</v>
      </c>
      <c r="S27" s="33">
        <f t="shared" si="0"/>
        <v>6</v>
      </c>
      <c r="T27" s="22">
        <f t="shared" si="0"/>
        <v>1764</v>
      </c>
      <c r="U27" s="22">
        <f t="shared" si="0"/>
        <v>15</v>
      </c>
      <c r="V27" s="22">
        <f t="shared" si="0"/>
        <v>0</v>
      </c>
      <c r="W27" s="33">
        <f t="shared" si="0"/>
        <v>200</v>
      </c>
      <c r="X27" s="22">
        <f t="shared" si="0"/>
        <v>2518</v>
      </c>
      <c r="Y27" s="33">
        <f t="shared" si="0"/>
        <v>1268</v>
      </c>
      <c r="Z27" s="22">
        <f t="shared" si="0"/>
        <v>0</v>
      </c>
      <c r="AA27" s="33">
        <f t="shared" si="0"/>
        <v>0</v>
      </c>
      <c r="AB27" s="25">
        <f t="shared" si="0"/>
        <v>225</v>
      </c>
    </row>
    <row r="29" spans="1:28" x14ac:dyDescent="0.25">
      <c r="D29">
        <f>D27*0.4</f>
        <v>982.80000000000007</v>
      </c>
      <c r="E29">
        <f>+E27*0.3</f>
        <v>0</v>
      </c>
      <c r="F29">
        <f>+F27*0.28</f>
        <v>0</v>
      </c>
      <c r="G29">
        <f>+G27*0.38+(2095*0.06)</f>
        <v>1073.8</v>
      </c>
      <c r="H29">
        <f>+H27*0.4</f>
        <v>82.4</v>
      </c>
      <c r="I29">
        <f>+I27*0.57</f>
        <v>4970.3999999999996</v>
      </c>
      <c r="J29">
        <f>+J27*0.54</f>
        <v>4.8600000000000003</v>
      </c>
      <c r="K29" s="50">
        <f>+K27*0.87</f>
        <v>2610</v>
      </c>
      <c r="L29">
        <f>+L27*0.62</f>
        <v>0</v>
      </c>
      <c r="M29">
        <f>+M27*0.72-(125*0.08)</f>
        <v>7064</v>
      </c>
      <c r="N29">
        <f>+N27*0.62-(1587*0.02)</f>
        <v>4362.2</v>
      </c>
      <c r="O29">
        <f>+O27*2.04</f>
        <v>644.64</v>
      </c>
      <c r="P29">
        <f>+P27*1.575</f>
        <v>1827</v>
      </c>
      <c r="Q29">
        <f>Q27*1.8</f>
        <v>144</v>
      </c>
      <c r="R29">
        <f>+R27*1.88</f>
        <v>1735.24</v>
      </c>
      <c r="S29">
        <f>+S27*1.57</f>
        <v>9.42</v>
      </c>
      <c r="T29">
        <f>+T27*1.98+(400*0.12)</f>
        <v>3540.72</v>
      </c>
      <c r="U29">
        <f>+U27*1.85</f>
        <v>27.75</v>
      </c>
      <c r="V29">
        <f>+V27*2.18</f>
        <v>0</v>
      </c>
      <c r="W29">
        <f>+W27*1.9</f>
        <v>380</v>
      </c>
      <c r="X29">
        <f>+X27*0.44</f>
        <v>1107.92</v>
      </c>
      <c r="Y29">
        <f>+Y27*0.34</f>
        <v>431.12</v>
      </c>
      <c r="Z29" s="50">
        <f>+Z27*1.9</f>
        <v>0</v>
      </c>
      <c r="AA29">
        <f>+AA27*0.93</f>
        <v>0</v>
      </c>
      <c r="AB29">
        <f>+AB27*1.65</f>
        <v>371.25</v>
      </c>
    </row>
    <row r="30" spans="1:28" x14ac:dyDescent="0.25">
      <c r="AB30" s="39">
        <f>SUM(D29:AB29)</f>
        <v>31369.52</v>
      </c>
    </row>
    <row r="31" spans="1:28" x14ac:dyDescent="0.25">
      <c r="M31">
        <v>0.64</v>
      </c>
      <c r="P31">
        <f>160*1.86</f>
        <v>297.60000000000002</v>
      </c>
      <c r="Y31">
        <f>103*0.35</f>
        <v>36.049999999999997</v>
      </c>
    </row>
    <row r="32" spans="1:28" ht="15.75" x14ac:dyDescent="0.25">
      <c r="N32">
        <f>607*0.57</f>
        <v>345.98999999999995</v>
      </c>
      <c r="P32">
        <f>40*1.575</f>
        <v>63</v>
      </c>
      <c r="S32" s="89"/>
      <c r="Y32">
        <f>397*0.34</f>
        <v>134.98000000000002</v>
      </c>
    </row>
    <row r="33" spans="3:25" ht="15.75" x14ac:dyDescent="0.25">
      <c r="N33">
        <f>1393*0.6</f>
        <v>835.8</v>
      </c>
      <c r="P33">
        <f>SUM(P31:P32)</f>
        <v>360.6</v>
      </c>
      <c r="S33" s="89"/>
      <c r="Y33">
        <f>+Y31+Y32</f>
        <v>171.03000000000003</v>
      </c>
    </row>
    <row r="34" spans="3:25" x14ac:dyDescent="0.25">
      <c r="N34">
        <f>+N32+N33</f>
        <v>1181.79</v>
      </c>
      <c r="P34" s="84">
        <f>P33/200</f>
        <v>1.8030000000000002</v>
      </c>
      <c r="S34" s="85"/>
      <c r="Y34">
        <f>Y33/500</f>
        <v>0.34206000000000009</v>
      </c>
    </row>
    <row r="35" spans="3:25" x14ac:dyDescent="0.25">
      <c r="I35" s="60"/>
      <c r="N35" s="85">
        <f>N34/2000</f>
        <v>0.59089499999999995</v>
      </c>
      <c r="S35" s="85"/>
    </row>
    <row r="36" spans="3:25" x14ac:dyDescent="0.25">
      <c r="S36" s="85"/>
    </row>
    <row r="37" spans="3:25" x14ac:dyDescent="0.25">
      <c r="C37">
        <f>+N34/2000</f>
        <v>0.59089499999999995</v>
      </c>
      <c r="S37" s="85"/>
    </row>
    <row r="38" spans="3:25" x14ac:dyDescent="0.25">
      <c r="O38">
        <f>800*31.5</f>
        <v>25200</v>
      </c>
      <c r="S38" s="85"/>
    </row>
    <row r="39" spans="3:25" x14ac:dyDescent="0.25">
      <c r="O39">
        <f>860*29.5</f>
        <v>25370</v>
      </c>
      <c r="S39" s="85"/>
    </row>
    <row r="46" spans="3:25" x14ac:dyDescent="0.25">
      <c r="C46">
        <f>1110*8*3.689</f>
        <v>32758.32</v>
      </c>
    </row>
    <row r="47" spans="3:25" x14ac:dyDescent="0.25">
      <c r="C47">
        <v>4500</v>
      </c>
      <c r="O47">
        <f>570*30</f>
        <v>17100</v>
      </c>
    </row>
    <row r="48" spans="3:25" x14ac:dyDescent="0.25">
      <c r="C48">
        <f>SUM(C46:C47)</f>
        <v>37258.32</v>
      </c>
    </row>
  </sheetData>
  <mergeCells count="7">
    <mergeCell ref="X2:Y2"/>
    <mergeCell ref="A4:A15"/>
    <mergeCell ref="A16:A26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B85D-95C5-4A3B-B062-DBD924DE8B4C}">
  <dimension ref="A1:AB41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W7" sqref="W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27a03-05'!D27</f>
        <v>2457</v>
      </c>
      <c r="E4" s="42">
        <f>'STOCK 27a03-05'!E27</f>
        <v>0</v>
      </c>
      <c r="F4" s="42">
        <f>'STOCK 27a03-05'!F27</f>
        <v>0</v>
      </c>
      <c r="G4" s="42">
        <f>'STOCK 27a03-05'!G27</f>
        <v>2495</v>
      </c>
      <c r="H4" s="42">
        <f>'STOCK 27a03-05'!H27</f>
        <v>206</v>
      </c>
      <c r="I4" s="42">
        <f>'STOCK 27a03-05'!I27</f>
        <v>8720</v>
      </c>
      <c r="J4" s="42">
        <f>'STOCK 27a03-05'!J27</f>
        <v>9</v>
      </c>
      <c r="K4" s="42">
        <f>'STOCK 27a03-05'!K27</f>
        <v>3000</v>
      </c>
      <c r="L4" s="42">
        <f>'STOCK 27a03-05'!L27</f>
        <v>0</v>
      </c>
      <c r="M4" s="42">
        <f>'STOCK 27a03-05'!M27</f>
        <v>9825</v>
      </c>
      <c r="N4" s="42">
        <f>'STOCK 27a03-05'!N27</f>
        <v>7087</v>
      </c>
      <c r="O4" s="42">
        <f>'STOCK 27a03-05'!O27</f>
        <v>316</v>
      </c>
      <c r="P4" s="42">
        <f>'STOCK 27a03-05'!P27</f>
        <v>1160</v>
      </c>
      <c r="Q4" s="42">
        <f>'STOCK 27a03-05'!Q27</f>
        <v>80</v>
      </c>
      <c r="R4" s="42">
        <f>'STOCK 27a03-05'!R27</f>
        <v>923</v>
      </c>
      <c r="S4" s="42">
        <f>'STOCK 27a03-05'!S27</f>
        <v>6</v>
      </c>
      <c r="T4" s="42">
        <f>'STOCK 27a03-05'!T27</f>
        <v>1764</v>
      </c>
      <c r="U4" s="42">
        <f>'STOCK 27a03-05'!U27</f>
        <v>15</v>
      </c>
      <c r="V4" s="42">
        <f>'STOCK 27a03-05'!V27</f>
        <v>0</v>
      </c>
      <c r="W4" s="42">
        <f>'STOCK 27a03-05'!W27</f>
        <v>200</v>
      </c>
      <c r="X4" s="42">
        <f>'STOCK 27a03-05'!X27</f>
        <v>2518</v>
      </c>
      <c r="Y4" s="42">
        <f>'STOCK 27a03-05'!Y27</f>
        <v>1268</v>
      </c>
      <c r="Z4" s="42">
        <f>'STOCK 27a03-05'!Z27</f>
        <v>0</v>
      </c>
      <c r="AA4" s="42">
        <f>'STOCK 27a03-05'!AA27</f>
        <v>0</v>
      </c>
      <c r="AB4" s="42">
        <f>'STOCK 27a03-05'!AB27</f>
        <v>225</v>
      </c>
    </row>
    <row r="5" spans="1:28" x14ac:dyDescent="0.25">
      <c r="A5" s="311"/>
      <c r="B5" s="20">
        <v>45782</v>
      </c>
      <c r="C5" s="82" t="s">
        <v>104</v>
      </c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>
        <v>1450</v>
      </c>
      <c r="Y5" s="31">
        <v>3000</v>
      </c>
      <c r="AA5" s="31"/>
      <c r="AB5" s="15"/>
    </row>
    <row r="6" spans="1:28" x14ac:dyDescent="0.25">
      <c r="A6" s="311"/>
      <c r="B6" s="20">
        <v>45782</v>
      </c>
      <c r="C6" s="82" t="s">
        <v>27</v>
      </c>
      <c r="D6" s="27">
        <v>4500</v>
      </c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45783</v>
      </c>
      <c r="C7" s="82" t="s">
        <v>27</v>
      </c>
      <c r="D7" s="27"/>
      <c r="F7" s="35"/>
      <c r="H7" s="31"/>
      <c r="I7" s="13"/>
      <c r="J7" s="35"/>
      <c r="L7" s="35"/>
      <c r="M7" s="35"/>
      <c r="N7" s="14"/>
      <c r="O7" s="27"/>
      <c r="R7">
        <v>700</v>
      </c>
      <c r="S7" s="31"/>
      <c r="T7" s="13"/>
      <c r="W7" s="31"/>
      <c r="X7" s="13"/>
      <c r="Y7" s="31"/>
      <c r="AA7" s="31"/>
      <c r="AB7" s="15"/>
    </row>
    <row r="8" spans="1:28" x14ac:dyDescent="0.25">
      <c r="A8" s="311"/>
      <c r="B8" s="20">
        <v>45783</v>
      </c>
      <c r="C8" s="82" t="s">
        <v>104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>
        <v>1500</v>
      </c>
      <c r="Y8" s="31"/>
      <c r="AA8" s="31"/>
      <c r="AB8" s="15"/>
    </row>
    <row r="9" spans="1:28" x14ac:dyDescent="0.25">
      <c r="A9" s="311"/>
      <c r="B9" s="20">
        <v>45783</v>
      </c>
      <c r="C9" s="82" t="s">
        <v>46</v>
      </c>
      <c r="D9" s="27">
        <v>3500</v>
      </c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>
        <v>45784</v>
      </c>
      <c r="C10" s="82" t="s">
        <v>27</v>
      </c>
      <c r="D10" s="27">
        <v>2500</v>
      </c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>
        <v>45786</v>
      </c>
      <c r="C11" s="82" t="s">
        <v>46</v>
      </c>
      <c r="D11" s="27"/>
      <c r="F11" s="35">
        <v>2500</v>
      </c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31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31"/>
      <c r="AB12" s="15"/>
    </row>
    <row r="13" spans="1:28" x14ac:dyDescent="0.25">
      <c r="A13" s="311"/>
      <c r="B13" s="20">
        <v>45768</v>
      </c>
      <c r="C13" s="82" t="s">
        <v>27</v>
      </c>
      <c r="D13" s="27"/>
      <c r="F13" s="35"/>
      <c r="H13" s="31"/>
      <c r="I13" s="13"/>
      <c r="J13" s="35"/>
      <c r="L13" s="35"/>
      <c r="M13" s="35"/>
      <c r="N13" s="14">
        <v>500</v>
      </c>
      <c r="O13" s="27"/>
      <c r="S13" s="31"/>
      <c r="T13" s="13"/>
      <c r="W13" s="31"/>
      <c r="X13" s="13"/>
      <c r="Y13" s="31"/>
      <c r="AA13" s="31"/>
      <c r="AB13" s="15"/>
    </row>
    <row r="14" spans="1:28" x14ac:dyDescent="0.25">
      <c r="A14" s="311"/>
      <c r="B14" s="20"/>
      <c r="C14" s="82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/>
      <c r="C15" s="14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31"/>
      <c r="AB15" s="15"/>
    </row>
    <row r="16" spans="1:28" x14ac:dyDescent="0.25">
      <c r="A16" s="311"/>
      <c r="B16" s="20"/>
      <c r="C16" s="14"/>
      <c r="D16" s="27"/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31"/>
      <c r="AB16" s="15"/>
    </row>
    <row r="17" spans="1:28" ht="15.75" thickBot="1" x14ac:dyDescent="0.3">
      <c r="A17" s="312"/>
      <c r="B17" s="72"/>
      <c r="C17" s="17"/>
      <c r="D17" s="28"/>
      <c r="E17" s="18"/>
      <c r="F17" s="36"/>
      <c r="G17" s="18"/>
      <c r="H17" s="32"/>
      <c r="I17" s="16"/>
      <c r="J17" s="36"/>
      <c r="K17" s="18"/>
      <c r="L17" s="36"/>
      <c r="M17" s="36"/>
      <c r="N17" s="17"/>
      <c r="O17" s="28"/>
      <c r="P17" s="18"/>
      <c r="Q17" s="18"/>
      <c r="R17" s="18"/>
      <c r="S17" s="32"/>
      <c r="T17" s="16"/>
      <c r="U17" s="18"/>
      <c r="V17" s="18"/>
      <c r="W17" s="32"/>
      <c r="X17" s="16"/>
      <c r="Y17" s="32"/>
      <c r="Z17" s="18"/>
      <c r="AA17" s="32"/>
      <c r="AB17" s="19"/>
    </row>
    <row r="18" spans="1:28" x14ac:dyDescent="0.25">
      <c r="A18" s="310" t="s">
        <v>62</v>
      </c>
      <c r="B18" s="20">
        <v>45781</v>
      </c>
      <c r="C18" s="14" t="s">
        <v>22</v>
      </c>
      <c r="D18" s="27"/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>
        <v>50</v>
      </c>
      <c r="AA18" s="31"/>
      <c r="AB18" s="15"/>
    </row>
    <row r="19" spans="1:28" x14ac:dyDescent="0.25">
      <c r="A19" s="311"/>
      <c r="B19" s="20">
        <v>45782</v>
      </c>
      <c r="C19" s="14" t="s">
        <v>22</v>
      </c>
      <c r="D19" s="27">
        <v>300</v>
      </c>
      <c r="F19" s="35"/>
      <c r="G19">
        <v>500</v>
      </c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>
        <f>500+1000</f>
        <v>1500</v>
      </c>
      <c r="Y19" s="31">
        <v>500</v>
      </c>
      <c r="AA19" s="31"/>
      <c r="AB19" s="15"/>
    </row>
    <row r="20" spans="1:28" x14ac:dyDescent="0.25">
      <c r="A20" s="311"/>
      <c r="B20" s="20">
        <v>45783</v>
      </c>
      <c r="C20" s="14" t="s">
        <v>22</v>
      </c>
      <c r="D20" s="27">
        <v>250</v>
      </c>
      <c r="F20" s="35"/>
      <c r="H20" s="31"/>
      <c r="I20" s="13"/>
      <c r="J20" s="35"/>
      <c r="L20" s="35"/>
      <c r="M20" s="35"/>
      <c r="N20" s="14">
        <v>200</v>
      </c>
      <c r="O20" s="27"/>
      <c r="S20" s="31"/>
      <c r="T20" s="13">
        <v>140</v>
      </c>
      <c r="W20" s="31"/>
      <c r="X20" s="13"/>
      <c r="Y20" s="31"/>
      <c r="AA20" s="31"/>
      <c r="AB20" s="15"/>
    </row>
    <row r="21" spans="1:28" x14ac:dyDescent="0.25">
      <c r="A21" s="311"/>
      <c r="B21" s="20">
        <v>45784</v>
      </c>
      <c r="C21" s="14" t="s">
        <v>22</v>
      </c>
      <c r="D21" s="27">
        <v>1000</v>
      </c>
      <c r="F21" s="35"/>
      <c r="H21" s="31"/>
      <c r="I21" s="13">
        <v>2000</v>
      </c>
      <c r="J21" s="35"/>
      <c r="L21" s="35"/>
      <c r="M21" s="35">
        <v>4000</v>
      </c>
      <c r="N21" s="14"/>
      <c r="O21" s="27"/>
      <c r="R21">
        <f>200+500</f>
        <v>700</v>
      </c>
      <c r="S21" s="31"/>
      <c r="T21" s="13">
        <v>200</v>
      </c>
      <c r="W21" s="31"/>
      <c r="X21" s="13"/>
      <c r="Y21" s="31">
        <v>100</v>
      </c>
      <c r="AA21" s="31"/>
      <c r="AB21" s="15"/>
    </row>
    <row r="22" spans="1:28" x14ac:dyDescent="0.25">
      <c r="A22" s="311"/>
      <c r="B22" s="20">
        <v>45784</v>
      </c>
      <c r="C22" s="14" t="s">
        <v>45</v>
      </c>
      <c r="D22" s="27">
        <v>2000</v>
      </c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x14ac:dyDescent="0.25">
      <c r="A23" s="311"/>
      <c r="B23" s="20">
        <v>45785</v>
      </c>
      <c r="C23" s="14" t="s">
        <v>22</v>
      </c>
      <c r="D23" s="27"/>
      <c r="F23" s="35"/>
      <c r="H23" s="31"/>
      <c r="I23" s="13">
        <v>375</v>
      </c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x14ac:dyDescent="0.25">
      <c r="A24" s="311"/>
      <c r="B24" s="20">
        <v>45786</v>
      </c>
      <c r="C24" s="14" t="s">
        <v>45</v>
      </c>
      <c r="D24" s="27"/>
      <c r="F24" s="35"/>
      <c r="H24" s="31"/>
      <c r="I24" s="13"/>
      <c r="J24" s="35"/>
      <c r="L24" s="35"/>
      <c r="M24" s="35"/>
      <c r="N24" s="14">
        <v>1000</v>
      </c>
      <c r="O24" s="27"/>
      <c r="S24" s="31"/>
      <c r="T24" s="13"/>
      <c r="W24" s="31"/>
      <c r="X24" s="13"/>
      <c r="Y24" s="31"/>
      <c r="AA24" s="31"/>
      <c r="AB24" s="15"/>
    </row>
    <row r="25" spans="1:28" x14ac:dyDescent="0.25">
      <c r="A25" s="311"/>
      <c r="B25" s="20">
        <v>45786</v>
      </c>
      <c r="C25" s="14" t="s">
        <v>22</v>
      </c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>
        <v>500</v>
      </c>
      <c r="Y25" s="31"/>
      <c r="AA25" s="31"/>
      <c r="AB25" s="15"/>
    </row>
    <row r="26" spans="1:28" x14ac:dyDescent="0.25">
      <c r="A26" s="311"/>
      <c r="B26" s="20">
        <v>45787</v>
      </c>
      <c r="C26" s="14" t="s">
        <v>22</v>
      </c>
      <c r="D26" s="27"/>
      <c r="F26" s="35"/>
      <c r="H26" s="31"/>
      <c r="I26" s="13">
        <v>1500</v>
      </c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31"/>
      <c r="AB26" s="15"/>
    </row>
    <row r="27" spans="1:28" x14ac:dyDescent="0.25">
      <c r="A27" s="311"/>
      <c r="B27" s="20"/>
      <c r="C27" s="14"/>
      <c r="D27" s="27"/>
      <c r="F27" s="35"/>
      <c r="H27" s="31"/>
      <c r="I27" s="13"/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31"/>
      <c r="AB27" s="15"/>
    </row>
    <row r="28" spans="1:28" ht="15.75" thickBot="1" x14ac:dyDescent="0.3">
      <c r="A28" s="312"/>
      <c r="B28" s="13"/>
      <c r="C28" s="14"/>
      <c r="D28" s="27"/>
      <c r="F28" s="35"/>
      <c r="H28" s="31"/>
      <c r="I28" s="13"/>
      <c r="J28" s="35"/>
      <c r="L28" s="35"/>
      <c r="M28" s="35"/>
      <c r="N28" s="14"/>
      <c r="O28" s="27"/>
      <c r="S28" s="31"/>
      <c r="T28" s="13"/>
      <c r="W28" s="31"/>
      <c r="X28" s="13"/>
      <c r="Y28" s="31"/>
      <c r="AA28" s="31"/>
      <c r="AB28" s="15"/>
    </row>
    <row r="29" spans="1:28" ht="21.75" thickBot="1" x14ac:dyDescent="0.3">
      <c r="A29" s="21" t="s">
        <v>23</v>
      </c>
      <c r="B29" s="22"/>
      <c r="C29" s="23"/>
      <c r="D29" s="29">
        <f t="shared" ref="D29:AB29" si="0">SUM(D4:D17)-SUM(D18:D28)</f>
        <v>9407</v>
      </c>
      <c r="E29" s="22">
        <f t="shared" si="0"/>
        <v>0</v>
      </c>
      <c r="F29" s="37">
        <f t="shared" si="0"/>
        <v>2500</v>
      </c>
      <c r="G29" s="24">
        <f t="shared" si="0"/>
        <v>1995</v>
      </c>
      <c r="H29" s="33">
        <f t="shared" si="0"/>
        <v>206</v>
      </c>
      <c r="I29" s="22">
        <f t="shared" si="0"/>
        <v>4845</v>
      </c>
      <c r="J29" s="37">
        <f t="shared" si="0"/>
        <v>9</v>
      </c>
      <c r="K29" s="24">
        <f t="shared" si="0"/>
        <v>3000</v>
      </c>
      <c r="L29" s="37">
        <f t="shared" si="0"/>
        <v>0</v>
      </c>
      <c r="M29" s="37">
        <f t="shared" si="0"/>
        <v>5825</v>
      </c>
      <c r="N29" s="23">
        <f t="shared" si="0"/>
        <v>6387</v>
      </c>
      <c r="O29" s="29">
        <f t="shared" si="0"/>
        <v>316</v>
      </c>
      <c r="P29" s="29">
        <f t="shared" si="0"/>
        <v>1160</v>
      </c>
      <c r="Q29" s="29">
        <f t="shared" si="0"/>
        <v>80</v>
      </c>
      <c r="R29" s="24">
        <f t="shared" si="0"/>
        <v>923</v>
      </c>
      <c r="S29" s="33">
        <f t="shared" si="0"/>
        <v>6</v>
      </c>
      <c r="T29" s="22">
        <f t="shared" si="0"/>
        <v>1424</v>
      </c>
      <c r="U29" s="22">
        <f t="shared" si="0"/>
        <v>15</v>
      </c>
      <c r="V29" s="22">
        <f t="shared" si="0"/>
        <v>0</v>
      </c>
      <c r="W29" s="33">
        <f t="shared" si="0"/>
        <v>200</v>
      </c>
      <c r="X29" s="22">
        <f t="shared" si="0"/>
        <v>3468</v>
      </c>
      <c r="Y29" s="33">
        <f t="shared" si="0"/>
        <v>3618</v>
      </c>
      <c r="Z29" s="22">
        <f t="shared" si="0"/>
        <v>0</v>
      </c>
      <c r="AA29" s="33">
        <f t="shared" si="0"/>
        <v>0</v>
      </c>
      <c r="AB29" s="25">
        <f t="shared" si="0"/>
        <v>225</v>
      </c>
    </row>
    <row r="31" spans="1:28" x14ac:dyDescent="0.25">
      <c r="D31">
        <f>D29*0.4</f>
        <v>3762.8</v>
      </c>
      <c r="E31">
        <f>+E29*0.3</f>
        <v>0</v>
      </c>
      <c r="F31">
        <f>+F29*0.47</f>
        <v>1175</v>
      </c>
      <c r="G31">
        <f>+G29*0.38+(2095*0.06)</f>
        <v>883.8</v>
      </c>
      <c r="H31">
        <f>+H29*0.4</f>
        <v>82.4</v>
      </c>
      <c r="I31">
        <f>+I29*0.57</f>
        <v>2761.6499999999996</v>
      </c>
      <c r="J31">
        <f>+J29*0.54</f>
        <v>4.8600000000000003</v>
      </c>
      <c r="K31" s="50">
        <f>+K29*0.87</f>
        <v>2610</v>
      </c>
      <c r="L31">
        <f>+L29*0.62</f>
        <v>0</v>
      </c>
      <c r="M31">
        <f>+M29*0.72-(125*0.08)</f>
        <v>4184</v>
      </c>
      <c r="N31">
        <f>+N29*0.62-(387*0.02)</f>
        <v>3952.2000000000003</v>
      </c>
      <c r="O31">
        <f>+O29*2.04</f>
        <v>644.64</v>
      </c>
      <c r="P31">
        <f>+P29*1.575</f>
        <v>1827</v>
      </c>
      <c r="Q31">
        <f>Q29*1.8</f>
        <v>144</v>
      </c>
      <c r="R31">
        <f>+R29*1.98-(223*0.1)</f>
        <v>1805.24</v>
      </c>
      <c r="S31">
        <f>+S29*1.57</f>
        <v>9.42</v>
      </c>
      <c r="T31">
        <f>+T29*1.98+(400*0.12)</f>
        <v>2867.52</v>
      </c>
      <c r="U31">
        <f>+U29*1.85</f>
        <v>27.75</v>
      </c>
      <c r="V31">
        <f>+V29*2.18</f>
        <v>0</v>
      </c>
      <c r="W31">
        <f>+W29*1.9</f>
        <v>380</v>
      </c>
      <c r="X31">
        <f>+X29*0.44</f>
        <v>1525.92</v>
      </c>
      <c r="Y31">
        <f>+Y29*0.34</f>
        <v>1230.1200000000001</v>
      </c>
      <c r="Z31" s="50">
        <f>+Z29*1.9</f>
        <v>0</v>
      </c>
      <c r="AA31">
        <f>+AA29*0.93</f>
        <v>0</v>
      </c>
      <c r="AB31">
        <f>+AB29*1.65</f>
        <v>371.25</v>
      </c>
    </row>
    <row r="32" spans="1:28" x14ac:dyDescent="0.25">
      <c r="AB32" s="39">
        <f>SUM(D31:AB31)</f>
        <v>30249.569999999996</v>
      </c>
    </row>
    <row r="34" spans="9:19" ht="15.75" x14ac:dyDescent="0.25">
      <c r="S34" s="89"/>
    </row>
    <row r="35" spans="9:19" ht="15.75" x14ac:dyDescent="0.25">
      <c r="S35" s="89"/>
    </row>
    <row r="36" spans="9:19" x14ac:dyDescent="0.25">
      <c r="P36" s="84"/>
      <c r="S36" s="85"/>
    </row>
    <row r="37" spans="9:19" x14ac:dyDescent="0.25">
      <c r="I37" s="60"/>
      <c r="N37" s="85"/>
      <c r="S37" s="85"/>
    </row>
    <row r="38" spans="9:19" x14ac:dyDescent="0.25">
      <c r="S38" s="85"/>
    </row>
    <row r="39" spans="9:19" x14ac:dyDescent="0.25">
      <c r="S39" s="85"/>
    </row>
    <row r="40" spans="9:19" x14ac:dyDescent="0.25">
      <c r="S40" s="85"/>
    </row>
    <row r="41" spans="9:19" x14ac:dyDescent="0.25">
      <c r="S41" s="85"/>
    </row>
  </sheetData>
  <mergeCells count="7">
    <mergeCell ref="X2:Y2"/>
    <mergeCell ref="A4:A17"/>
    <mergeCell ref="A18:A28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3B8F-3D44-414F-90B8-388532C9ADD8}">
  <dimension ref="A1:AB36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18" sqref="P1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40" t="s">
        <v>47</v>
      </c>
      <c r="AA2" s="40" t="s">
        <v>31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7" t="s">
        <v>77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04a10-05'!D29</f>
        <v>9407</v>
      </c>
      <c r="E4" s="42">
        <f>'STOCK 04a10-05'!E29</f>
        <v>0</v>
      </c>
      <c r="F4" s="42">
        <f>'STOCK 04a10-05'!F29</f>
        <v>2500</v>
      </c>
      <c r="G4" s="42">
        <f>'STOCK 04a10-05'!G29</f>
        <v>1995</v>
      </c>
      <c r="H4" s="42">
        <f>'STOCK 04a10-05'!H29</f>
        <v>206</v>
      </c>
      <c r="I4" s="42">
        <f>'STOCK 04a10-05'!I29</f>
        <v>4845</v>
      </c>
      <c r="J4" s="42">
        <f>'STOCK 04a10-05'!J29</f>
        <v>9</v>
      </c>
      <c r="K4" s="42">
        <f>'STOCK 04a10-05'!K29</f>
        <v>3000</v>
      </c>
      <c r="L4" s="42">
        <f>'STOCK 04a10-05'!L29</f>
        <v>0</v>
      </c>
      <c r="M4" s="42">
        <f>'STOCK 04a10-05'!M29</f>
        <v>5825</v>
      </c>
      <c r="N4" s="42">
        <f>'STOCK 04a10-05'!N29</f>
        <v>6387</v>
      </c>
      <c r="O4" s="42">
        <f>'STOCK 04a10-05'!O29</f>
        <v>316</v>
      </c>
      <c r="P4" s="42">
        <f>'STOCK 04a10-05'!P29</f>
        <v>1160</v>
      </c>
      <c r="Q4" s="42">
        <f>'STOCK 04a10-05'!Q29</f>
        <v>80</v>
      </c>
      <c r="R4" s="42">
        <f>'STOCK 04a10-05'!R29</f>
        <v>923</v>
      </c>
      <c r="S4" s="42">
        <f>'STOCK 04a10-05'!S29</f>
        <v>6</v>
      </c>
      <c r="T4" s="42">
        <f>'STOCK 04a10-05'!T29</f>
        <v>1424</v>
      </c>
      <c r="U4" s="42">
        <f>'STOCK 04a10-05'!U29</f>
        <v>15</v>
      </c>
      <c r="V4" s="42">
        <f>'STOCK 04a10-05'!V29</f>
        <v>0</v>
      </c>
      <c r="W4" s="42">
        <f>'STOCK 04a10-05'!W29</f>
        <v>200</v>
      </c>
      <c r="X4" s="42">
        <f>'STOCK 04a10-05'!X29</f>
        <v>3468</v>
      </c>
      <c r="Y4" s="42">
        <f>'STOCK 04a10-05'!Y29</f>
        <v>3618</v>
      </c>
      <c r="Z4" s="42">
        <f>'STOCK 04a10-05'!Z29</f>
        <v>0</v>
      </c>
      <c r="AA4" s="42">
        <f>'STOCK 04a10-05'!AA29</f>
        <v>0</v>
      </c>
      <c r="AB4" s="42">
        <f>'STOCK 04a10-05'!AB29</f>
        <v>225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31"/>
      <c r="AB5" s="15"/>
    </row>
    <row r="6" spans="1:28" x14ac:dyDescent="0.25">
      <c r="A6" s="311"/>
      <c r="B6" s="20">
        <v>45790</v>
      </c>
      <c r="C6" s="82" t="s">
        <v>46</v>
      </c>
      <c r="D6" s="27"/>
      <c r="F6" s="35">
        <v>2000</v>
      </c>
      <c r="H6" s="31"/>
      <c r="I6" s="13"/>
      <c r="J6" s="35"/>
      <c r="L6" s="35"/>
      <c r="M6" s="35">
        <v>3000</v>
      </c>
      <c r="N6" s="14"/>
      <c r="O6" s="27"/>
      <c r="S6" s="31"/>
      <c r="T6" s="13"/>
      <c r="W6" s="31"/>
      <c r="X6" s="13"/>
      <c r="Y6" s="31"/>
      <c r="AA6" s="31"/>
      <c r="AB6" s="15"/>
    </row>
    <row r="7" spans="1:28" x14ac:dyDescent="0.25">
      <c r="A7" s="311"/>
      <c r="B7" s="20">
        <v>45790</v>
      </c>
      <c r="C7" s="82" t="s">
        <v>93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>
        <v>500</v>
      </c>
      <c r="AA7" s="31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31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31"/>
      <c r="AB9" s="15"/>
    </row>
    <row r="10" spans="1:28" x14ac:dyDescent="0.25">
      <c r="A10" s="311"/>
      <c r="B10" s="20"/>
      <c r="C10" s="14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31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31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36"/>
      <c r="N12" s="17"/>
      <c r="O12" s="28"/>
      <c r="P12" s="1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32"/>
      <c r="AB12" s="19"/>
    </row>
    <row r="13" spans="1:28" x14ac:dyDescent="0.25">
      <c r="A13" s="310" t="s">
        <v>62</v>
      </c>
      <c r="B13" s="20">
        <v>45789</v>
      </c>
      <c r="C13" s="14" t="s">
        <v>22</v>
      </c>
      <c r="D13" s="27">
        <v>1000</v>
      </c>
      <c r="F13" s="35"/>
      <c r="H13" s="31"/>
      <c r="I13" s="13">
        <v>500</v>
      </c>
      <c r="J13" s="35"/>
      <c r="L13" s="35"/>
      <c r="M13" s="35"/>
      <c r="N13" s="14"/>
      <c r="O13" s="27"/>
      <c r="S13" s="31"/>
      <c r="T13" s="13">
        <v>40</v>
      </c>
      <c r="W13" s="31"/>
      <c r="X13" s="13"/>
      <c r="Y13" s="31">
        <v>500</v>
      </c>
      <c r="AA13" s="31"/>
      <c r="AB13" s="15"/>
    </row>
    <row r="14" spans="1:28" x14ac:dyDescent="0.25">
      <c r="A14" s="311"/>
      <c r="B14" s="20">
        <v>45790</v>
      </c>
      <c r="C14" s="14" t="s">
        <v>22</v>
      </c>
      <c r="D14" s="27"/>
      <c r="F14" s="35"/>
      <c r="H14" s="31">
        <v>24</v>
      </c>
      <c r="I14" s="13">
        <f>1150+2000+1000</f>
        <v>4150</v>
      </c>
      <c r="J14" s="35"/>
      <c r="L14" s="35"/>
      <c r="M14" s="35"/>
      <c r="N14" s="14">
        <v>350</v>
      </c>
      <c r="O14" s="27"/>
      <c r="S14" s="31"/>
      <c r="T14" s="13"/>
      <c r="W14" s="31"/>
      <c r="X14" s="13"/>
      <c r="Y14" s="31"/>
      <c r="AA14" s="31"/>
      <c r="AB14" s="15"/>
    </row>
    <row r="15" spans="1:28" x14ac:dyDescent="0.25">
      <c r="A15" s="311"/>
      <c r="B15" s="20">
        <v>45791</v>
      </c>
      <c r="C15" s="14" t="s">
        <v>22</v>
      </c>
      <c r="D15" s="27"/>
      <c r="F15" s="35"/>
      <c r="H15" s="31"/>
      <c r="I15" s="13"/>
      <c r="J15" s="35"/>
      <c r="L15" s="35"/>
      <c r="M15" s="35"/>
      <c r="N15" s="14">
        <v>250</v>
      </c>
      <c r="O15" s="27"/>
      <c r="S15" s="31"/>
      <c r="T15" s="13"/>
      <c r="W15" s="31"/>
      <c r="X15" s="13"/>
      <c r="Y15" s="31">
        <v>50</v>
      </c>
      <c r="AA15" s="31"/>
      <c r="AB15" s="15"/>
    </row>
    <row r="16" spans="1:28" x14ac:dyDescent="0.25">
      <c r="A16" s="311"/>
      <c r="B16" s="20">
        <v>45792</v>
      </c>
      <c r="C16" s="14" t="s">
        <v>22</v>
      </c>
      <c r="D16" s="27">
        <v>600</v>
      </c>
      <c r="F16" s="35"/>
      <c r="H16" s="31"/>
      <c r="I16" s="13"/>
      <c r="J16" s="35"/>
      <c r="L16" s="35"/>
      <c r="M16" s="35"/>
      <c r="N16" s="14"/>
      <c r="O16" s="27"/>
      <c r="R16">
        <v>130</v>
      </c>
      <c r="S16" s="31"/>
      <c r="T16" s="13"/>
      <c r="W16" s="31"/>
      <c r="X16" s="13">
        <v>600</v>
      </c>
      <c r="Y16" s="31">
        <v>50</v>
      </c>
      <c r="AA16" s="31"/>
      <c r="AB16" s="15">
        <v>50</v>
      </c>
    </row>
    <row r="17" spans="1:28" x14ac:dyDescent="0.25">
      <c r="A17" s="311"/>
      <c r="B17" s="20">
        <v>45793</v>
      </c>
      <c r="C17" s="14" t="s">
        <v>22</v>
      </c>
      <c r="D17" s="27"/>
      <c r="F17" s="35"/>
      <c r="H17" s="31"/>
      <c r="I17" s="13"/>
      <c r="J17" s="35"/>
      <c r="L17" s="35"/>
      <c r="M17" s="35"/>
      <c r="N17" s="14"/>
      <c r="O17" s="27"/>
      <c r="P17">
        <v>270</v>
      </c>
      <c r="S17" s="31"/>
      <c r="T17" s="13"/>
      <c r="W17" s="31"/>
      <c r="X17" s="13"/>
      <c r="Y17" s="31">
        <v>150</v>
      </c>
      <c r="AA17" s="31"/>
      <c r="AB17" s="15"/>
    </row>
    <row r="18" spans="1:28" x14ac:dyDescent="0.25">
      <c r="A18" s="311"/>
      <c r="B18" s="20">
        <v>45794</v>
      </c>
      <c r="C18" s="14" t="s">
        <v>22</v>
      </c>
      <c r="D18" s="27">
        <f>2000+1000</f>
        <v>3000</v>
      </c>
      <c r="F18" s="35"/>
      <c r="H18" s="31"/>
      <c r="I18" s="13"/>
      <c r="J18" s="35"/>
      <c r="L18" s="35"/>
      <c r="M18" s="35"/>
      <c r="N18" s="14"/>
      <c r="O18" s="27"/>
      <c r="P18">
        <v>190</v>
      </c>
      <c r="R18">
        <v>250</v>
      </c>
      <c r="S18" s="31"/>
      <c r="T18" s="13"/>
      <c r="W18" s="31"/>
      <c r="X18" s="13"/>
      <c r="Y18" s="31">
        <v>10</v>
      </c>
      <c r="AA18" s="31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/>
      <c r="Y19" s="31"/>
      <c r="AA19" s="31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31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31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31"/>
      <c r="AB22" s="15"/>
    </row>
    <row r="23" spans="1:28" ht="15.75" thickBot="1" x14ac:dyDescent="0.3">
      <c r="A23" s="312"/>
      <c r="B23" s="13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31"/>
      <c r="AB23" s="15"/>
    </row>
    <row r="24" spans="1:28" ht="21.75" thickBot="1" x14ac:dyDescent="0.3">
      <c r="A24" s="21" t="s">
        <v>23</v>
      </c>
      <c r="B24" s="22"/>
      <c r="C24" s="23"/>
      <c r="D24" s="29">
        <f t="shared" ref="D24:AB24" si="0">SUM(D4:D12)-SUM(D13:D23)</f>
        <v>4807</v>
      </c>
      <c r="E24" s="22">
        <f t="shared" si="0"/>
        <v>0</v>
      </c>
      <c r="F24" s="37">
        <f t="shared" si="0"/>
        <v>4500</v>
      </c>
      <c r="G24" s="24">
        <f t="shared" si="0"/>
        <v>1995</v>
      </c>
      <c r="H24" s="33">
        <f t="shared" si="0"/>
        <v>182</v>
      </c>
      <c r="I24" s="22">
        <f t="shared" si="0"/>
        <v>195</v>
      </c>
      <c r="J24" s="37">
        <f t="shared" si="0"/>
        <v>9</v>
      </c>
      <c r="K24" s="24">
        <f t="shared" si="0"/>
        <v>3000</v>
      </c>
      <c r="L24" s="37">
        <f t="shared" si="0"/>
        <v>0</v>
      </c>
      <c r="M24" s="37">
        <f t="shared" si="0"/>
        <v>8825</v>
      </c>
      <c r="N24" s="23">
        <f t="shared" si="0"/>
        <v>5787</v>
      </c>
      <c r="O24" s="29">
        <f t="shared" si="0"/>
        <v>316</v>
      </c>
      <c r="P24" s="29">
        <f t="shared" si="0"/>
        <v>700</v>
      </c>
      <c r="Q24" s="29">
        <f t="shared" si="0"/>
        <v>80</v>
      </c>
      <c r="R24" s="24">
        <f t="shared" si="0"/>
        <v>543</v>
      </c>
      <c r="S24" s="33">
        <f t="shared" si="0"/>
        <v>6</v>
      </c>
      <c r="T24" s="22">
        <f t="shared" si="0"/>
        <v>1384</v>
      </c>
      <c r="U24" s="22">
        <f t="shared" si="0"/>
        <v>15</v>
      </c>
      <c r="V24" s="22">
        <f t="shared" si="0"/>
        <v>0</v>
      </c>
      <c r="W24" s="33">
        <f t="shared" si="0"/>
        <v>200</v>
      </c>
      <c r="X24" s="22">
        <f t="shared" si="0"/>
        <v>2868</v>
      </c>
      <c r="Y24" s="33">
        <f t="shared" si="0"/>
        <v>3358</v>
      </c>
      <c r="Z24" s="22">
        <f t="shared" si="0"/>
        <v>0</v>
      </c>
      <c r="AA24" s="33">
        <f t="shared" si="0"/>
        <v>0</v>
      </c>
      <c r="AB24" s="25">
        <f t="shared" si="0"/>
        <v>175</v>
      </c>
    </row>
    <row r="26" spans="1:28" x14ac:dyDescent="0.25">
      <c r="D26">
        <f>D24*0.4</f>
        <v>1922.8000000000002</v>
      </c>
      <c r="E26">
        <f>+E24*0.3</f>
        <v>0</v>
      </c>
      <c r="F26">
        <f>+F24*0.47</f>
        <v>2115</v>
      </c>
      <c r="G26">
        <f>+G24*0.38+(2095*0.06)</f>
        <v>883.8</v>
      </c>
      <c r="H26">
        <f>+H24*0.4</f>
        <v>72.8</v>
      </c>
      <c r="I26">
        <f>+I24*0.57</f>
        <v>111.14999999999999</v>
      </c>
      <c r="J26">
        <f>+J24*0.54</f>
        <v>4.8600000000000003</v>
      </c>
      <c r="K26" s="50">
        <f>+K24*0.87</f>
        <v>2610</v>
      </c>
      <c r="L26">
        <f>+L24*0.62</f>
        <v>0</v>
      </c>
      <c r="M26">
        <f>+M24*0.72-(125*0.08)</f>
        <v>6344</v>
      </c>
      <c r="N26">
        <f>+N24*0.62</f>
        <v>3587.94</v>
      </c>
      <c r="O26">
        <f>+O24*2.04</f>
        <v>644.64</v>
      </c>
      <c r="P26">
        <f>+P24*1.575</f>
        <v>1102.5</v>
      </c>
      <c r="Q26">
        <f>Q24*1.8</f>
        <v>144</v>
      </c>
      <c r="R26">
        <f>+R24*1.98</f>
        <v>1075.1400000000001</v>
      </c>
      <c r="S26">
        <f>+S24*1.57</f>
        <v>9.42</v>
      </c>
      <c r="T26">
        <f>+T24*1.98+(400*0.12)</f>
        <v>2788.32</v>
      </c>
      <c r="U26">
        <f>+U24*1.85</f>
        <v>27.75</v>
      </c>
      <c r="V26">
        <f>+V24*2.18</f>
        <v>0</v>
      </c>
      <c r="W26">
        <f>+W24*1.9</f>
        <v>380</v>
      </c>
      <c r="X26">
        <f>+X24*0.44</f>
        <v>1261.92</v>
      </c>
      <c r="Y26">
        <f>+Y24*0.34</f>
        <v>1141.72</v>
      </c>
      <c r="Z26" s="50">
        <f>+Z24*1.9</f>
        <v>0</v>
      </c>
      <c r="AA26">
        <f>+AA24*0.93</f>
        <v>0</v>
      </c>
      <c r="AB26">
        <f>+AB24*1.65</f>
        <v>288.75</v>
      </c>
    </row>
    <row r="27" spans="1:28" x14ac:dyDescent="0.25">
      <c r="AB27" s="39">
        <f>SUM(D26:AB26)</f>
        <v>26516.509999999995</v>
      </c>
    </row>
    <row r="29" spans="1:28" ht="15.75" x14ac:dyDescent="0.25">
      <c r="S29" s="89"/>
    </row>
    <row r="30" spans="1:28" ht="15.75" x14ac:dyDescent="0.25">
      <c r="S30" s="89"/>
    </row>
    <row r="31" spans="1:28" x14ac:dyDescent="0.25">
      <c r="P31" s="84"/>
      <c r="S31" s="85"/>
    </row>
    <row r="32" spans="1:28" x14ac:dyDescent="0.25">
      <c r="I32" s="60"/>
      <c r="N32" s="85"/>
      <c r="S32" s="85"/>
    </row>
    <row r="33" spans="19:19" x14ac:dyDescent="0.25">
      <c r="S33" s="85"/>
    </row>
    <row r="34" spans="19:19" x14ac:dyDescent="0.25">
      <c r="S34" s="85"/>
    </row>
    <row r="35" spans="19:19" x14ac:dyDescent="0.25">
      <c r="S35" s="85"/>
    </row>
    <row r="36" spans="19:19" x14ac:dyDescent="0.25">
      <c r="S36" s="85"/>
    </row>
  </sheetData>
  <mergeCells count="7">
    <mergeCell ref="X2:Y2"/>
    <mergeCell ref="A4:A12"/>
    <mergeCell ref="A13:A23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8B78-B89E-4FA2-9816-7E530EB83934}">
  <dimension ref="A1:AB37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5" sqref="O1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11a17-05'!D24</f>
        <v>4807</v>
      </c>
      <c r="E4" s="42">
        <f>'STOCK 11a17-05'!E24</f>
        <v>0</v>
      </c>
      <c r="F4" s="42">
        <f>'STOCK 11a17-05'!F24</f>
        <v>4500</v>
      </c>
      <c r="G4" s="42">
        <f>'STOCK 11a17-05'!G24</f>
        <v>1995</v>
      </c>
      <c r="H4" s="42">
        <f>'STOCK 11a17-05'!H24</f>
        <v>182</v>
      </c>
      <c r="I4" s="42">
        <f>'STOCK 11a17-05'!I24</f>
        <v>195</v>
      </c>
      <c r="J4" s="42">
        <f>'STOCK 11a17-05'!J24</f>
        <v>9</v>
      </c>
      <c r="K4" s="42">
        <f>'STOCK 11a17-05'!K24</f>
        <v>3000</v>
      </c>
      <c r="L4" s="42">
        <f>'STOCK 11a17-05'!L24</f>
        <v>0</v>
      </c>
      <c r="M4" s="42">
        <f>'STOCK 11a17-05'!M24</f>
        <v>8825</v>
      </c>
      <c r="N4" s="42">
        <f>'STOCK 11a17-05'!N24</f>
        <v>5787</v>
      </c>
      <c r="O4" s="42">
        <f>'STOCK 11a17-05'!O24</f>
        <v>316</v>
      </c>
      <c r="P4" s="42">
        <f>'STOCK 11a17-05'!P24</f>
        <v>700</v>
      </c>
      <c r="Q4" s="42">
        <f>'STOCK 11a17-05'!Q24</f>
        <v>80</v>
      </c>
      <c r="R4" s="42">
        <f>'STOCK 11a17-05'!R24</f>
        <v>543</v>
      </c>
      <c r="S4" s="42">
        <f>'STOCK 11a17-05'!S24</f>
        <v>6</v>
      </c>
      <c r="T4" s="42">
        <f>'STOCK 11a17-05'!T24</f>
        <v>1384</v>
      </c>
      <c r="U4" s="42">
        <f>'STOCK 11a17-05'!U24</f>
        <v>15</v>
      </c>
      <c r="V4" s="42">
        <f>'STOCK 11a17-05'!V24</f>
        <v>0</v>
      </c>
      <c r="W4" s="42">
        <f>'STOCK 11a17-05'!W24</f>
        <v>200</v>
      </c>
      <c r="X4" s="42">
        <f>'STOCK 11a17-05'!X24</f>
        <v>2868</v>
      </c>
      <c r="Y4" s="42">
        <f>'STOCK 11a17-05'!Y24</f>
        <v>3358</v>
      </c>
      <c r="Z4" s="42">
        <f>'STOCK 11a17-05'!Z24</f>
        <v>0</v>
      </c>
      <c r="AA4" s="44">
        <f>'STOCK 11a17-05'!AA24</f>
        <v>0</v>
      </c>
      <c r="AB4" s="42">
        <f>'STOCK 11a17-05'!AB24</f>
        <v>175</v>
      </c>
    </row>
    <row r="5" spans="1:28" x14ac:dyDescent="0.25">
      <c r="A5" s="311"/>
      <c r="B5" s="20">
        <v>45796</v>
      </c>
      <c r="C5" s="82" t="s">
        <v>27</v>
      </c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>
        <v>400</v>
      </c>
      <c r="X5" s="13"/>
      <c r="Y5" s="31"/>
      <c r="AA5" s="94">
        <v>3500</v>
      </c>
      <c r="AB5" s="15"/>
    </row>
    <row r="6" spans="1:28" x14ac:dyDescent="0.25">
      <c r="A6" s="311"/>
      <c r="B6" s="20">
        <v>45798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R6">
        <v>1200</v>
      </c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45800</v>
      </c>
      <c r="C7" s="82" t="s">
        <v>46</v>
      </c>
      <c r="D7" s="27">
        <v>6000</v>
      </c>
      <c r="F7" s="35"/>
      <c r="H7" s="31"/>
      <c r="I7" s="13"/>
      <c r="J7" s="35"/>
      <c r="L7" s="35"/>
      <c r="M7" s="35">
        <v>2000</v>
      </c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14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>
        <v>45795</v>
      </c>
      <c r="C14" s="14" t="s">
        <v>22</v>
      </c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>
        <v>5</v>
      </c>
      <c r="AA14" s="94"/>
      <c r="AB14" s="15"/>
    </row>
    <row r="15" spans="1:28" x14ac:dyDescent="0.25">
      <c r="A15" s="311"/>
      <c r="B15" s="20">
        <v>45796</v>
      </c>
      <c r="C15" s="14" t="s">
        <v>22</v>
      </c>
      <c r="D15" s="27"/>
      <c r="F15" s="35"/>
      <c r="H15" s="31"/>
      <c r="I15" s="13"/>
      <c r="J15" s="35"/>
      <c r="L15" s="35"/>
      <c r="M15" s="35"/>
      <c r="N15" s="14"/>
      <c r="O15" s="27"/>
      <c r="P15">
        <v>50</v>
      </c>
      <c r="S15" s="31"/>
      <c r="T15" s="13"/>
      <c r="W15" s="31"/>
      <c r="X15" s="13"/>
      <c r="Y15" s="31">
        <v>500</v>
      </c>
      <c r="AA15" s="94"/>
      <c r="AB15" s="15"/>
    </row>
    <row r="16" spans="1:28" x14ac:dyDescent="0.25">
      <c r="A16" s="311"/>
      <c r="B16" s="20">
        <v>45797</v>
      </c>
      <c r="C16" s="14" t="s">
        <v>22</v>
      </c>
      <c r="D16" s="27"/>
      <c r="F16" s="35"/>
      <c r="H16" s="31"/>
      <c r="I16" s="13"/>
      <c r="J16" s="35"/>
      <c r="L16" s="35"/>
      <c r="M16" s="35">
        <v>2000</v>
      </c>
      <c r="N16" s="14">
        <v>500</v>
      </c>
      <c r="O16" s="27"/>
      <c r="R16">
        <v>40</v>
      </c>
      <c r="S16" s="31"/>
      <c r="T16" s="13"/>
      <c r="W16" s="31"/>
      <c r="X16" s="13">
        <v>36</v>
      </c>
      <c r="Y16" s="31">
        <v>24</v>
      </c>
      <c r="AA16" s="94"/>
      <c r="AB16" s="15">
        <f>50+100</f>
        <v>150</v>
      </c>
    </row>
    <row r="17" spans="1:28" x14ac:dyDescent="0.25">
      <c r="A17" s="311"/>
      <c r="B17" s="20">
        <v>45798</v>
      </c>
      <c r="C17" s="14" t="s">
        <v>22</v>
      </c>
      <c r="D17" s="27"/>
      <c r="F17" s="35"/>
      <c r="H17" s="31"/>
      <c r="I17" s="13"/>
      <c r="J17" s="35"/>
      <c r="L17" s="35"/>
      <c r="M17" s="35"/>
      <c r="N17" s="14">
        <v>500</v>
      </c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45799</v>
      </c>
      <c r="C18" s="14" t="s">
        <v>22</v>
      </c>
      <c r="D18" s="27">
        <v>1000</v>
      </c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45800</v>
      </c>
      <c r="C19" s="14" t="s">
        <v>22</v>
      </c>
      <c r="D19" s="27">
        <f>1000+1000+1000+500</f>
        <v>3500</v>
      </c>
      <c r="F19" s="35"/>
      <c r="H19" s="31"/>
      <c r="I19" s="13"/>
      <c r="J19" s="35"/>
      <c r="L19" s="35"/>
      <c r="M19" s="35"/>
      <c r="N19" s="14"/>
      <c r="O19" s="27"/>
      <c r="R19">
        <v>400</v>
      </c>
      <c r="S19" s="31"/>
      <c r="T19" s="13">
        <v>650</v>
      </c>
      <c r="W19" s="31"/>
      <c r="X19" s="13"/>
      <c r="Y19" s="31"/>
      <c r="AA19" s="94"/>
      <c r="AB19" s="15"/>
    </row>
    <row r="20" spans="1:28" x14ac:dyDescent="0.25">
      <c r="A20" s="311"/>
      <c r="B20" s="20">
        <v>45801</v>
      </c>
      <c r="C20" s="14" t="s">
        <v>22</v>
      </c>
      <c r="D20" s="27"/>
      <c r="F20" s="35"/>
      <c r="H20" s="31"/>
      <c r="I20" s="13"/>
      <c r="J20" s="35"/>
      <c r="L20" s="35"/>
      <c r="M20" s="35"/>
      <c r="N20" s="14">
        <v>250</v>
      </c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45797</v>
      </c>
      <c r="C21" s="14" t="s">
        <v>45</v>
      </c>
      <c r="D21" s="27"/>
      <c r="F21" s="35">
        <v>500</v>
      </c>
      <c r="H21" s="31"/>
      <c r="I21" s="13"/>
      <c r="J21" s="35"/>
      <c r="L21" s="35"/>
      <c r="M21" s="35">
        <v>2000</v>
      </c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SUM(D4:D13)-SUM(D14:D24)</f>
        <v>6307</v>
      </c>
      <c r="E25" s="22">
        <f t="shared" si="0"/>
        <v>0</v>
      </c>
      <c r="F25" s="37">
        <f t="shared" si="0"/>
        <v>4000</v>
      </c>
      <c r="G25" s="24">
        <f t="shared" si="0"/>
        <v>1995</v>
      </c>
      <c r="H25" s="33">
        <f t="shared" si="0"/>
        <v>182</v>
      </c>
      <c r="I25" s="22">
        <f t="shared" si="0"/>
        <v>195</v>
      </c>
      <c r="J25" s="37">
        <f t="shared" si="0"/>
        <v>9</v>
      </c>
      <c r="K25" s="24">
        <f t="shared" si="0"/>
        <v>3000</v>
      </c>
      <c r="L25" s="37">
        <f t="shared" si="0"/>
        <v>0</v>
      </c>
      <c r="M25" s="37">
        <f t="shared" si="0"/>
        <v>6825</v>
      </c>
      <c r="N25" s="23">
        <f t="shared" si="0"/>
        <v>4537</v>
      </c>
      <c r="O25" s="29">
        <f t="shared" si="0"/>
        <v>316</v>
      </c>
      <c r="P25" s="29">
        <f t="shared" si="0"/>
        <v>650</v>
      </c>
      <c r="Q25" s="29">
        <f t="shared" si="0"/>
        <v>80</v>
      </c>
      <c r="R25" s="24">
        <f t="shared" si="0"/>
        <v>1303</v>
      </c>
      <c r="S25" s="33">
        <f t="shared" si="0"/>
        <v>6</v>
      </c>
      <c r="T25" s="22">
        <f t="shared" si="0"/>
        <v>734</v>
      </c>
      <c r="U25" s="22">
        <f t="shared" si="0"/>
        <v>15</v>
      </c>
      <c r="V25" s="22">
        <f t="shared" si="0"/>
        <v>0</v>
      </c>
      <c r="W25" s="33">
        <f t="shared" si="0"/>
        <v>600</v>
      </c>
      <c r="X25" s="22">
        <f t="shared" si="0"/>
        <v>2832</v>
      </c>
      <c r="Y25" s="33">
        <f t="shared" si="0"/>
        <v>2829</v>
      </c>
      <c r="Z25" s="22">
        <f t="shared" si="0"/>
        <v>0</v>
      </c>
      <c r="AA25" s="96">
        <f t="shared" si="0"/>
        <v>3500</v>
      </c>
      <c r="AB25" s="25">
        <f t="shared" si="0"/>
        <v>25</v>
      </c>
    </row>
    <row r="27" spans="1:28" x14ac:dyDescent="0.25">
      <c r="D27">
        <f>D25*0.41-(307*0.01)</f>
        <v>2582.7999999999997</v>
      </c>
      <c r="E27">
        <f>+E25*0.3</f>
        <v>0</v>
      </c>
      <c r="F27">
        <f>+F25*0.47</f>
        <v>1880</v>
      </c>
      <c r="G27">
        <f>+G25*0.38+(2095*0.06)</f>
        <v>883.8</v>
      </c>
      <c r="H27">
        <f>+H25*0.4</f>
        <v>72.8</v>
      </c>
      <c r="I27">
        <f>+I25*0.57</f>
        <v>111.14999999999999</v>
      </c>
      <c r="J27">
        <f>+J25*0.54</f>
        <v>4.8600000000000003</v>
      </c>
      <c r="K27" s="50">
        <f>+K25*0.87</f>
        <v>2610</v>
      </c>
      <c r="L27">
        <f>+L25*0.62</f>
        <v>0</v>
      </c>
      <c r="M27">
        <f>+M25*0.72-(125*0.08)</f>
        <v>4904</v>
      </c>
      <c r="N27">
        <f>+N25*0.62</f>
        <v>2812.94</v>
      </c>
      <c r="O27">
        <f>+O25*2.04</f>
        <v>644.64</v>
      </c>
      <c r="P27">
        <f>+P25*1.575</f>
        <v>1023.75</v>
      </c>
      <c r="Q27">
        <f>Q25*1.8</f>
        <v>144</v>
      </c>
      <c r="R27">
        <f>+R25*1.8+(103*0.18)</f>
        <v>2363.94</v>
      </c>
      <c r="S27">
        <f>+S25*1.57</f>
        <v>9.42</v>
      </c>
      <c r="T27">
        <f>+T25*1.98+(400*0.12)</f>
        <v>1501.32</v>
      </c>
      <c r="U27">
        <f>+U25*1.85</f>
        <v>27.75</v>
      </c>
      <c r="V27">
        <f>+V25*2.18</f>
        <v>0</v>
      </c>
      <c r="W27">
        <f>+W25*2.05-(200*0.15)</f>
        <v>1200</v>
      </c>
      <c r="X27">
        <f>+X25*0.44</f>
        <v>1246.08</v>
      </c>
      <c r="Y27">
        <f>+Y25*0.34</f>
        <v>961.86</v>
      </c>
      <c r="Z27" s="50">
        <f>+Z25*1.9</f>
        <v>0</v>
      </c>
      <c r="AA27">
        <f>+AA25*0.58</f>
        <v>2029.9999999999998</v>
      </c>
      <c r="AB27">
        <f>+AB25*1.65</f>
        <v>41.25</v>
      </c>
    </row>
    <row r="28" spans="1:28" x14ac:dyDescent="0.25">
      <c r="AB28" s="39">
        <f>SUM(D27:AB27)</f>
        <v>27056.36</v>
      </c>
    </row>
    <row r="30" spans="1:28" ht="15.75" x14ac:dyDescent="0.25">
      <c r="S30" s="89"/>
    </row>
    <row r="31" spans="1:28" ht="15.75" x14ac:dyDescent="0.25">
      <c r="S31" s="89"/>
    </row>
    <row r="32" spans="1:28" x14ac:dyDescent="0.25">
      <c r="P32" s="84"/>
      <c r="S32" s="85"/>
    </row>
    <row r="33" spans="9:19" x14ac:dyDescent="0.25">
      <c r="I33" s="60"/>
      <c r="N33" s="85"/>
      <c r="S33" s="85"/>
    </row>
    <row r="34" spans="9:19" x14ac:dyDescent="0.25">
      <c r="S34" s="85"/>
    </row>
    <row r="35" spans="9:19" x14ac:dyDescent="0.25">
      <c r="S35" s="85"/>
    </row>
    <row r="36" spans="9:19" x14ac:dyDescent="0.25">
      <c r="S36" s="85"/>
    </row>
    <row r="37" spans="9:19" x14ac:dyDescent="0.25">
      <c r="S37" s="85"/>
    </row>
  </sheetData>
  <mergeCells count="7">
    <mergeCell ref="X2:Y2"/>
    <mergeCell ref="A4:A13"/>
    <mergeCell ref="A14:A24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5E32-2424-4F3C-BFA6-239B0FA15AA2}">
  <dimension ref="A1:AB43"/>
  <sheetViews>
    <sheetView zoomScale="60" zoomScaleNormal="60" workbookViewId="0">
      <pane xSplit="3" ySplit="3" topLeftCell="D15" activePane="bottomRight" state="frozen"/>
      <selection pane="topRight" activeCell="D1" sqref="D1"/>
      <selection pane="bottomLeft" activeCell="A4" sqref="A4"/>
      <selection pane="bottomRight" activeCell="AB38" sqref="AB38:AB39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18a24-05'!D25</f>
        <v>6307</v>
      </c>
      <c r="E4" s="42">
        <f>'STOCK 18a24-05'!E25</f>
        <v>0</v>
      </c>
      <c r="F4" s="42">
        <f>'STOCK 18a24-05'!F25</f>
        <v>4000</v>
      </c>
      <c r="G4" s="42">
        <f>'STOCK 18a24-05'!G25</f>
        <v>1995</v>
      </c>
      <c r="H4" s="42">
        <f>'STOCK 18a24-05'!H25</f>
        <v>182</v>
      </c>
      <c r="I4" s="42">
        <f>'STOCK 18a24-05'!I25</f>
        <v>195</v>
      </c>
      <c r="J4" s="42">
        <f>'STOCK 18a24-05'!J25</f>
        <v>9</v>
      </c>
      <c r="K4" s="42">
        <f>'STOCK 18a24-05'!K25</f>
        <v>3000</v>
      </c>
      <c r="L4" s="42">
        <f>'STOCK 18a24-05'!L25</f>
        <v>0</v>
      </c>
      <c r="M4" s="42">
        <f>'STOCK 18a24-05'!M25</f>
        <v>6825</v>
      </c>
      <c r="N4" s="42">
        <f>'STOCK 18a24-05'!N25</f>
        <v>4537</v>
      </c>
      <c r="O4" s="42">
        <f>'STOCK 18a24-05'!O25</f>
        <v>316</v>
      </c>
      <c r="P4" s="42">
        <f>'STOCK 18a24-05'!P25</f>
        <v>650</v>
      </c>
      <c r="Q4" s="42">
        <f>'STOCK 18a24-05'!Q25</f>
        <v>80</v>
      </c>
      <c r="R4" s="42">
        <f>'STOCK 18a24-05'!R25</f>
        <v>1303</v>
      </c>
      <c r="S4" s="42">
        <f>'STOCK 18a24-05'!S25</f>
        <v>6</v>
      </c>
      <c r="T4" s="42">
        <f>'STOCK 18a24-05'!T25</f>
        <v>734</v>
      </c>
      <c r="U4" s="42">
        <f>'STOCK 18a24-05'!U25</f>
        <v>15</v>
      </c>
      <c r="V4" s="42">
        <f>'STOCK 18a24-05'!V25</f>
        <v>0</v>
      </c>
      <c r="W4" s="42">
        <f>'STOCK 18a24-05'!W25</f>
        <v>600</v>
      </c>
      <c r="X4" s="42">
        <f>'STOCK 18a24-05'!X25</f>
        <v>2832</v>
      </c>
      <c r="Y4" s="42">
        <f>'STOCK 18a24-05'!Y25</f>
        <v>2829</v>
      </c>
      <c r="Z4" s="42">
        <f>'STOCK 18a24-05'!Z25</f>
        <v>0</v>
      </c>
      <c r="AA4" s="42">
        <f>'STOCK 18a24-05'!AA25</f>
        <v>3500</v>
      </c>
      <c r="AB4" s="42">
        <f>'STOCK 18a24-05'!AB25</f>
        <v>25</v>
      </c>
    </row>
    <row r="5" spans="1:28" x14ac:dyDescent="0.25">
      <c r="A5" s="311"/>
      <c r="B5" s="20">
        <v>45803</v>
      </c>
      <c r="C5" s="82" t="s">
        <v>46</v>
      </c>
      <c r="D5" s="27"/>
      <c r="F5" s="35"/>
      <c r="H5" s="31"/>
      <c r="I5" s="13"/>
      <c r="J5" s="35"/>
      <c r="L5" s="35"/>
      <c r="M5" s="35"/>
      <c r="N5" s="14"/>
      <c r="O5" s="27"/>
      <c r="S5" s="31"/>
      <c r="T5" s="13">
        <v>300</v>
      </c>
      <c r="W5" s="31"/>
      <c r="X5" s="13"/>
      <c r="Y5" s="31"/>
      <c r="AA5" s="94"/>
      <c r="AB5" s="15"/>
    </row>
    <row r="6" spans="1:28" x14ac:dyDescent="0.25">
      <c r="A6" s="311"/>
      <c r="B6" s="20">
        <v>45804</v>
      </c>
      <c r="C6" s="82" t="s">
        <v>104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94"/>
      <c r="AB6" s="15">
        <v>700</v>
      </c>
    </row>
    <row r="7" spans="1:28" x14ac:dyDescent="0.25">
      <c r="A7" s="311"/>
      <c r="B7" s="20">
        <v>45804</v>
      </c>
      <c r="C7" s="82" t="s">
        <v>7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>
        <v>500</v>
      </c>
      <c r="Y7" s="31"/>
      <c r="AA7" s="94"/>
      <c r="AB7" s="15"/>
    </row>
    <row r="8" spans="1:28" x14ac:dyDescent="0.25">
      <c r="A8" s="311"/>
      <c r="B8" s="20">
        <v>45805</v>
      </c>
      <c r="C8" s="82" t="s">
        <v>107</v>
      </c>
      <c r="D8" s="27"/>
      <c r="F8" s="35"/>
      <c r="H8" s="31"/>
      <c r="I8" s="13"/>
      <c r="J8" s="35"/>
      <c r="L8" s="35"/>
      <c r="M8" s="35"/>
      <c r="N8" s="14"/>
      <c r="O8" s="27"/>
      <c r="R8">
        <v>250</v>
      </c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45806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R9">
        <v>300</v>
      </c>
      <c r="S9" s="31"/>
      <c r="T9" s="13">
        <v>1000</v>
      </c>
      <c r="W9" s="31"/>
      <c r="X9" s="13"/>
      <c r="Y9" s="31"/>
      <c r="AA9" s="94"/>
      <c r="AB9" s="15"/>
    </row>
    <row r="10" spans="1:28" x14ac:dyDescent="0.25">
      <c r="A10" s="311"/>
      <c r="B10" s="20">
        <v>45808</v>
      </c>
      <c r="C10" s="82" t="s">
        <v>27</v>
      </c>
      <c r="D10" s="27"/>
      <c r="F10" s="35"/>
      <c r="H10" s="31"/>
      <c r="I10" s="13"/>
      <c r="J10" s="35"/>
      <c r="L10" s="35"/>
      <c r="M10" s="35">
        <v>3500</v>
      </c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45808</v>
      </c>
      <c r="C11" s="82" t="s">
        <v>46</v>
      </c>
      <c r="D11" s="27"/>
      <c r="F11" s="35"/>
      <c r="H11" s="31"/>
      <c r="I11" s="13"/>
      <c r="J11" s="35"/>
      <c r="L11" s="35"/>
      <c r="M11" s="35">
        <v>4000</v>
      </c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>
        <v>45808</v>
      </c>
      <c r="C12" s="14" t="s">
        <v>108</v>
      </c>
      <c r="D12" s="27"/>
      <c r="E12">
        <v>4000</v>
      </c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>
        <v>45801</v>
      </c>
      <c r="C15" s="14" t="s">
        <v>22</v>
      </c>
      <c r="D15" s="27"/>
      <c r="F15" s="35"/>
      <c r="H15" s="31"/>
      <c r="I15" s="13"/>
      <c r="J15" s="35"/>
      <c r="L15" s="35"/>
      <c r="M15" s="35"/>
      <c r="N15" s="14"/>
      <c r="O15" s="27">
        <f>250+62</f>
        <v>312</v>
      </c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45803</v>
      </c>
      <c r="C16" s="14" t="s">
        <v>22</v>
      </c>
      <c r="D16" s="27"/>
      <c r="F16" s="35"/>
      <c r="H16" s="31"/>
      <c r="I16" s="13"/>
      <c r="J16" s="35"/>
      <c r="L16" s="35"/>
      <c r="M16" s="35">
        <v>4000</v>
      </c>
      <c r="N16" s="14">
        <v>1000</v>
      </c>
      <c r="O16" s="27"/>
      <c r="R16">
        <f>60+300</f>
        <v>360</v>
      </c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45804</v>
      </c>
      <c r="C17" s="14" t="s">
        <v>22</v>
      </c>
      <c r="D17" s="27"/>
      <c r="F17" s="35"/>
      <c r="H17" s="31"/>
      <c r="I17" s="13"/>
      <c r="J17" s="35"/>
      <c r="L17" s="35"/>
      <c r="M17" s="35"/>
      <c r="N17" s="14"/>
      <c r="O17" s="27"/>
      <c r="S17" s="31"/>
      <c r="T17" s="13">
        <v>200</v>
      </c>
      <c r="W17" s="31"/>
      <c r="X17" s="13"/>
      <c r="Y17" s="31"/>
      <c r="AA17" s="94">
        <v>1000</v>
      </c>
      <c r="AB17" s="15"/>
    </row>
    <row r="18" spans="1:28" x14ac:dyDescent="0.25">
      <c r="A18" s="311"/>
      <c r="B18" s="20">
        <v>45805</v>
      </c>
      <c r="C18" s="14" t="s">
        <v>22</v>
      </c>
      <c r="D18" s="27"/>
      <c r="F18" s="35"/>
      <c r="H18" s="31"/>
      <c r="I18" s="13"/>
      <c r="J18" s="35"/>
      <c r="L18" s="35"/>
      <c r="M18" s="35">
        <v>2000</v>
      </c>
      <c r="N18" s="14"/>
      <c r="O18" s="27"/>
      <c r="S18" s="31"/>
      <c r="T18" s="13">
        <f>20+250</f>
        <v>270</v>
      </c>
      <c r="W18" s="31"/>
      <c r="X18" s="13"/>
      <c r="Y18" s="31">
        <v>10</v>
      </c>
      <c r="AA18" s="94"/>
      <c r="AB18" s="15"/>
    </row>
    <row r="19" spans="1:28" x14ac:dyDescent="0.25">
      <c r="A19" s="311"/>
      <c r="B19" s="20">
        <v>45806</v>
      </c>
      <c r="C19" s="14" t="s">
        <v>22</v>
      </c>
      <c r="D19" s="27"/>
      <c r="F19" s="35"/>
      <c r="H19" s="31"/>
      <c r="I19" s="13"/>
      <c r="J19" s="35"/>
      <c r="L19" s="35"/>
      <c r="M19" s="35"/>
      <c r="N19" s="14">
        <v>1000</v>
      </c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45807</v>
      </c>
      <c r="C20" s="14" t="s">
        <v>22</v>
      </c>
      <c r="D20" s="27">
        <v>2000</v>
      </c>
      <c r="F20" s="35">
        <v>700</v>
      </c>
      <c r="H20" s="31"/>
      <c r="I20" s="13"/>
      <c r="J20" s="35"/>
      <c r="L20" s="35"/>
      <c r="M20" s="35"/>
      <c r="N20" s="14">
        <v>600</v>
      </c>
      <c r="O20" s="27"/>
      <c r="R20">
        <v>500</v>
      </c>
      <c r="S20" s="31"/>
      <c r="T20" s="13">
        <v>12</v>
      </c>
      <c r="W20" s="31"/>
      <c r="X20" s="13"/>
      <c r="Y20" s="31"/>
      <c r="AA20" s="94"/>
      <c r="AB20" s="15"/>
    </row>
    <row r="21" spans="1:28" x14ac:dyDescent="0.25">
      <c r="A21" s="311"/>
      <c r="B21" s="20">
        <v>45808</v>
      </c>
      <c r="C21" s="14" t="s">
        <v>45</v>
      </c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>
        <v>370</v>
      </c>
      <c r="W21" s="31"/>
      <c r="X21" s="13"/>
      <c r="Y21" s="31"/>
      <c r="AA21" s="94"/>
      <c r="AB21" s="15"/>
    </row>
    <row r="22" spans="1:28" x14ac:dyDescent="0.25">
      <c r="A22" s="311"/>
      <c r="B22" s="20">
        <v>45808</v>
      </c>
      <c r="C22" s="14" t="s">
        <v>22</v>
      </c>
      <c r="D22" s="27"/>
      <c r="F22" s="35">
        <v>300</v>
      </c>
      <c r="H22" s="31"/>
      <c r="I22" s="13"/>
      <c r="J22" s="35"/>
      <c r="L22" s="35"/>
      <c r="M22" s="35"/>
      <c r="N22" s="14"/>
      <c r="O22" s="27"/>
      <c r="S22" s="31"/>
      <c r="T22" s="13">
        <v>200</v>
      </c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SUM(D4:D14)-SUM(D15:D25)</f>
        <v>4307</v>
      </c>
      <c r="E26" s="22">
        <f t="shared" si="0"/>
        <v>4000</v>
      </c>
      <c r="F26" s="37">
        <f t="shared" si="0"/>
        <v>3000</v>
      </c>
      <c r="G26" s="24">
        <f t="shared" si="0"/>
        <v>1995</v>
      </c>
      <c r="H26" s="33">
        <f t="shared" si="0"/>
        <v>182</v>
      </c>
      <c r="I26" s="22">
        <f t="shared" si="0"/>
        <v>195</v>
      </c>
      <c r="J26" s="37">
        <f t="shared" si="0"/>
        <v>9</v>
      </c>
      <c r="K26" s="24">
        <f t="shared" si="0"/>
        <v>3000</v>
      </c>
      <c r="L26" s="37">
        <f t="shared" si="0"/>
        <v>0</v>
      </c>
      <c r="M26" s="37">
        <f t="shared" si="0"/>
        <v>8325</v>
      </c>
      <c r="N26" s="23">
        <f t="shared" si="0"/>
        <v>1937</v>
      </c>
      <c r="O26" s="29">
        <f t="shared" si="0"/>
        <v>4</v>
      </c>
      <c r="P26" s="29">
        <f t="shared" si="0"/>
        <v>650</v>
      </c>
      <c r="Q26" s="29">
        <f t="shared" si="0"/>
        <v>80</v>
      </c>
      <c r="R26" s="24">
        <f t="shared" si="0"/>
        <v>993</v>
      </c>
      <c r="S26" s="33">
        <f t="shared" si="0"/>
        <v>6</v>
      </c>
      <c r="T26" s="22">
        <f t="shared" si="0"/>
        <v>982</v>
      </c>
      <c r="U26" s="22">
        <f t="shared" si="0"/>
        <v>15</v>
      </c>
      <c r="V26" s="22">
        <f t="shared" si="0"/>
        <v>0</v>
      </c>
      <c r="W26" s="33">
        <f t="shared" si="0"/>
        <v>600</v>
      </c>
      <c r="X26" s="22">
        <f t="shared" si="0"/>
        <v>3332</v>
      </c>
      <c r="Y26" s="33">
        <f t="shared" si="0"/>
        <v>2819</v>
      </c>
      <c r="Z26" s="22">
        <f t="shared" si="0"/>
        <v>0</v>
      </c>
      <c r="AA26" s="96">
        <f t="shared" si="0"/>
        <v>2500</v>
      </c>
      <c r="AB26" s="25">
        <f t="shared" si="0"/>
        <v>725</v>
      </c>
    </row>
    <row r="28" spans="1:28" x14ac:dyDescent="0.25">
      <c r="D28">
        <f>D26*0.41</f>
        <v>1765.87</v>
      </c>
      <c r="E28">
        <f>+E26*0.41</f>
        <v>1640</v>
      </c>
      <c r="F28">
        <f>+F26*0.47</f>
        <v>1410</v>
      </c>
      <c r="G28">
        <f>+G26*0.38+(2095*0.06)</f>
        <v>883.8</v>
      </c>
      <c r="H28">
        <f>+H26*0.4</f>
        <v>72.8</v>
      </c>
      <c r="I28">
        <f>+I26*0.57</f>
        <v>111.14999999999999</v>
      </c>
      <c r="J28">
        <f>+J26*0.54</f>
        <v>4.8600000000000003</v>
      </c>
      <c r="K28" s="50">
        <f>+K26*0.87</f>
        <v>2610</v>
      </c>
      <c r="L28">
        <f>+L26*0.62</f>
        <v>0</v>
      </c>
      <c r="M28">
        <f>+M26*0.72-(125*0.08)</f>
        <v>5984</v>
      </c>
      <c r="N28">
        <f>+N26*0.62</f>
        <v>1200.94</v>
      </c>
      <c r="O28">
        <f>+O26*2.04</f>
        <v>8.16</v>
      </c>
      <c r="P28">
        <f>+P26*1.575</f>
        <v>1023.75</v>
      </c>
      <c r="Q28">
        <f>Q26*1.8</f>
        <v>144</v>
      </c>
      <c r="R28">
        <f>+R26*1.8</f>
        <v>1787.4</v>
      </c>
      <c r="S28">
        <f>+S26*1.57</f>
        <v>9.42</v>
      </c>
      <c r="T28">
        <f>+T26*1.9</f>
        <v>1865.8</v>
      </c>
      <c r="U28">
        <f>+U26*1.85</f>
        <v>27.75</v>
      </c>
      <c r="V28">
        <f>+V26*2.18</f>
        <v>0</v>
      </c>
      <c r="W28">
        <f>+W26*2.05-(200*0.15)</f>
        <v>1200</v>
      </c>
      <c r="X28">
        <f>+X26*0.44</f>
        <v>1466.08</v>
      </c>
      <c r="Y28">
        <f>+Y26*0.34</f>
        <v>958.46</v>
      </c>
      <c r="Z28" s="50">
        <f>+Z26*1.9</f>
        <v>0</v>
      </c>
      <c r="AA28">
        <f>+AA26*0.58</f>
        <v>1450</v>
      </c>
      <c r="AB28">
        <f>+AB26*1.75-(25*0.1)</f>
        <v>1266.25</v>
      </c>
    </row>
    <row r="29" spans="1:28" x14ac:dyDescent="0.25">
      <c r="AB29" s="39">
        <f>SUM(D28:AB28)</f>
        <v>26890.489999999998</v>
      </c>
    </row>
    <row r="30" spans="1:28" x14ac:dyDescent="0.25">
      <c r="C30" s="55" t="s">
        <v>109</v>
      </c>
      <c r="D30" s="55">
        <f>2870+1000</f>
        <v>3870</v>
      </c>
      <c r="E30" s="55">
        <v>4000</v>
      </c>
      <c r="F30" s="55">
        <v>3000</v>
      </c>
      <c r="G30" s="55"/>
      <c r="H30" s="55">
        <v>160</v>
      </c>
      <c r="I30" s="55"/>
      <c r="J30" s="55"/>
      <c r="K30" s="55">
        <v>3000</v>
      </c>
      <c r="L30" s="55"/>
      <c r="M30" s="55">
        <f>7523+500+190</f>
        <v>8213</v>
      </c>
      <c r="N30" s="55">
        <v>1738</v>
      </c>
      <c r="O30" s="55"/>
      <c r="P30" s="55">
        <v>232</v>
      </c>
      <c r="Q30" s="55"/>
      <c r="R30" s="55">
        <v>911</v>
      </c>
      <c r="S30" s="55"/>
      <c r="T30" s="55">
        <v>900</v>
      </c>
      <c r="U30" s="55"/>
      <c r="V30" s="55"/>
      <c r="W30" s="55">
        <v>400</v>
      </c>
      <c r="X30" s="55">
        <v>1506</v>
      </c>
      <c r="Y30" s="55">
        <v>4700</v>
      </c>
      <c r="Z30" s="55"/>
      <c r="AA30" s="55">
        <v>2145</v>
      </c>
      <c r="AB30" s="55">
        <v>720</v>
      </c>
    </row>
    <row r="31" spans="1:28" ht="15.75" x14ac:dyDescent="0.25">
      <c r="S31" s="89"/>
    </row>
    <row r="32" spans="1:28" ht="15.75" x14ac:dyDescent="0.25">
      <c r="C32" t="s">
        <v>74</v>
      </c>
      <c r="D32">
        <v>0.41</v>
      </c>
      <c r="E32">
        <v>0.41</v>
      </c>
      <c r="F32">
        <v>0.47</v>
      </c>
      <c r="G32">
        <v>0.44</v>
      </c>
      <c r="H32">
        <v>0.4</v>
      </c>
      <c r="I32">
        <v>0.56999999999999995</v>
      </c>
      <c r="J32">
        <v>0.54</v>
      </c>
      <c r="K32">
        <v>0.87</v>
      </c>
      <c r="M32">
        <v>0.64</v>
      </c>
      <c r="N32">
        <v>0.62</v>
      </c>
      <c r="O32">
        <v>2.04</v>
      </c>
      <c r="P32">
        <v>1.575</v>
      </c>
      <c r="Q32">
        <v>1.8</v>
      </c>
      <c r="R32">
        <v>1.8</v>
      </c>
      <c r="S32" s="89">
        <v>1.57</v>
      </c>
      <c r="T32">
        <v>1.9</v>
      </c>
      <c r="U32">
        <v>1.85</v>
      </c>
      <c r="W32">
        <v>1.9</v>
      </c>
      <c r="X32">
        <v>0.44</v>
      </c>
      <c r="Y32">
        <v>0.34</v>
      </c>
      <c r="AA32">
        <v>0.57999999999999996</v>
      </c>
      <c r="AB32">
        <v>1.65</v>
      </c>
    </row>
    <row r="33" spans="3:28" x14ac:dyDescent="0.25">
      <c r="P33" s="84"/>
      <c r="S33" s="85"/>
    </row>
    <row r="34" spans="3:28" x14ac:dyDescent="0.25">
      <c r="C34" s="52" t="s">
        <v>36</v>
      </c>
      <c r="D34" s="52">
        <f>D30-D26</f>
        <v>-437</v>
      </c>
      <c r="E34" s="52">
        <f t="shared" ref="E34:AB34" si="1">E30-E26</f>
        <v>0</v>
      </c>
      <c r="F34" s="52">
        <f t="shared" si="1"/>
        <v>0</v>
      </c>
      <c r="G34" s="52">
        <f>G30-G26</f>
        <v>-1995</v>
      </c>
      <c r="H34" s="52">
        <f t="shared" si="1"/>
        <v>-22</v>
      </c>
      <c r="I34" s="52">
        <f t="shared" si="1"/>
        <v>-195</v>
      </c>
      <c r="J34" s="52">
        <f t="shared" si="1"/>
        <v>-9</v>
      </c>
      <c r="K34" s="52">
        <f t="shared" si="1"/>
        <v>0</v>
      </c>
      <c r="L34" s="52">
        <f t="shared" si="1"/>
        <v>0</v>
      </c>
      <c r="M34" s="52">
        <f t="shared" si="1"/>
        <v>-112</v>
      </c>
      <c r="N34" s="52">
        <f t="shared" si="1"/>
        <v>-199</v>
      </c>
      <c r="O34" s="52">
        <f t="shared" si="1"/>
        <v>-4</v>
      </c>
      <c r="P34" s="52">
        <f>P30-P26</f>
        <v>-418</v>
      </c>
      <c r="Q34" s="52">
        <f t="shared" si="1"/>
        <v>-80</v>
      </c>
      <c r="R34" s="52">
        <f t="shared" si="1"/>
        <v>-82</v>
      </c>
      <c r="S34" s="52">
        <f t="shared" si="1"/>
        <v>-6</v>
      </c>
      <c r="T34" s="52">
        <f t="shared" si="1"/>
        <v>-82</v>
      </c>
      <c r="U34" s="52">
        <f t="shared" si="1"/>
        <v>-15</v>
      </c>
      <c r="V34" s="52">
        <f t="shared" si="1"/>
        <v>0</v>
      </c>
      <c r="W34" s="52">
        <f>W30-W26</f>
        <v>-200</v>
      </c>
      <c r="X34" s="52">
        <f t="shared" si="1"/>
        <v>-1826</v>
      </c>
      <c r="Y34" s="52">
        <f t="shared" si="1"/>
        <v>1881</v>
      </c>
      <c r="Z34" s="52">
        <f t="shared" si="1"/>
        <v>0</v>
      </c>
      <c r="AA34" s="52">
        <f t="shared" si="1"/>
        <v>-355</v>
      </c>
      <c r="AB34" s="52">
        <f t="shared" si="1"/>
        <v>-5</v>
      </c>
    </row>
    <row r="35" spans="3:28" x14ac:dyDescent="0.25">
      <c r="S35" s="85"/>
    </row>
    <row r="36" spans="3:28" x14ac:dyDescent="0.25">
      <c r="C36" s="56" t="s">
        <v>48</v>
      </c>
      <c r="D36" s="56">
        <f>D34*D32</f>
        <v>-179.17</v>
      </c>
      <c r="E36" s="56">
        <f t="shared" ref="E36:AB36" si="2">E34*E32</f>
        <v>0</v>
      </c>
      <c r="F36" s="56">
        <f t="shared" si="2"/>
        <v>0</v>
      </c>
      <c r="G36" s="97">
        <f>G34*G32-6</f>
        <v>-883.8</v>
      </c>
      <c r="H36" s="56">
        <f t="shared" si="2"/>
        <v>-8.8000000000000007</v>
      </c>
      <c r="I36" s="56">
        <f t="shared" si="2"/>
        <v>-111.14999999999999</v>
      </c>
      <c r="J36" s="56">
        <f t="shared" si="2"/>
        <v>-4.8600000000000003</v>
      </c>
      <c r="K36" s="56">
        <f t="shared" si="2"/>
        <v>0</v>
      </c>
      <c r="L36" s="56">
        <f t="shared" si="2"/>
        <v>0</v>
      </c>
      <c r="M36" s="56">
        <f t="shared" si="2"/>
        <v>-71.680000000000007</v>
      </c>
      <c r="N36" s="56">
        <f t="shared" si="2"/>
        <v>-123.38</v>
      </c>
      <c r="O36" s="56">
        <f t="shared" si="2"/>
        <v>-8.16</v>
      </c>
      <c r="P36" s="56">
        <f t="shared" si="2"/>
        <v>-658.35</v>
      </c>
      <c r="Q36" s="56">
        <f t="shared" si="2"/>
        <v>-144</v>
      </c>
      <c r="R36" s="56">
        <f t="shared" si="2"/>
        <v>-147.6</v>
      </c>
      <c r="S36" s="56">
        <f t="shared" si="2"/>
        <v>-9.42</v>
      </c>
      <c r="T36" s="56">
        <f t="shared" si="2"/>
        <v>-155.79999999999998</v>
      </c>
      <c r="U36" s="56">
        <f t="shared" si="2"/>
        <v>-27.75</v>
      </c>
      <c r="V36" s="56">
        <f t="shared" si="2"/>
        <v>0</v>
      </c>
      <c r="W36" s="56">
        <f t="shared" si="2"/>
        <v>-380</v>
      </c>
      <c r="X36" s="56">
        <f t="shared" si="2"/>
        <v>-803.44</v>
      </c>
      <c r="Y36" s="56">
        <f t="shared" si="2"/>
        <v>639.54000000000008</v>
      </c>
      <c r="Z36" s="56">
        <f t="shared" si="2"/>
        <v>0</v>
      </c>
      <c r="AA36" s="56">
        <f t="shared" si="2"/>
        <v>-205.89999999999998</v>
      </c>
      <c r="AB36" s="56">
        <f t="shared" si="2"/>
        <v>-8.25</v>
      </c>
    </row>
    <row r="37" spans="3:28" x14ac:dyDescent="0.25">
      <c r="S37" s="85"/>
      <c r="AB37">
        <f>SUM(D36:AB36)</f>
        <v>-3291.9700000000007</v>
      </c>
    </row>
    <row r="38" spans="3:28" x14ac:dyDescent="0.25">
      <c r="S38" s="85"/>
      <c r="AA38" t="s">
        <v>110</v>
      </c>
      <c r="AB38" s="98">
        <f>G36+P36</f>
        <v>-1542.15</v>
      </c>
    </row>
    <row r="39" spans="3:28" x14ac:dyDescent="0.25">
      <c r="AB39" s="98">
        <f>AB37-AB38</f>
        <v>-1749.8200000000006</v>
      </c>
    </row>
    <row r="41" spans="3:28" x14ac:dyDescent="0.25">
      <c r="D41">
        <f>D28+D36</f>
        <v>1586.6999999999998</v>
      </c>
      <c r="E41">
        <f t="shared" ref="E41:AB41" si="3">E28+E36</f>
        <v>1640</v>
      </c>
      <c r="F41">
        <f t="shared" si="3"/>
        <v>1410</v>
      </c>
      <c r="G41">
        <f>G28+G36</f>
        <v>0</v>
      </c>
      <c r="H41">
        <f t="shared" si="3"/>
        <v>64</v>
      </c>
      <c r="I41">
        <f t="shared" si="3"/>
        <v>0</v>
      </c>
      <c r="J41">
        <f t="shared" si="3"/>
        <v>0</v>
      </c>
      <c r="K41">
        <f t="shared" si="3"/>
        <v>2610</v>
      </c>
      <c r="L41">
        <f t="shared" si="3"/>
        <v>0</v>
      </c>
      <c r="M41">
        <f t="shared" si="3"/>
        <v>5912.32</v>
      </c>
      <c r="N41">
        <f t="shared" si="3"/>
        <v>1077.56</v>
      </c>
      <c r="O41">
        <f t="shared" si="3"/>
        <v>0</v>
      </c>
      <c r="P41">
        <f t="shared" si="3"/>
        <v>365.4</v>
      </c>
      <c r="Q41">
        <f t="shared" si="3"/>
        <v>0</v>
      </c>
      <c r="R41">
        <f t="shared" si="3"/>
        <v>1639.8000000000002</v>
      </c>
      <c r="S41">
        <f t="shared" si="3"/>
        <v>0</v>
      </c>
      <c r="T41">
        <f t="shared" si="3"/>
        <v>1710</v>
      </c>
      <c r="U41">
        <f t="shared" si="3"/>
        <v>0</v>
      </c>
      <c r="V41">
        <f t="shared" si="3"/>
        <v>0</v>
      </c>
      <c r="W41">
        <f t="shared" si="3"/>
        <v>820</v>
      </c>
      <c r="X41">
        <f t="shared" si="3"/>
        <v>662.63999999999987</v>
      </c>
      <c r="Y41">
        <f t="shared" si="3"/>
        <v>1598</v>
      </c>
      <c r="Z41">
        <f t="shared" si="3"/>
        <v>0</v>
      </c>
      <c r="AA41">
        <f t="shared" si="3"/>
        <v>1244.0999999999999</v>
      </c>
      <c r="AB41">
        <f t="shared" si="3"/>
        <v>1258</v>
      </c>
    </row>
    <row r="43" spans="3:28" x14ac:dyDescent="0.25">
      <c r="AB43">
        <f>G41-AB37</f>
        <v>3291.9700000000007</v>
      </c>
    </row>
  </sheetData>
  <mergeCells count="7">
    <mergeCell ref="X2:Y2"/>
    <mergeCell ref="A4:A14"/>
    <mergeCell ref="A15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60C6-D1BB-44A2-B4A8-E3BAA923313C}">
  <dimension ref="A1:AB29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3" sqref="T3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25a31-05'!D30</f>
        <v>3870</v>
      </c>
      <c r="E4" s="42">
        <f>'STOCK 25a31-05'!E30</f>
        <v>4000</v>
      </c>
      <c r="F4" s="42">
        <f>'STOCK 25a31-05'!F30</f>
        <v>3000</v>
      </c>
      <c r="G4" s="42">
        <f>'STOCK 25a31-05'!G30</f>
        <v>0</v>
      </c>
      <c r="H4" s="42">
        <f>'STOCK 25a31-05'!H30</f>
        <v>160</v>
      </c>
      <c r="I4" s="42">
        <f>'STOCK 25a31-05'!I30</f>
        <v>0</v>
      </c>
      <c r="J4" s="42">
        <f>'STOCK 25a31-05'!J30</f>
        <v>0</v>
      </c>
      <c r="K4" s="42">
        <f>'STOCK 25a31-05'!K30</f>
        <v>3000</v>
      </c>
      <c r="L4" s="42">
        <f>'STOCK 25a31-05'!L30</f>
        <v>0</v>
      </c>
      <c r="M4" s="42">
        <f>'STOCK 25a31-05'!M30</f>
        <v>8213</v>
      </c>
      <c r="N4" s="42">
        <f>'STOCK 25a31-05'!N30</f>
        <v>1738</v>
      </c>
      <c r="O4" s="42">
        <f>'STOCK 25a31-05'!O30</f>
        <v>0</v>
      </c>
      <c r="P4" s="42">
        <f>'STOCK 25a31-05'!P30</f>
        <v>232</v>
      </c>
      <c r="Q4" s="42">
        <f>'STOCK 25a31-05'!Q30</f>
        <v>0</v>
      </c>
      <c r="R4" s="42">
        <f>'STOCK 25a31-05'!R30</f>
        <v>911</v>
      </c>
      <c r="S4" s="42">
        <f>'STOCK 25a31-05'!S30</f>
        <v>0</v>
      </c>
      <c r="T4" s="42">
        <f>'STOCK 25a31-05'!T30</f>
        <v>900</v>
      </c>
      <c r="U4" s="42">
        <f>'STOCK 25a31-05'!U30</f>
        <v>0</v>
      </c>
      <c r="V4" s="42">
        <f>'STOCK 25a31-05'!V30</f>
        <v>0</v>
      </c>
      <c r="W4" s="42">
        <f>'STOCK 25a31-05'!W30</f>
        <v>400</v>
      </c>
      <c r="X4" s="42">
        <f>'STOCK 25a31-05'!X30</f>
        <v>1506</v>
      </c>
      <c r="Y4" s="42">
        <f>'STOCK 25a31-05'!Y30</f>
        <v>4700</v>
      </c>
      <c r="Z4" s="42">
        <f>'STOCK 25a31-05'!Z30</f>
        <v>0</v>
      </c>
      <c r="AA4" s="42">
        <f>'STOCK 25a31-05'!AA30</f>
        <v>2145</v>
      </c>
      <c r="AB4" s="42">
        <f>'STOCK 25a31-05'!AB30</f>
        <v>720</v>
      </c>
    </row>
    <row r="5" spans="1:28" x14ac:dyDescent="0.25">
      <c r="A5" s="311"/>
      <c r="B5" s="20">
        <v>45810</v>
      </c>
      <c r="C5" s="82" t="s">
        <v>27</v>
      </c>
      <c r="D5" s="27"/>
      <c r="F5" s="35"/>
      <c r="H5" s="31"/>
      <c r="I5" s="13"/>
      <c r="J5" s="35"/>
      <c r="L5" s="35"/>
      <c r="M5" s="35"/>
      <c r="N5" s="14"/>
      <c r="O5" s="27"/>
      <c r="S5" s="31"/>
      <c r="T5" s="13">
        <v>500</v>
      </c>
      <c r="W5" s="31"/>
      <c r="X5" s="13"/>
      <c r="Y5" s="31"/>
      <c r="AA5" s="94"/>
      <c r="AB5" s="15"/>
    </row>
    <row r="6" spans="1:28" x14ac:dyDescent="0.25">
      <c r="A6" s="311"/>
      <c r="B6" s="20">
        <v>45813</v>
      </c>
      <c r="C6" s="82" t="s">
        <v>46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>
        <v>1500</v>
      </c>
      <c r="AA6" s="94"/>
      <c r="AB6" s="15"/>
    </row>
    <row r="7" spans="1:28" x14ac:dyDescent="0.25">
      <c r="A7" s="311"/>
      <c r="B7" s="20">
        <v>45813</v>
      </c>
      <c r="C7" s="82" t="s">
        <v>27</v>
      </c>
      <c r="D7" s="27"/>
      <c r="F7" s="35"/>
      <c r="H7" s="31"/>
      <c r="I7" s="13"/>
      <c r="J7" s="35"/>
      <c r="L7" s="35"/>
      <c r="M7" s="35"/>
      <c r="N7" s="14">
        <v>2310</v>
      </c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45815</v>
      </c>
      <c r="C8" s="82" t="s">
        <v>46</v>
      </c>
      <c r="D8" s="27"/>
      <c r="F8" s="35"/>
      <c r="H8" s="31"/>
      <c r="I8" s="13"/>
      <c r="J8" s="35"/>
      <c r="L8" s="35"/>
      <c r="M8" s="35"/>
      <c r="N8" s="14"/>
      <c r="O8" s="27"/>
      <c r="R8">
        <v>1500</v>
      </c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/>
      <c r="C15" s="14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45809</v>
      </c>
      <c r="C16" s="14" t="s">
        <v>22</v>
      </c>
      <c r="D16" s="27"/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>
        <v>1000</v>
      </c>
      <c r="AA16" s="94"/>
      <c r="AB16" s="15"/>
    </row>
    <row r="17" spans="1:28" x14ac:dyDescent="0.25">
      <c r="A17" s="311"/>
      <c r="B17" s="20">
        <v>45810</v>
      </c>
      <c r="C17" s="14" t="s">
        <v>22</v>
      </c>
      <c r="D17" s="27"/>
      <c r="E17">
        <v>2000</v>
      </c>
      <c r="F17" s="35"/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45810</v>
      </c>
      <c r="C18" s="14" t="s">
        <v>45</v>
      </c>
      <c r="D18" s="27">
        <v>1945</v>
      </c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45811</v>
      </c>
      <c r="C19" s="14" t="s">
        <v>22</v>
      </c>
      <c r="D19" s="27"/>
      <c r="F19" s="35"/>
      <c r="H19" s="31"/>
      <c r="I19" s="13"/>
      <c r="J19" s="35"/>
      <c r="L19" s="35"/>
      <c r="M19" s="35"/>
      <c r="N19" s="14">
        <v>1000</v>
      </c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45812</v>
      </c>
      <c r="C20" s="14" t="s">
        <v>22</v>
      </c>
      <c r="D20" s="27"/>
      <c r="F20" s="35">
        <v>400</v>
      </c>
      <c r="H20" s="31"/>
      <c r="I20" s="13"/>
      <c r="J20" s="35"/>
      <c r="L20" s="35"/>
      <c r="M20" s="35"/>
      <c r="N20" s="14"/>
      <c r="O20" s="27"/>
      <c r="R20">
        <f>220+210</f>
        <v>430</v>
      </c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45813</v>
      </c>
      <c r="C21" s="14" t="s">
        <v>22</v>
      </c>
      <c r="D21" s="27">
        <v>1000</v>
      </c>
      <c r="F21" s="35"/>
      <c r="H21" s="31"/>
      <c r="I21" s="13"/>
      <c r="J21" s="35"/>
      <c r="L21" s="35"/>
      <c r="M21" s="35"/>
      <c r="N21" s="14">
        <v>1000</v>
      </c>
      <c r="O21" s="27"/>
      <c r="S21" s="31"/>
      <c r="T21" s="13">
        <v>100</v>
      </c>
      <c r="W21" s="31"/>
      <c r="X21" s="13"/>
      <c r="Y21" s="31"/>
      <c r="AA21" s="94"/>
      <c r="AB21" s="15"/>
    </row>
    <row r="22" spans="1:28" x14ac:dyDescent="0.25">
      <c r="A22" s="311"/>
      <c r="B22" s="20">
        <v>45814</v>
      </c>
      <c r="C22" s="14" t="s">
        <v>22</v>
      </c>
      <c r="D22" s="27">
        <v>500</v>
      </c>
      <c r="F22" s="35"/>
      <c r="H22" s="31"/>
      <c r="I22" s="13"/>
      <c r="J22" s="35"/>
      <c r="L22" s="35"/>
      <c r="M22" s="35"/>
      <c r="N22" s="14">
        <v>500</v>
      </c>
      <c r="O22" s="27"/>
      <c r="R22">
        <v>400</v>
      </c>
      <c r="S22" s="31"/>
      <c r="T22" s="13"/>
      <c r="W22" s="31"/>
      <c r="X22" s="13">
        <v>500</v>
      </c>
      <c r="Y22" s="31"/>
      <c r="AA22" s="94"/>
      <c r="AB22" s="15"/>
    </row>
    <row r="23" spans="1:28" x14ac:dyDescent="0.25">
      <c r="A23" s="311"/>
      <c r="B23" s="20">
        <v>45815</v>
      </c>
      <c r="C23" s="14" t="s">
        <v>22</v>
      </c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>
        <v>1000</v>
      </c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SUM(D4:D14)-SUM(D15:D25)</f>
        <v>425</v>
      </c>
      <c r="E26" s="22">
        <f t="shared" si="0"/>
        <v>2000</v>
      </c>
      <c r="F26" s="37">
        <f t="shared" si="0"/>
        <v>2600</v>
      </c>
      <c r="G26" s="24">
        <f t="shared" si="0"/>
        <v>0</v>
      </c>
      <c r="H26" s="33">
        <f t="shared" si="0"/>
        <v>160</v>
      </c>
      <c r="I26" s="22">
        <f t="shared" si="0"/>
        <v>0</v>
      </c>
      <c r="J26" s="37">
        <f t="shared" si="0"/>
        <v>0</v>
      </c>
      <c r="K26" s="24">
        <f t="shared" si="0"/>
        <v>3000</v>
      </c>
      <c r="L26" s="37">
        <f t="shared" si="0"/>
        <v>0</v>
      </c>
      <c r="M26" s="37">
        <f t="shared" si="0"/>
        <v>8213</v>
      </c>
      <c r="N26" s="23">
        <f t="shared" si="0"/>
        <v>1548</v>
      </c>
      <c r="O26" s="29">
        <f t="shared" si="0"/>
        <v>0</v>
      </c>
      <c r="P26" s="29">
        <f t="shared" si="0"/>
        <v>232</v>
      </c>
      <c r="Q26" s="29">
        <f t="shared" si="0"/>
        <v>0</v>
      </c>
      <c r="R26" s="24">
        <f t="shared" si="0"/>
        <v>1581</v>
      </c>
      <c r="S26" s="33">
        <f t="shared" si="0"/>
        <v>0</v>
      </c>
      <c r="T26" s="22">
        <f t="shared" si="0"/>
        <v>1300</v>
      </c>
      <c r="U26" s="22">
        <f t="shared" si="0"/>
        <v>0</v>
      </c>
      <c r="V26" s="22">
        <f t="shared" si="0"/>
        <v>0</v>
      </c>
      <c r="W26" s="33">
        <f t="shared" si="0"/>
        <v>400</v>
      </c>
      <c r="X26" s="22">
        <f t="shared" si="0"/>
        <v>6</v>
      </c>
      <c r="Y26" s="33">
        <f t="shared" si="0"/>
        <v>5200</v>
      </c>
      <c r="Z26" s="22">
        <f t="shared" si="0"/>
        <v>0</v>
      </c>
      <c r="AA26" s="96">
        <f t="shared" si="0"/>
        <v>2145</v>
      </c>
      <c r="AB26" s="25">
        <f t="shared" si="0"/>
        <v>720</v>
      </c>
    </row>
    <row r="28" spans="1:28" x14ac:dyDescent="0.25">
      <c r="D28">
        <f>D26*0.41</f>
        <v>174.25</v>
      </c>
      <c r="E28">
        <f>+E26*0.41</f>
        <v>820</v>
      </c>
      <c r="F28">
        <f>+F26*0.47</f>
        <v>1222</v>
      </c>
      <c r="G28">
        <f>+G26*0.38</f>
        <v>0</v>
      </c>
      <c r="H28">
        <f>+H26*0.4</f>
        <v>64</v>
      </c>
      <c r="I28">
        <f>+I26*0.57</f>
        <v>0</v>
      </c>
      <c r="J28">
        <f>+J26*0.54</f>
        <v>0</v>
      </c>
      <c r="K28" s="50">
        <f>+K26*0.87</f>
        <v>2610</v>
      </c>
      <c r="L28">
        <f>+L26*0.62</f>
        <v>0</v>
      </c>
      <c r="M28">
        <f>+M26*0.72-(13*0.08)</f>
        <v>5912.32</v>
      </c>
      <c r="N28">
        <f>+N26*0.62</f>
        <v>959.76</v>
      </c>
      <c r="O28">
        <f>+O26*2.04</f>
        <v>0</v>
      </c>
      <c r="P28">
        <f>+P26*1.575</f>
        <v>365.4</v>
      </c>
      <c r="Q28">
        <f>Q26*1.8</f>
        <v>0</v>
      </c>
      <c r="R28">
        <f>+R26*1.8</f>
        <v>2845.8</v>
      </c>
      <c r="S28">
        <f>+S26*1.57</f>
        <v>0</v>
      </c>
      <c r="T28">
        <f>+T26*1.9</f>
        <v>2470</v>
      </c>
      <c r="U28">
        <f>+U26*1.85</f>
        <v>0</v>
      </c>
      <c r="V28">
        <f>+V26*2.18</f>
        <v>0</v>
      </c>
      <c r="W28">
        <f>+W26*2.05</f>
        <v>819.99999999999989</v>
      </c>
      <c r="X28">
        <f>+X26*0.44</f>
        <v>2.64</v>
      </c>
      <c r="Y28">
        <f>+Y26*0.34</f>
        <v>1768.0000000000002</v>
      </c>
      <c r="Z28" s="50">
        <f>+Z26*1.9</f>
        <v>0</v>
      </c>
      <c r="AA28">
        <f>+AA26*0.58</f>
        <v>1244.0999999999999</v>
      </c>
      <c r="AB28">
        <f>+AB26*1.75-(20*0.1)</f>
        <v>1258</v>
      </c>
    </row>
    <row r="29" spans="1:28" x14ac:dyDescent="0.25">
      <c r="AB29" s="39">
        <f>SUM(D28:AB28)</f>
        <v>22536.269999999997</v>
      </c>
    </row>
  </sheetData>
  <mergeCells count="7">
    <mergeCell ref="X2:Y2"/>
    <mergeCell ref="A4:A14"/>
    <mergeCell ref="A15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ECD7-BCDA-4830-948F-FF51402829A6}">
  <dimension ref="A1:AB29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8" sqref="F2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01-07-06'!D26</f>
        <v>425</v>
      </c>
      <c r="E4" s="42">
        <f>'STOCK 01-07-06'!E26</f>
        <v>2000</v>
      </c>
      <c r="F4" s="42">
        <f>'STOCK 01-07-06'!F26</f>
        <v>2600</v>
      </c>
      <c r="G4" s="42">
        <f>'STOCK 01-07-06'!G26</f>
        <v>0</v>
      </c>
      <c r="H4" s="42">
        <f>'STOCK 01-07-06'!H26</f>
        <v>160</v>
      </c>
      <c r="I4" s="42">
        <f>'STOCK 01-07-06'!I26</f>
        <v>0</v>
      </c>
      <c r="J4" s="42">
        <f>'STOCK 01-07-06'!J26</f>
        <v>0</v>
      </c>
      <c r="K4" s="42">
        <f>'STOCK 01-07-06'!K26</f>
        <v>3000</v>
      </c>
      <c r="L4" s="42">
        <f>'STOCK 01-07-06'!L26</f>
        <v>0</v>
      </c>
      <c r="M4" s="42">
        <f>'STOCK 01-07-06'!M26</f>
        <v>8213</v>
      </c>
      <c r="N4" s="42">
        <f>'STOCK 01-07-06'!N26</f>
        <v>1548</v>
      </c>
      <c r="O4" s="42">
        <f>'STOCK 01-07-06'!O26</f>
        <v>0</v>
      </c>
      <c r="P4" s="42">
        <f>'STOCK 01-07-06'!P26</f>
        <v>232</v>
      </c>
      <c r="Q4" s="42">
        <f>'STOCK 01-07-06'!Q26</f>
        <v>0</v>
      </c>
      <c r="R4" s="42">
        <f>'STOCK 01-07-06'!R26</f>
        <v>1581</v>
      </c>
      <c r="S4" s="42">
        <f>'STOCK 01-07-06'!S26</f>
        <v>0</v>
      </c>
      <c r="T4" s="42">
        <f>'STOCK 01-07-06'!T26</f>
        <v>1300</v>
      </c>
      <c r="U4" s="42">
        <f>'STOCK 01-07-06'!U26</f>
        <v>0</v>
      </c>
      <c r="V4" s="42">
        <f>'STOCK 01-07-06'!V26</f>
        <v>0</v>
      </c>
      <c r="W4" s="42">
        <f>'STOCK 01-07-06'!W26</f>
        <v>400</v>
      </c>
      <c r="X4" s="42">
        <f>'STOCK 01-07-06'!X26</f>
        <v>6</v>
      </c>
      <c r="Y4" s="42">
        <f>'STOCK 01-07-06'!Y26</f>
        <v>5200</v>
      </c>
      <c r="Z4" s="42">
        <f>'STOCK 01-07-06'!Z26</f>
        <v>0</v>
      </c>
      <c r="AA4" s="42">
        <f>'STOCK 01-07-06'!AA26</f>
        <v>2145</v>
      </c>
      <c r="AB4" s="42">
        <f>'STOCK 01-07-06'!AB26</f>
        <v>720</v>
      </c>
    </row>
    <row r="5" spans="1:28" x14ac:dyDescent="0.25">
      <c r="A5" s="311"/>
      <c r="B5" s="20">
        <v>45817</v>
      </c>
      <c r="C5" s="82" t="s">
        <v>46</v>
      </c>
      <c r="D5" s="27">
        <v>6000</v>
      </c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45819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>
        <v>2000</v>
      </c>
      <c r="Y6" s="31"/>
      <c r="AA6" s="94"/>
      <c r="AB6" s="15"/>
    </row>
    <row r="7" spans="1:28" x14ac:dyDescent="0.25">
      <c r="A7" s="311"/>
      <c r="B7" s="20">
        <v>45819</v>
      </c>
      <c r="C7" s="82" t="s">
        <v>100</v>
      </c>
      <c r="D7" s="27"/>
      <c r="F7" s="35"/>
      <c r="H7" s="31"/>
      <c r="I7" s="13">
        <v>2500</v>
      </c>
      <c r="J7" s="35"/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45821</v>
      </c>
      <c r="C8" s="82" t="s">
        <v>46</v>
      </c>
      <c r="D8" s="27">
        <v>2500</v>
      </c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45822</v>
      </c>
      <c r="C9" s="82" t="s">
        <v>27</v>
      </c>
      <c r="D9" s="27"/>
      <c r="F9" s="35"/>
      <c r="H9" s="31"/>
      <c r="I9" s="13"/>
      <c r="J9" s="35"/>
      <c r="L9" s="35"/>
      <c r="M9" s="35"/>
      <c r="N9" s="14">
        <v>3500</v>
      </c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>
        <v>45816</v>
      </c>
      <c r="C15" s="14" t="s">
        <v>22</v>
      </c>
      <c r="D15" s="27">
        <f>400+15</f>
        <v>415</v>
      </c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>
        <v>200</v>
      </c>
      <c r="AA15" s="94"/>
      <c r="AB15" s="15"/>
    </row>
    <row r="16" spans="1:28" x14ac:dyDescent="0.25">
      <c r="A16" s="311"/>
      <c r="B16" s="20">
        <v>45817</v>
      </c>
      <c r="C16" s="14" t="s">
        <v>22</v>
      </c>
      <c r="D16" s="27"/>
      <c r="F16" s="35"/>
      <c r="H16" s="31"/>
      <c r="I16" s="13"/>
      <c r="J16" s="35"/>
      <c r="L16" s="35"/>
      <c r="M16" s="35"/>
      <c r="N16" s="14">
        <v>500</v>
      </c>
      <c r="O16" s="27"/>
      <c r="S16" s="31"/>
      <c r="T16" s="13">
        <v>20</v>
      </c>
      <c r="W16" s="31"/>
      <c r="X16" s="13"/>
      <c r="Y16" s="31"/>
      <c r="AA16" s="94"/>
      <c r="AB16" s="15"/>
    </row>
    <row r="17" spans="1:28" x14ac:dyDescent="0.25">
      <c r="A17" s="311"/>
      <c r="B17" s="20">
        <v>45818</v>
      </c>
      <c r="C17" s="14" t="s">
        <v>22</v>
      </c>
      <c r="D17" s="27"/>
      <c r="F17" s="35"/>
      <c r="H17" s="31"/>
      <c r="I17" s="13"/>
      <c r="J17" s="35"/>
      <c r="L17" s="35"/>
      <c r="M17" s="35"/>
      <c r="N17" s="14"/>
      <c r="O17" s="27"/>
      <c r="R17">
        <v>55</v>
      </c>
      <c r="S17" s="31"/>
      <c r="T17" s="13"/>
      <c r="W17" s="31"/>
      <c r="X17" s="13"/>
      <c r="Y17" s="31">
        <v>400</v>
      </c>
      <c r="AA17" s="94">
        <v>1500</v>
      </c>
      <c r="AB17" s="15"/>
    </row>
    <row r="18" spans="1:28" x14ac:dyDescent="0.25">
      <c r="A18" s="311"/>
      <c r="B18" s="20">
        <v>45819</v>
      </c>
      <c r="C18" s="14" t="s">
        <v>22</v>
      </c>
      <c r="D18" s="27">
        <f>1000+200+550</f>
        <v>1750</v>
      </c>
      <c r="F18" s="35"/>
      <c r="H18" s="31"/>
      <c r="I18" s="13">
        <v>1000</v>
      </c>
      <c r="J18" s="35"/>
      <c r="L18" s="35"/>
      <c r="M18" s="35">
        <v>500</v>
      </c>
      <c r="N18" s="14">
        <v>1000</v>
      </c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45821</v>
      </c>
      <c r="C19" s="14" t="s">
        <v>22</v>
      </c>
      <c r="D19" s="27">
        <v>100</v>
      </c>
      <c r="F19" s="35">
        <v>1000</v>
      </c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>
        <v>188</v>
      </c>
      <c r="Y19" s="31">
        <v>100</v>
      </c>
      <c r="AA19" s="94"/>
      <c r="AB19" s="15"/>
    </row>
    <row r="20" spans="1:28" x14ac:dyDescent="0.25">
      <c r="A20" s="311"/>
      <c r="B20" s="20">
        <v>45822</v>
      </c>
      <c r="C20" s="14" t="s">
        <v>22</v>
      </c>
      <c r="D20" s="27"/>
      <c r="F20" s="35"/>
      <c r="H20" s="31"/>
      <c r="I20" s="13">
        <v>1500</v>
      </c>
      <c r="J20" s="35"/>
      <c r="L20" s="35"/>
      <c r="M20" s="35">
        <v>112</v>
      </c>
      <c r="N20" s="14"/>
      <c r="O20" s="27"/>
      <c r="S20" s="31"/>
      <c r="T20" s="13"/>
      <c r="W20" s="31"/>
      <c r="X20" s="13"/>
      <c r="Y20" s="31"/>
      <c r="AA20" s="94">
        <v>300</v>
      </c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SUM(D4:D14)-SUM(D15:D25)</f>
        <v>6660</v>
      </c>
      <c r="E26" s="22">
        <f t="shared" si="0"/>
        <v>2000</v>
      </c>
      <c r="F26" s="37">
        <f t="shared" si="0"/>
        <v>1600</v>
      </c>
      <c r="G26" s="24">
        <f t="shared" si="0"/>
        <v>0</v>
      </c>
      <c r="H26" s="33">
        <f t="shared" si="0"/>
        <v>160</v>
      </c>
      <c r="I26" s="22">
        <f t="shared" si="0"/>
        <v>0</v>
      </c>
      <c r="J26" s="37">
        <f t="shared" si="0"/>
        <v>0</v>
      </c>
      <c r="K26" s="24">
        <f t="shared" si="0"/>
        <v>3000</v>
      </c>
      <c r="L26" s="37">
        <f t="shared" si="0"/>
        <v>0</v>
      </c>
      <c r="M26" s="37">
        <f t="shared" si="0"/>
        <v>7601</v>
      </c>
      <c r="N26" s="23">
        <f>SUM(N4:N14)-SUM(N15:N25)</f>
        <v>3548</v>
      </c>
      <c r="O26" s="29">
        <f t="shared" si="0"/>
        <v>0</v>
      </c>
      <c r="P26" s="29">
        <f t="shared" si="0"/>
        <v>232</v>
      </c>
      <c r="Q26" s="29">
        <f t="shared" si="0"/>
        <v>0</v>
      </c>
      <c r="R26" s="24">
        <f t="shared" si="0"/>
        <v>1526</v>
      </c>
      <c r="S26" s="33">
        <f t="shared" si="0"/>
        <v>0</v>
      </c>
      <c r="T26" s="22">
        <f t="shared" si="0"/>
        <v>1280</v>
      </c>
      <c r="U26" s="22">
        <f t="shared" si="0"/>
        <v>0</v>
      </c>
      <c r="V26" s="22">
        <f t="shared" si="0"/>
        <v>0</v>
      </c>
      <c r="W26" s="33">
        <f t="shared" si="0"/>
        <v>400</v>
      </c>
      <c r="X26" s="22">
        <f t="shared" si="0"/>
        <v>1818</v>
      </c>
      <c r="Y26" s="33">
        <f t="shared" si="0"/>
        <v>4500</v>
      </c>
      <c r="Z26" s="22">
        <f t="shared" si="0"/>
        <v>0</v>
      </c>
      <c r="AA26" s="96">
        <f t="shared" si="0"/>
        <v>345</v>
      </c>
      <c r="AB26" s="25">
        <f t="shared" si="0"/>
        <v>720</v>
      </c>
    </row>
    <row r="28" spans="1:28" x14ac:dyDescent="0.25">
      <c r="D28">
        <f>D26*0.41</f>
        <v>2730.6</v>
      </c>
      <c r="E28">
        <f>+E26*0.41</f>
        <v>820</v>
      </c>
      <c r="F28">
        <f>+F26*0.47</f>
        <v>752</v>
      </c>
      <c r="G28">
        <f>+G26*0.38</f>
        <v>0</v>
      </c>
      <c r="H28">
        <f>+H26*0.4</f>
        <v>64</v>
      </c>
      <c r="I28">
        <f>+I26*0.58</f>
        <v>0</v>
      </c>
      <c r="J28">
        <f>+J26*0.54</f>
        <v>0</v>
      </c>
      <c r="K28" s="50">
        <f>+K26*0.87</f>
        <v>2610</v>
      </c>
      <c r="L28">
        <f>+L26*0.62</f>
        <v>0</v>
      </c>
      <c r="M28">
        <f>+M26*0.72</f>
        <v>5472.7199999999993</v>
      </c>
      <c r="N28">
        <f>+N26*0.62</f>
        <v>2199.7599999999998</v>
      </c>
      <c r="O28">
        <f>+O26*2.04</f>
        <v>0</v>
      </c>
      <c r="P28">
        <f>+P26*1.575</f>
        <v>365.4</v>
      </c>
      <c r="Q28">
        <f>Q26*1.8</f>
        <v>0</v>
      </c>
      <c r="R28">
        <f>+R26*1.8</f>
        <v>2746.8</v>
      </c>
      <c r="S28">
        <f>+S26*1.57</f>
        <v>0</v>
      </c>
      <c r="T28">
        <f>+T26*1.9</f>
        <v>2432</v>
      </c>
      <c r="U28">
        <f>+U26*1.85</f>
        <v>0</v>
      </c>
      <c r="V28">
        <f>+V26*2.18</f>
        <v>0</v>
      </c>
      <c r="W28">
        <f>+W26*2.05</f>
        <v>819.99999999999989</v>
      </c>
      <c r="X28">
        <f>+X26*0.44</f>
        <v>799.92</v>
      </c>
      <c r="Y28">
        <f>+Y26*0.34</f>
        <v>1530</v>
      </c>
      <c r="Z28" s="50">
        <f>+Z26*1.9</f>
        <v>0</v>
      </c>
      <c r="AA28">
        <f>+AA26*0.58</f>
        <v>200.1</v>
      </c>
      <c r="AB28">
        <f>+AB26*1.75-(20*0.1)</f>
        <v>1258</v>
      </c>
    </row>
    <row r="29" spans="1:28" x14ac:dyDescent="0.25">
      <c r="AB29" s="39">
        <f>SUM(D28:AB28)</f>
        <v>24801.299999999996</v>
      </c>
    </row>
  </sheetData>
  <mergeCells count="7">
    <mergeCell ref="X2:Y2"/>
    <mergeCell ref="A4:A14"/>
    <mergeCell ref="A15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9F99-6669-49E5-8D43-D258B30EB562}">
  <dimension ref="A1:AB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28" sqref="G2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08-14-06'!D26</f>
        <v>6660</v>
      </c>
      <c r="E4" s="42">
        <f>'STOCK 08-14-06'!E26</f>
        <v>2000</v>
      </c>
      <c r="F4" s="42">
        <f>'STOCK 08-14-06'!F26</f>
        <v>1600</v>
      </c>
      <c r="G4" s="42">
        <f>'STOCK 08-14-06'!G26</f>
        <v>0</v>
      </c>
      <c r="H4" s="42">
        <f>'STOCK 08-14-06'!H26</f>
        <v>160</v>
      </c>
      <c r="I4" s="42">
        <f>'STOCK 08-14-06'!I26</f>
        <v>0</v>
      </c>
      <c r="J4" s="42">
        <f>'STOCK 08-14-06'!J26</f>
        <v>0</v>
      </c>
      <c r="K4" s="42">
        <f>'STOCK 08-14-06'!K26</f>
        <v>3000</v>
      </c>
      <c r="L4" s="42">
        <f>'STOCK 08-14-06'!L26</f>
        <v>0</v>
      </c>
      <c r="M4" s="42">
        <f>'STOCK 08-14-06'!M26</f>
        <v>7601</v>
      </c>
      <c r="N4" s="42">
        <f>'STOCK 08-14-06'!N26</f>
        <v>3548</v>
      </c>
      <c r="O4" s="42">
        <f>'STOCK 08-14-06'!O26</f>
        <v>0</v>
      </c>
      <c r="P4" s="42">
        <f>'STOCK 08-14-06'!P26</f>
        <v>232</v>
      </c>
      <c r="Q4" s="42">
        <f>'STOCK 08-14-06'!Q26</f>
        <v>0</v>
      </c>
      <c r="R4" s="42">
        <f>'STOCK 08-14-06'!R26</f>
        <v>1526</v>
      </c>
      <c r="S4" s="42">
        <f>'STOCK 08-14-06'!S26</f>
        <v>0</v>
      </c>
      <c r="T4" s="42">
        <f>'STOCK 08-14-06'!T26</f>
        <v>1280</v>
      </c>
      <c r="U4" s="42">
        <f>'STOCK 08-14-06'!U26</f>
        <v>0</v>
      </c>
      <c r="V4" s="42">
        <f>'STOCK 08-14-06'!V26</f>
        <v>0</v>
      </c>
      <c r="W4" s="42">
        <f>'STOCK 08-14-06'!W26</f>
        <v>400</v>
      </c>
      <c r="X4" s="42">
        <f>'STOCK 08-14-06'!X26</f>
        <v>1818</v>
      </c>
      <c r="Y4" s="42">
        <f>'STOCK 08-14-06'!Y26</f>
        <v>4500</v>
      </c>
      <c r="Z4" s="42">
        <f>'STOCK 08-14-06'!Z26</f>
        <v>0</v>
      </c>
      <c r="AA4" s="42">
        <f>'STOCK 08-14-06'!AA26</f>
        <v>345</v>
      </c>
      <c r="AB4" s="42">
        <f>'STOCK 08-14-06'!AB26</f>
        <v>720</v>
      </c>
    </row>
    <row r="5" spans="1:28" x14ac:dyDescent="0.25">
      <c r="A5" s="311"/>
      <c r="B5" s="20">
        <v>45824</v>
      </c>
      <c r="C5" s="82" t="s">
        <v>27</v>
      </c>
      <c r="D5" s="27"/>
      <c r="F5" s="35"/>
      <c r="H5" s="31"/>
      <c r="I5" s="13"/>
      <c r="J5" s="35"/>
      <c r="L5" s="35"/>
      <c r="M5" s="35"/>
      <c r="N5" s="14"/>
      <c r="O5" s="27"/>
      <c r="R5">
        <v>340</v>
      </c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45825</v>
      </c>
      <c r="C6" s="82" t="s">
        <v>27</v>
      </c>
      <c r="D6" s="27">
        <v>2000</v>
      </c>
      <c r="F6" s="35"/>
      <c r="H6" s="31"/>
      <c r="I6" s="13"/>
      <c r="J6" s="35"/>
      <c r="L6" s="35"/>
      <c r="M6" s="35">
        <v>1500</v>
      </c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45827</v>
      </c>
      <c r="C7" s="82" t="s">
        <v>27</v>
      </c>
      <c r="D7" s="27"/>
      <c r="F7" s="35"/>
      <c r="H7" s="31"/>
      <c r="I7" s="13"/>
      <c r="J7" s="35"/>
      <c r="L7" s="35"/>
      <c r="M7" s="35">
        <v>1500</v>
      </c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45827</v>
      </c>
      <c r="C8" s="82" t="s">
        <v>46</v>
      </c>
      <c r="D8" s="27">
        <v>2000</v>
      </c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45828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R9">
        <v>500</v>
      </c>
      <c r="S9" s="31"/>
      <c r="T9" s="13">
        <v>500</v>
      </c>
      <c r="W9" s="31"/>
      <c r="X9" s="13"/>
      <c r="Y9" s="31"/>
      <c r="AA9" s="94"/>
      <c r="AB9" s="15"/>
    </row>
    <row r="10" spans="1:28" x14ac:dyDescent="0.25">
      <c r="A10" s="311"/>
      <c r="B10" s="20">
        <v>45828</v>
      </c>
      <c r="C10" s="82" t="s">
        <v>46</v>
      </c>
      <c r="D10" s="27"/>
      <c r="F10" s="35"/>
      <c r="H10" s="31"/>
      <c r="I10" s="13"/>
      <c r="J10" s="35"/>
      <c r="L10" s="35"/>
      <c r="M10" s="35"/>
      <c r="N10" s="14">
        <v>4000</v>
      </c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/>
      <c r="C15" s="14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45825</v>
      </c>
      <c r="C16" s="14" t="s">
        <v>22</v>
      </c>
      <c r="D16" s="27"/>
      <c r="F16" s="35"/>
      <c r="H16" s="31"/>
      <c r="I16" s="13"/>
      <c r="J16" s="35"/>
      <c r="L16" s="35"/>
      <c r="M16" s="35"/>
      <c r="N16" s="14">
        <v>1000</v>
      </c>
      <c r="O16" s="27"/>
      <c r="R16">
        <v>450</v>
      </c>
      <c r="S16" s="31"/>
      <c r="T16" s="13">
        <v>15</v>
      </c>
      <c r="W16" s="31"/>
      <c r="X16" s="13"/>
      <c r="Y16" s="31">
        <v>500</v>
      </c>
      <c r="AA16" s="94"/>
      <c r="AB16" s="15"/>
    </row>
    <row r="17" spans="1:28" x14ac:dyDescent="0.25">
      <c r="A17" s="311"/>
      <c r="B17" s="20">
        <v>45826</v>
      </c>
      <c r="C17" s="14" t="s">
        <v>22</v>
      </c>
      <c r="D17" s="27">
        <f>800+300</f>
        <v>1100</v>
      </c>
      <c r="F17" s="35"/>
      <c r="H17" s="31"/>
      <c r="I17" s="13"/>
      <c r="J17" s="35"/>
      <c r="L17" s="35"/>
      <c r="M17" s="35"/>
      <c r="N17" s="14"/>
      <c r="O17" s="27"/>
      <c r="R17">
        <f>140+500</f>
        <v>640</v>
      </c>
      <c r="S17" s="31"/>
      <c r="T17" s="13"/>
      <c r="W17" s="31"/>
      <c r="X17" s="13"/>
      <c r="Y17" s="31">
        <v>50</v>
      </c>
      <c r="AA17" s="94"/>
      <c r="AB17" s="15"/>
    </row>
    <row r="18" spans="1:28" x14ac:dyDescent="0.25">
      <c r="A18" s="311"/>
      <c r="B18" s="20">
        <v>45827</v>
      </c>
      <c r="C18" s="14" t="s">
        <v>22</v>
      </c>
      <c r="D18" s="27"/>
      <c r="F18" s="35"/>
      <c r="H18" s="31"/>
      <c r="I18" s="13"/>
      <c r="J18" s="35"/>
      <c r="L18" s="35"/>
      <c r="M18" s="35">
        <v>3000</v>
      </c>
      <c r="N18" s="14"/>
      <c r="O18" s="27"/>
      <c r="S18" s="31"/>
      <c r="T18" s="13"/>
      <c r="W18" s="31"/>
      <c r="X18" s="13"/>
      <c r="Y18" s="31">
        <f>50+200</f>
        <v>250</v>
      </c>
      <c r="AA18" s="94">
        <f>232+80</f>
        <v>312</v>
      </c>
      <c r="AB18" s="15"/>
    </row>
    <row r="19" spans="1:28" x14ac:dyDescent="0.25">
      <c r="A19" s="311"/>
      <c r="B19" s="20">
        <v>45827</v>
      </c>
      <c r="C19" s="14" t="s">
        <v>45</v>
      </c>
      <c r="D19" s="27">
        <v>30</v>
      </c>
      <c r="F19" s="35"/>
      <c r="H19" s="31"/>
      <c r="I19" s="13"/>
      <c r="J19" s="35"/>
      <c r="L19" s="35"/>
      <c r="M19" s="35"/>
      <c r="N19" s="14">
        <v>2000</v>
      </c>
      <c r="O19" s="27"/>
      <c r="R19">
        <v>490</v>
      </c>
      <c r="S19" s="31"/>
      <c r="T19" s="13"/>
      <c r="W19" s="31"/>
      <c r="X19" s="13"/>
      <c r="Y19" s="31"/>
      <c r="AA19" s="94"/>
      <c r="AB19" s="15">
        <v>500</v>
      </c>
    </row>
    <row r="20" spans="1:28" x14ac:dyDescent="0.25">
      <c r="A20" s="311"/>
      <c r="B20" s="20">
        <v>45828</v>
      </c>
      <c r="C20" s="14" t="s">
        <v>22</v>
      </c>
      <c r="D20" s="27"/>
      <c r="F20" s="35"/>
      <c r="H20" s="31"/>
      <c r="I20" s="13"/>
      <c r="J20" s="35"/>
      <c r="L20" s="35"/>
      <c r="M20" s="35"/>
      <c r="N20" s="14">
        <f>48+500</f>
        <v>548</v>
      </c>
      <c r="O20" s="27"/>
      <c r="R20">
        <v>120</v>
      </c>
      <c r="S20" s="31"/>
      <c r="T20" s="13"/>
      <c r="W20" s="31"/>
      <c r="X20" s="13"/>
      <c r="Y20" s="31">
        <f>300+15</f>
        <v>315</v>
      </c>
      <c r="AA20" s="94">
        <v>33</v>
      </c>
      <c r="AB20" s="15"/>
    </row>
    <row r="21" spans="1:28" x14ac:dyDescent="0.25">
      <c r="A21" s="311"/>
      <c r="B21" s="20">
        <v>45829</v>
      </c>
      <c r="C21" s="14" t="s">
        <v>22</v>
      </c>
      <c r="D21" s="27">
        <v>1000</v>
      </c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SUM(D4:D14)-SUM(D15:D25)</f>
        <v>8530</v>
      </c>
      <c r="E26" s="22">
        <f t="shared" si="0"/>
        <v>2000</v>
      </c>
      <c r="F26" s="37">
        <f t="shared" si="0"/>
        <v>1600</v>
      </c>
      <c r="G26" s="24">
        <f t="shared" si="0"/>
        <v>0</v>
      </c>
      <c r="H26" s="33">
        <f t="shared" si="0"/>
        <v>160</v>
      </c>
      <c r="I26" s="22">
        <f t="shared" si="0"/>
        <v>0</v>
      </c>
      <c r="J26" s="37">
        <f t="shared" si="0"/>
        <v>0</v>
      </c>
      <c r="K26" s="24">
        <f t="shared" si="0"/>
        <v>3000</v>
      </c>
      <c r="L26" s="37">
        <f t="shared" si="0"/>
        <v>0</v>
      </c>
      <c r="M26" s="37">
        <f t="shared" si="0"/>
        <v>7601</v>
      </c>
      <c r="N26" s="23">
        <f>SUM(N4:N14)-SUM(N15:N25)</f>
        <v>4000</v>
      </c>
      <c r="O26" s="29">
        <f t="shared" si="0"/>
        <v>0</v>
      </c>
      <c r="P26" s="29">
        <f t="shared" si="0"/>
        <v>232</v>
      </c>
      <c r="Q26" s="29">
        <f t="shared" si="0"/>
        <v>0</v>
      </c>
      <c r="R26" s="24">
        <f t="shared" si="0"/>
        <v>666</v>
      </c>
      <c r="S26" s="33">
        <f t="shared" si="0"/>
        <v>0</v>
      </c>
      <c r="T26" s="22">
        <f t="shared" si="0"/>
        <v>1765</v>
      </c>
      <c r="U26" s="22">
        <f t="shared" si="0"/>
        <v>0</v>
      </c>
      <c r="V26" s="22">
        <f t="shared" si="0"/>
        <v>0</v>
      </c>
      <c r="W26" s="33">
        <f t="shared" si="0"/>
        <v>400</v>
      </c>
      <c r="X26" s="22">
        <f t="shared" si="0"/>
        <v>1818</v>
      </c>
      <c r="Y26" s="33">
        <f t="shared" si="0"/>
        <v>3385</v>
      </c>
      <c r="Z26" s="22">
        <f t="shared" si="0"/>
        <v>0</v>
      </c>
      <c r="AA26" s="96">
        <f t="shared" si="0"/>
        <v>0</v>
      </c>
      <c r="AB26" s="25">
        <f t="shared" si="0"/>
        <v>220</v>
      </c>
    </row>
    <row r="28" spans="1:28" x14ac:dyDescent="0.25">
      <c r="D28">
        <f>D26*0.41</f>
        <v>3497.2999999999997</v>
      </c>
      <c r="E28">
        <f>+E26*0.41</f>
        <v>820</v>
      </c>
      <c r="F28">
        <f>+F26*0.47</f>
        <v>752</v>
      </c>
      <c r="G28">
        <f>+G26*0.38</f>
        <v>0</v>
      </c>
      <c r="H28">
        <f>+H26*0.4</f>
        <v>64</v>
      </c>
      <c r="I28">
        <f>+I26*0.58</f>
        <v>0</v>
      </c>
      <c r="J28">
        <f>+J26*0.54</f>
        <v>0</v>
      </c>
      <c r="K28" s="50">
        <f>+K26*0.87</f>
        <v>2610</v>
      </c>
      <c r="L28">
        <f>+L26*0.62</f>
        <v>0</v>
      </c>
      <c r="M28">
        <f>+M26*0.72</f>
        <v>5472.7199999999993</v>
      </c>
      <c r="N28">
        <f>+N26*0.6</f>
        <v>2400</v>
      </c>
      <c r="O28">
        <f>+O26*2.04</f>
        <v>0</v>
      </c>
      <c r="P28">
        <f>+P26*1.575</f>
        <v>365.4</v>
      </c>
      <c r="Q28">
        <f>Q26*1.8</f>
        <v>0</v>
      </c>
      <c r="R28">
        <f>+R26*1.8</f>
        <v>1198.8</v>
      </c>
      <c r="S28">
        <f>+S26*1.57</f>
        <v>0</v>
      </c>
      <c r="T28">
        <f>+T26*1.9</f>
        <v>3353.5</v>
      </c>
      <c r="U28">
        <f>+U26*1.85</f>
        <v>0</v>
      </c>
      <c r="V28">
        <f>+V26*2.18</f>
        <v>0</v>
      </c>
      <c r="W28">
        <f>+W26*2.05</f>
        <v>819.99999999999989</v>
      </c>
      <c r="X28">
        <f>+X26*0.44</f>
        <v>799.92</v>
      </c>
      <c r="Y28">
        <f>+Y26*0.34</f>
        <v>1150.9000000000001</v>
      </c>
      <c r="Z28" s="50">
        <f>+Z26*1.9</f>
        <v>0</v>
      </c>
      <c r="AA28">
        <f>+AA26*0.58</f>
        <v>0</v>
      </c>
      <c r="AB28">
        <f>+AB26*1.75</f>
        <v>385</v>
      </c>
    </row>
    <row r="29" spans="1:28" x14ac:dyDescent="0.25">
      <c r="AB29" s="39">
        <f>SUM(D28:AB28)</f>
        <v>23689.539999999997</v>
      </c>
    </row>
    <row r="31" spans="1:28" x14ac:dyDescent="0.25">
      <c r="G31">
        <v>30</v>
      </c>
      <c r="H31">
        <v>39.75</v>
      </c>
      <c r="N31">
        <f>33*0.58</f>
        <v>19.139999999999997</v>
      </c>
      <c r="AB31">
        <f>20*1.65</f>
        <v>33</v>
      </c>
    </row>
    <row r="32" spans="1:28" x14ac:dyDescent="0.25">
      <c r="G32">
        <v>32</v>
      </c>
      <c r="H32">
        <f>32.1-0.35</f>
        <v>31.75</v>
      </c>
      <c r="N32">
        <f>47*0.62</f>
        <v>29.14</v>
      </c>
      <c r="AB32">
        <f>480*1.75</f>
        <v>840</v>
      </c>
    </row>
    <row r="33" spans="7:28" x14ac:dyDescent="0.25">
      <c r="G33">
        <v>28.6</v>
      </c>
      <c r="N33">
        <f>+N31+N32</f>
        <v>48.28</v>
      </c>
      <c r="AB33">
        <f>+AB31+AB32</f>
        <v>873</v>
      </c>
    </row>
    <row r="34" spans="7:28" x14ac:dyDescent="0.25">
      <c r="G34">
        <v>50</v>
      </c>
      <c r="N34">
        <f>N33/80</f>
        <v>0.60350000000000004</v>
      </c>
      <c r="AB34" s="84">
        <f>AB33/500</f>
        <v>1.746</v>
      </c>
    </row>
  </sheetData>
  <mergeCells count="7">
    <mergeCell ref="X2:Y2"/>
    <mergeCell ref="A4:A14"/>
    <mergeCell ref="A15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5134-7AE1-4BF5-87CD-A8AEC3048B7A}">
  <dimension ref="A1:AB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21" sqref="G21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15-21-06'!D26</f>
        <v>8530</v>
      </c>
      <c r="E4" s="42">
        <f>'STOCK 15-21-06'!E26</f>
        <v>2000</v>
      </c>
      <c r="F4" s="42">
        <f>'STOCK 15-21-06'!F26</f>
        <v>1600</v>
      </c>
      <c r="G4" s="42">
        <f>'STOCK 15-21-06'!G26</f>
        <v>0</v>
      </c>
      <c r="H4" s="42">
        <f>'STOCK 15-21-06'!H26</f>
        <v>160</v>
      </c>
      <c r="I4" s="42">
        <f>'STOCK 15-21-06'!I26</f>
        <v>0</v>
      </c>
      <c r="J4" s="42">
        <f>'STOCK 15-21-06'!J26</f>
        <v>0</v>
      </c>
      <c r="K4" s="42">
        <f>'STOCK 15-21-06'!K26</f>
        <v>3000</v>
      </c>
      <c r="L4" s="42">
        <f>'STOCK 15-21-06'!L26</f>
        <v>0</v>
      </c>
      <c r="M4" s="42">
        <f>'STOCK 15-21-06'!M26</f>
        <v>7601</v>
      </c>
      <c r="N4" s="42">
        <f>'STOCK 15-21-06'!N26</f>
        <v>4000</v>
      </c>
      <c r="O4" s="42">
        <f>'STOCK 15-21-06'!O26</f>
        <v>0</v>
      </c>
      <c r="P4" s="42">
        <f>'STOCK 15-21-06'!P26</f>
        <v>232</v>
      </c>
      <c r="Q4" s="42">
        <f>'STOCK 15-21-06'!Q26</f>
        <v>0</v>
      </c>
      <c r="R4" s="42">
        <f>'STOCK 15-21-06'!R26</f>
        <v>666</v>
      </c>
      <c r="S4" s="42">
        <f>'STOCK 15-21-06'!S26</f>
        <v>0</v>
      </c>
      <c r="T4" s="42">
        <f>'STOCK 15-21-06'!T26</f>
        <v>1765</v>
      </c>
      <c r="U4" s="42">
        <f>'STOCK 15-21-06'!U26</f>
        <v>0</v>
      </c>
      <c r="V4" s="42">
        <f>'STOCK 15-21-06'!V26</f>
        <v>0</v>
      </c>
      <c r="W4" s="42">
        <f>'STOCK 15-21-06'!W26</f>
        <v>400</v>
      </c>
      <c r="X4" s="42">
        <f>'STOCK 15-21-06'!X26</f>
        <v>1818</v>
      </c>
      <c r="Y4" s="42">
        <f>'STOCK 15-21-06'!Y26</f>
        <v>3385</v>
      </c>
      <c r="Z4" s="42">
        <f>'STOCK 15-21-06'!Z26</f>
        <v>0</v>
      </c>
      <c r="AA4" s="42">
        <f>'STOCK 15-21-06'!AA26</f>
        <v>0</v>
      </c>
      <c r="AB4" s="42">
        <f>'STOCK 15-21-06'!AB26</f>
        <v>220</v>
      </c>
    </row>
    <row r="5" spans="1:28" x14ac:dyDescent="0.25">
      <c r="A5" s="311"/>
      <c r="B5" s="20">
        <v>45831</v>
      </c>
      <c r="C5" s="82" t="s">
        <v>46</v>
      </c>
      <c r="D5" s="27"/>
      <c r="F5" s="35"/>
      <c r="H5" s="31"/>
      <c r="I5" s="13"/>
      <c r="J5" s="35"/>
      <c r="L5" s="35"/>
      <c r="M5" s="35"/>
      <c r="N5" s="14"/>
      <c r="O5" s="27"/>
      <c r="R5">
        <v>1500</v>
      </c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45833</v>
      </c>
      <c r="C6" s="82" t="s">
        <v>27</v>
      </c>
      <c r="D6" s="27">
        <v>4500</v>
      </c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45833</v>
      </c>
      <c r="C7" s="82" t="s">
        <v>27</v>
      </c>
      <c r="D7" s="27">
        <v>300</v>
      </c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45834</v>
      </c>
      <c r="C8" s="82" t="s">
        <v>78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>
        <v>2000</v>
      </c>
      <c r="AA8" s="94"/>
      <c r="AB8" s="15"/>
    </row>
    <row r="9" spans="1:28" x14ac:dyDescent="0.25">
      <c r="A9" s="311"/>
      <c r="B9" s="20">
        <v>45834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R9">
        <v>1200</v>
      </c>
      <c r="S9" s="31"/>
      <c r="T9" s="13"/>
      <c r="W9" s="31">
        <v>900</v>
      </c>
      <c r="X9" s="13"/>
      <c r="Y9" s="31"/>
      <c r="AA9" s="94"/>
      <c r="AB9" s="15"/>
    </row>
    <row r="10" spans="1:28" x14ac:dyDescent="0.25">
      <c r="A10" s="311"/>
      <c r="B10" s="20">
        <v>45834</v>
      </c>
      <c r="C10" s="82" t="s">
        <v>46</v>
      </c>
      <c r="D10" s="27">
        <v>6000</v>
      </c>
      <c r="F10" s="35"/>
      <c r="H10" s="31"/>
      <c r="I10" s="13"/>
      <c r="J10" s="35"/>
      <c r="L10" s="35"/>
      <c r="M10" s="35">
        <v>4000</v>
      </c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45835</v>
      </c>
      <c r="C11" s="82" t="s">
        <v>27</v>
      </c>
      <c r="D11" s="27"/>
      <c r="F11" s="35"/>
      <c r="H11" s="31"/>
      <c r="I11" s="13"/>
      <c r="J11" s="35"/>
      <c r="L11" s="35"/>
      <c r="M11" s="35"/>
      <c r="N11" s="14">
        <v>3500</v>
      </c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>
        <v>45835</v>
      </c>
      <c r="C12" s="14" t="s">
        <v>46</v>
      </c>
      <c r="D12" s="27"/>
      <c r="F12" s="35"/>
      <c r="H12" s="31"/>
      <c r="I12" s="13"/>
      <c r="J12" s="35"/>
      <c r="L12" s="35"/>
      <c r="M12" s="35"/>
      <c r="N12" s="14">
        <v>500</v>
      </c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>
        <v>45836</v>
      </c>
      <c r="C13" s="14" t="s">
        <v>46</v>
      </c>
      <c r="D13" s="27">
        <v>6000</v>
      </c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/>
      <c r="C15" s="14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45831</v>
      </c>
      <c r="C16" s="14" t="s">
        <v>22</v>
      </c>
      <c r="D16" s="27">
        <f>1000+15+10</f>
        <v>1025</v>
      </c>
      <c r="F16" s="35"/>
      <c r="H16" s="31"/>
      <c r="I16" s="13"/>
      <c r="J16" s="35"/>
      <c r="L16" s="35"/>
      <c r="M16" s="35">
        <v>1000</v>
      </c>
      <c r="N16" s="14"/>
      <c r="O16" s="27"/>
      <c r="R16">
        <v>90</v>
      </c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45832</v>
      </c>
      <c r="C17" s="14" t="s">
        <v>22</v>
      </c>
      <c r="D17" s="27">
        <f>1000+2000</f>
        <v>3000</v>
      </c>
      <c r="F17" s="35"/>
      <c r="H17" s="31"/>
      <c r="I17" s="13"/>
      <c r="J17" s="35"/>
      <c r="K17">
        <v>500</v>
      </c>
      <c r="L17" s="35"/>
      <c r="M17" s="35">
        <f>1150+1000</f>
        <v>2150</v>
      </c>
      <c r="N17" s="14">
        <f>150+1150</f>
        <v>1300</v>
      </c>
      <c r="O17" s="27"/>
      <c r="R17">
        <v>650</v>
      </c>
      <c r="S17" s="31"/>
      <c r="T17" s="13"/>
      <c r="W17" s="31"/>
      <c r="X17" s="13">
        <v>500</v>
      </c>
      <c r="Y17" s="31"/>
      <c r="AA17" s="94"/>
      <c r="AB17" s="15">
        <v>50</v>
      </c>
    </row>
    <row r="18" spans="1:28" x14ac:dyDescent="0.25">
      <c r="A18" s="311"/>
      <c r="B18" s="20">
        <v>45833</v>
      </c>
      <c r="C18" s="14" t="s">
        <v>22</v>
      </c>
      <c r="D18" s="27">
        <f>300+1</f>
        <v>301</v>
      </c>
      <c r="F18" s="35"/>
      <c r="H18" s="31"/>
      <c r="I18" s="13"/>
      <c r="J18" s="35"/>
      <c r="L18" s="35"/>
      <c r="M18" s="35"/>
      <c r="N18" s="14">
        <f>2000+340</f>
        <v>2340</v>
      </c>
      <c r="O18" s="27"/>
      <c r="S18" s="31"/>
      <c r="T18" s="13"/>
      <c r="W18" s="31">
        <v>400</v>
      </c>
      <c r="X18" s="13"/>
      <c r="Y18" s="31">
        <v>250</v>
      </c>
      <c r="AA18" s="94"/>
      <c r="AB18" s="15"/>
    </row>
    <row r="19" spans="1:28" x14ac:dyDescent="0.25">
      <c r="A19" s="311"/>
      <c r="B19" s="20">
        <v>45834</v>
      </c>
      <c r="C19" s="14" t="s">
        <v>22</v>
      </c>
      <c r="D19" s="27">
        <f>1500+100</f>
        <v>1600</v>
      </c>
      <c r="F19" s="35"/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45835</v>
      </c>
      <c r="C20" s="14" t="s">
        <v>45</v>
      </c>
      <c r="D20" s="27">
        <v>1000</v>
      </c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>
        <v>50</v>
      </c>
      <c r="AA20" s="94"/>
      <c r="AB20" s="15"/>
    </row>
    <row r="21" spans="1:28" x14ac:dyDescent="0.25">
      <c r="A21" s="311"/>
      <c r="B21" s="20">
        <v>45835</v>
      </c>
      <c r="C21" s="14" t="s">
        <v>22</v>
      </c>
      <c r="D21" s="27">
        <v>110</v>
      </c>
      <c r="F21" s="35"/>
      <c r="H21" s="31"/>
      <c r="I21" s="13"/>
      <c r="J21" s="35"/>
      <c r="L21" s="35"/>
      <c r="M21" s="35"/>
      <c r="N21" s="14">
        <v>100</v>
      </c>
      <c r="O21" s="27"/>
      <c r="S21" s="31"/>
      <c r="T21" s="13"/>
      <c r="W21" s="31">
        <v>150</v>
      </c>
      <c r="X21" s="13"/>
      <c r="Y21" s="31"/>
      <c r="AA21" s="94"/>
      <c r="AB21" s="15">
        <v>100</v>
      </c>
    </row>
    <row r="22" spans="1:28" x14ac:dyDescent="0.25">
      <c r="A22" s="311"/>
      <c r="B22" s="20">
        <v>45836</v>
      </c>
      <c r="C22" s="14" t="s">
        <v>22</v>
      </c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>
        <v>50</v>
      </c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SUM(D4:D14)-SUM(D15:D25)</f>
        <v>18294</v>
      </c>
      <c r="E26" s="22">
        <f t="shared" si="0"/>
        <v>2000</v>
      </c>
      <c r="F26" s="37">
        <f t="shared" si="0"/>
        <v>1600</v>
      </c>
      <c r="G26" s="24">
        <f t="shared" si="0"/>
        <v>0</v>
      </c>
      <c r="H26" s="33">
        <f t="shared" si="0"/>
        <v>160</v>
      </c>
      <c r="I26" s="22">
        <f t="shared" si="0"/>
        <v>0</v>
      </c>
      <c r="J26" s="37">
        <f t="shared" si="0"/>
        <v>0</v>
      </c>
      <c r="K26" s="24">
        <f t="shared" si="0"/>
        <v>2500</v>
      </c>
      <c r="L26" s="37">
        <f t="shared" si="0"/>
        <v>0</v>
      </c>
      <c r="M26" s="37">
        <f t="shared" si="0"/>
        <v>8451</v>
      </c>
      <c r="N26" s="23">
        <f t="shared" si="0"/>
        <v>4260</v>
      </c>
      <c r="O26" s="29">
        <f t="shared" si="0"/>
        <v>0</v>
      </c>
      <c r="P26" s="29">
        <f t="shared" si="0"/>
        <v>232</v>
      </c>
      <c r="Q26" s="29">
        <f t="shared" si="0"/>
        <v>0</v>
      </c>
      <c r="R26" s="24">
        <f t="shared" si="0"/>
        <v>2626</v>
      </c>
      <c r="S26" s="33">
        <f t="shared" si="0"/>
        <v>0</v>
      </c>
      <c r="T26" s="22">
        <f t="shared" si="0"/>
        <v>1765</v>
      </c>
      <c r="U26" s="22">
        <f t="shared" si="0"/>
        <v>0</v>
      </c>
      <c r="V26" s="22">
        <f t="shared" si="0"/>
        <v>0</v>
      </c>
      <c r="W26" s="33">
        <f t="shared" si="0"/>
        <v>750</v>
      </c>
      <c r="X26" s="22">
        <f t="shared" si="0"/>
        <v>1318</v>
      </c>
      <c r="Y26" s="33">
        <f t="shared" si="0"/>
        <v>5085</v>
      </c>
      <c r="Z26" s="22">
        <f t="shared" si="0"/>
        <v>0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D26*0.4+(3094*0.01)</f>
        <v>7348.54</v>
      </c>
      <c r="E28">
        <f>+E26*0.41</f>
        <v>820</v>
      </c>
      <c r="F28">
        <f>+F26*0.47</f>
        <v>752</v>
      </c>
      <c r="G28">
        <f>+G26*0.38</f>
        <v>0</v>
      </c>
      <c r="H28">
        <f>+H26*0.4</f>
        <v>64</v>
      </c>
      <c r="I28">
        <f>+I26*0.58</f>
        <v>0</v>
      </c>
      <c r="J28">
        <f>+J26*0.54</f>
        <v>0</v>
      </c>
      <c r="K28" s="50">
        <f>+K26*0.87</f>
        <v>2175</v>
      </c>
      <c r="L28">
        <f>+L26*0.62</f>
        <v>0</v>
      </c>
      <c r="M28">
        <f>+M26*0.72</f>
        <v>6084.7199999999993</v>
      </c>
      <c r="N28">
        <f>+N26*0.6</f>
        <v>2556</v>
      </c>
      <c r="O28">
        <f>+O26*2.04</f>
        <v>0</v>
      </c>
      <c r="P28">
        <f>+P26*1.575</f>
        <v>365.4</v>
      </c>
      <c r="Q28">
        <f>Q26*1.8</f>
        <v>0</v>
      </c>
      <c r="R28">
        <f>+R26*1.8</f>
        <v>4726.8</v>
      </c>
      <c r="S28">
        <f>+S26*1.57</f>
        <v>0</v>
      </c>
      <c r="T28">
        <f>+T26*1.9</f>
        <v>3353.5</v>
      </c>
      <c r="U28">
        <f>+U26*1.85</f>
        <v>0</v>
      </c>
      <c r="V28">
        <f>+V26*2.18</f>
        <v>0</v>
      </c>
      <c r="W28">
        <f>+W26*2.05</f>
        <v>1537.4999999999998</v>
      </c>
      <c r="X28">
        <f>+X26*0.44</f>
        <v>579.91999999999996</v>
      </c>
      <c r="Y28">
        <f>+Y26*0.34</f>
        <v>1728.9</v>
      </c>
      <c r="Z28" s="50">
        <f>+Z26*1.9</f>
        <v>0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32127.280000000002</v>
      </c>
    </row>
    <row r="33" spans="14:28" x14ac:dyDescent="0.25">
      <c r="N33">
        <f>860*2</f>
        <v>1720</v>
      </c>
    </row>
    <row r="34" spans="14:28" x14ac:dyDescent="0.25">
      <c r="AB34" s="84"/>
    </row>
  </sheetData>
  <mergeCells count="7">
    <mergeCell ref="X2:Y2"/>
    <mergeCell ref="A4:A14"/>
    <mergeCell ref="A15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9306-5182-4E07-926A-B4663A840B22}">
  <dimension ref="A1:AB3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21" sqref="A21:XFD21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22-28-06'!D26</f>
        <v>18294</v>
      </c>
      <c r="E4" s="42">
        <f>'STOCK 22-28-06'!E26</f>
        <v>2000</v>
      </c>
      <c r="F4" s="42">
        <f>'STOCK 22-28-06'!F26</f>
        <v>1600</v>
      </c>
      <c r="G4" s="42">
        <f>'STOCK 22-28-06'!G26</f>
        <v>0</v>
      </c>
      <c r="H4" s="42">
        <f>'STOCK 22-28-06'!H26</f>
        <v>160</v>
      </c>
      <c r="I4" s="42">
        <f>'STOCK 22-28-06'!I26</f>
        <v>0</v>
      </c>
      <c r="J4" s="42">
        <f>'STOCK 22-28-06'!J26</f>
        <v>0</v>
      </c>
      <c r="K4" s="42">
        <f>'STOCK 22-28-06'!K26</f>
        <v>2500</v>
      </c>
      <c r="L4" s="42">
        <f>'STOCK 22-28-06'!L26</f>
        <v>0</v>
      </c>
      <c r="M4" s="42">
        <f>'STOCK 22-28-06'!M26</f>
        <v>8451</v>
      </c>
      <c r="N4" s="42">
        <f>'STOCK 22-28-06'!N26</f>
        <v>4260</v>
      </c>
      <c r="O4" s="42">
        <f>'STOCK 22-28-06'!O26</f>
        <v>0</v>
      </c>
      <c r="P4" s="42">
        <f>'STOCK 22-28-06'!P26</f>
        <v>232</v>
      </c>
      <c r="Q4" s="42">
        <f>'STOCK 22-28-06'!Q26</f>
        <v>0</v>
      </c>
      <c r="R4" s="42">
        <f>'STOCK 22-28-06'!R26</f>
        <v>2626</v>
      </c>
      <c r="S4" s="42">
        <f>'STOCK 22-28-06'!S26</f>
        <v>0</v>
      </c>
      <c r="T4" s="42">
        <f>'STOCK 22-28-06'!T26</f>
        <v>1765</v>
      </c>
      <c r="U4" s="42">
        <f>'STOCK 22-28-06'!U26</f>
        <v>0</v>
      </c>
      <c r="V4" s="42">
        <f>'STOCK 22-28-06'!V26</f>
        <v>0</v>
      </c>
      <c r="W4" s="42">
        <f>'STOCK 22-28-06'!W26</f>
        <v>750</v>
      </c>
      <c r="X4" s="42">
        <f>'STOCK 22-28-06'!X26</f>
        <v>1318</v>
      </c>
      <c r="Y4" s="42">
        <f>'STOCK 22-28-06'!Y26</f>
        <v>5085</v>
      </c>
      <c r="Z4" s="42">
        <f>'STOCK 22-28-06'!Z26</f>
        <v>0</v>
      </c>
      <c r="AA4" s="42">
        <f>'STOCK 22-28-06'!AA26</f>
        <v>0</v>
      </c>
      <c r="AB4" s="42">
        <f>'STOCK 22-28-06'!AB26</f>
        <v>20</v>
      </c>
    </row>
    <row r="5" spans="1:28" x14ac:dyDescent="0.25">
      <c r="A5" s="311"/>
      <c r="B5" s="20">
        <v>45687</v>
      </c>
      <c r="C5" s="82" t="s">
        <v>28</v>
      </c>
      <c r="D5" s="27"/>
      <c r="F5" s="35"/>
      <c r="H5" s="31"/>
      <c r="I5" s="13"/>
      <c r="J5" s="35"/>
      <c r="L5" s="35"/>
      <c r="M5" s="35"/>
      <c r="N5" s="14"/>
      <c r="O5" s="27"/>
      <c r="R5">
        <v>105</v>
      </c>
      <c r="S5" s="31"/>
      <c r="T5" s="13">
        <v>31</v>
      </c>
      <c r="W5" s="31"/>
      <c r="X5" s="13"/>
      <c r="Y5" s="31"/>
      <c r="AA5" s="94"/>
      <c r="AB5" s="15"/>
    </row>
    <row r="6" spans="1:28" x14ac:dyDescent="0.25">
      <c r="A6" s="311"/>
      <c r="B6" s="20">
        <v>45839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>
        <v>3000</v>
      </c>
      <c r="Y6" s="31"/>
      <c r="AA6" s="94"/>
      <c r="AB6" s="15"/>
    </row>
    <row r="7" spans="1:28" x14ac:dyDescent="0.25">
      <c r="A7" s="311"/>
      <c r="B7" s="20">
        <v>45840</v>
      </c>
      <c r="C7" s="82" t="s">
        <v>27</v>
      </c>
      <c r="D7" s="27"/>
      <c r="F7" s="35"/>
      <c r="H7" s="31"/>
      <c r="I7" s="13"/>
      <c r="J7" s="35"/>
      <c r="L7" s="35"/>
      <c r="M7" s="35"/>
      <c r="N7" s="14">
        <v>1500</v>
      </c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45841</v>
      </c>
      <c r="C8" s="82" t="s">
        <v>46</v>
      </c>
      <c r="D8" s="27"/>
      <c r="F8" s="35"/>
      <c r="H8" s="31"/>
      <c r="I8" s="13"/>
      <c r="J8" s="35"/>
      <c r="L8" s="35">
        <v>4000</v>
      </c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45842</v>
      </c>
      <c r="C9" s="82" t="s">
        <v>46</v>
      </c>
      <c r="D9" s="27"/>
      <c r="F9" s="35"/>
      <c r="H9" s="31"/>
      <c r="I9" s="13"/>
      <c r="J9" s="35"/>
      <c r="L9" s="35">
        <v>500</v>
      </c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45843</v>
      </c>
      <c r="C10" s="82" t="s">
        <v>46</v>
      </c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>
        <v>1000</v>
      </c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/>
      <c r="C15" s="14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45838</v>
      </c>
      <c r="C16" s="14" t="s">
        <v>22</v>
      </c>
      <c r="D16" s="27">
        <f>1000+100</f>
        <v>1100</v>
      </c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>
        <v>90</v>
      </c>
      <c r="Y16" s="31"/>
      <c r="AA16" s="94"/>
      <c r="AB16" s="15"/>
    </row>
    <row r="17" spans="1:28" x14ac:dyDescent="0.25">
      <c r="A17" s="311"/>
      <c r="B17" s="20">
        <v>45839</v>
      </c>
      <c r="C17" s="14" t="s">
        <v>22</v>
      </c>
      <c r="D17" s="27">
        <v>150</v>
      </c>
      <c r="F17" s="35"/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/>
      <c r="Y17" s="31">
        <v>1000</v>
      </c>
      <c r="AA17" s="94"/>
      <c r="AB17" s="15"/>
    </row>
    <row r="18" spans="1:28" x14ac:dyDescent="0.25">
      <c r="A18" s="311"/>
      <c r="B18" s="20">
        <v>45840</v>
      </c>
      <c r="C18" s="14" t="s">
        <v>22</v>
      </c>
      <c r="D18" s="27"/>
      <c r="F18" s="35"/>
      <c r="H18" s="31"/>
      <c r="I18" s="13"/>
      <c r="J18" s="35"/>
      <c r="K18">
        <v>120</v>
      </c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45841</v>
      </c>
      <c r="C19" s="14" t="s">
        <v>22</v>
      </c>
      <c r="D19" s="27"/>
      <c r="F19" s="35"/>
      <c r="H19" s="31"/>
      <c r="I19" s="13"/>
      <c r="J19" s="35"/>
      <c r="L19" s="35"/>
      <c r="M19" s="35">
        <v>1000</v>
      </c>
      <c r="N19" s="14">
        <v>3500</v>
      </c>
      <c r="O19" s="27"/>
      <c r="R19">
        <v>175</v>
      </c>
      <c r="S19" s="31"/>
      <c r="T19" s="13">
        <v>800</v>
      </c>
      <c r="W19" s="31"/>
      <c r="X19" s="13"/>
      <c r="Y19" s="31"/>
      <c r="AA19" s="94"/>
      <c r="AB19" s="15"/>
    </row>
    <row r="20" spans="1:28" x14ac:dyDescent="0.25">
      <c r="A20" s="311"/>
      <c r="B20" s="20">
        <v>45842</v>
      </c>
      <c r="C20" s="14" t="s">
        <v>22</v>
      </c>
      <c r="D20" s="27">
        <v>500</v>
      </c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>
        <v>800</v>
      </c>
      <c r="Y20" s="31">
        <v>1400</v>
      </c>
      <c r="AA20" s="94"/>
      <c r="AB20" s="15"/>
    </row>
    <row r="21" spans="1:28" x14ac:dyDescent="0.25">
      <c r="A21" s="311"/>
      <c r="B21" s="20">
        <v>45843</v>
      </c>
      <c r="C21" s="14" t="s">
        <v>22</v>
      </c>
      <c r="D21" s="27">
        <v>1500</v>
      </c>
      <c r="F21" s="35"/>
      <c r="H21" s="31"/>
      <c r="I21" s="13"/>
      <c r="J21" s="35"/>
      <c r="K21">
        <v>35</v>
      </c>
      <c r="L21" s="35"/>
      <c r="M21" s="35"/>
      <c r="N21" s="14"/>
      <c r="O21" s="27"/>
      <c r="S21" s="31"/>
      <c r="T21" s="13"/>
      <c r="W21" s="31"/>
      <c r="X21" s="13"/>
      <c r="Y21" s="31">
        <v>300</v>
      </c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SUM(D4:D14)-SUM(D15:D25)</f>
        <v>15044</v>
      </c>
      <c r="E26" s="22">
        <f t="shared" si="0"/>
        <v>2000</v>
      </c>
      <c r="F26" s="37">
        <f t="shared" si="0"/>
        <v>1600</v>
      </c>
      <c r="G26" s="24">
        <f t="shared" si="0"/>
        <v>0</v>
      </c>
      <c r="H26" s="33">
        <f t="shared" si="0"/>
        <v>160</v>
      </c>
      <c r="I26" s="22">
        <f t="shared" si="0"/>
        <v>0</v>
      </c>
      <c r="J26" s="37">
        <f t="shared" si="0"/>
        <v>0</v>
      </c>
      <c r="K26" s="24">
        <f t="shared" si="0"/>
        <v>2345</v>
      </c>
      <c r="L26" s="37">
        <f t="shared" si="0"/>
        <v>4500</v>
      </c>
      <c r="M26" s="37">
        <f t="shared" si="0"/>
        <v>7451</v>
      </c>
      <c r="N26" s="23">
        <f t="shared" si="0"/>
        <v>2260</v>
      </c>
      <c r="O26" s="29">
        <f t="shared" si="0"/>
        <v>0</v>
      </c>
      <c r="P26" s="29">
        <f t="shared" si="0"/>
        <v>232</v>
      </c>
      <c r="Q26" s="29">
        <f t="shared" si="0"/>
        <v>0</v>
      </c>
      <c r="R26" s="24">
        <f t="shared" si="0"/>
        <v>2556</v>
      </c>
      <c r="S26" s="33">
        <f t="shared" si="0"/>
        <v>0</v>
      </c>
      <c r="T26" s="22">
        <f t="shared" si="0"/>
        <v>1996</v>
      </c>
      <c r="U26" s="22">
        <f t="shared" si="0"/>
        <v>0</v>
      </c>
      <c r="V26" s="22">
        <f t="shared" si="0"/>
        <v>0</v>
      </c>
      <c r="W26" s="33">
        <f t="shared" si="0"/>
        <v>750</v>
      </c>
      <c r="X26" s="22">
        <f t="shared" si="0"/>
        <v>3428</v>
      </c>
      <c r="Y26" s="33">
        <f t="shared" si="0"/>
        <v>2385</v>
      </c>
      <c r="Z26" s="22">
        <f t="shared" si="0"/>
        <v>0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D26*0.4</f>
        <v>6017.6</v>
      </c>
      <c r="E28">
        <f>+E26*0.41</f>
        <v>820</v>
      </c>
      <c r="F28">
        <f>+F26*0.47</f>
        <v>752</v>
      </c>
      <c r="G28">
        <f>+G26*0.38</f>
        <v>0</v>
      </c>
      <c r="H28">
        <f>+H26*0.4</f>
        <v>64</v>
      </c>
      <c r="I28">
        <f>+I26*0.58</f>
        <v>0</v>
      </c>
      <c r="J28">
        <f>+J26*0.54</f>
        <v>0</v>
      </c>
      <c r="K28" s="50">
        <f>+K26*0.87</f>
        <v>2040.15</v>
      </c>
      <c r="L28">
        <f>+L26*0.69</f>
        <v>3104.9999999999995</v>
      </c>
      <c r="M28">
        <f>+M26*0.72</f>
        <v>5364.72</v>
      </c>
      <c r="N28">
        <f>+N26*0.6</f>
        <v>1356</v>
      </c>
      <c r="O28">
        <f>+O26*2.04</f>
        <v>0</v>
      </c>
      <c r="P28">
        <f>+P26*1.575</f>
        <v>365.4</v>
      </c>
      <c r="Q28">
        <f>Q26*1.8</f>
        <v>0</v>
      </c>
      <c r="R28">
        <f>+R26*1.8</f>
        <v>4600.8</v>
      </c>
      <c r="S28">
        <f>+S26*1.57</f>
        <v>0</v>
      </c>
      <c r="T28">
        <f>+T26*1.9</f>
        <v>3792.3999999999996</v>
      </c>
      <c r="U28">
        <f>+U26*1.85</f>
        <v>0</v>
      </c>
      <c r="V28">
        <f>+V26*2.18</f>
        <v>0</v>
      </c>
      <c r="W28">
        <f>+W26*2.05</f>
        <v>1537.4999999999998</v>
      </c>
      <c r="X28">
        <f>+X26*0.42+(428*0.02)</f>
        <v>1448.32</v>
      </c>
      <c r="Y28">
        <f>+Y26*0.34</f>
        <v>810.90000000000009</v>
      </c>
      <c r="Z28" s="50">
        <f>+Z26*1.9</f>
        <v>0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32109.79</v>
      </c>
    </row>
    <row r="31" spans="1:28" x14ac:dyDescent="0.25">
      <c r="D31">
        <f>1344*0.41</f>
        <v>551.04</v>
      </c>
    </row>
    <row r="32" spans="1:28" x14ac:dyDescent="0.25">
      <c r="D32">
        <f>156*0.4</f>
        <v>62.400000000000006</v>
      </c>
    </row>
    <row r="33" spans="4:28" x14ac:dyDescent="0.25">
      <c r="D33">
        <f>+D31+D32</f>
        <v>613.43999999999994</v>
      </c>
      <c r="N33">
        <f>860*2</f>
        <v>1720</v>
      </c>
    </row>
    <row r="34" spans="4:28" x14ac:dyDescent="0.25">
      <c r="D34">
        <f>+D33/1500</f>
        <v>0.40895999999999993</v>
      </c>
      <c r="AB34" s="84"/>
    </row>
    <row r="36" spans="4:28" x14ac:dyDescent="0.25">
      <c r="K36">
        <f>500*32.1</f>
        <v>16050</v>
      </c>
    </row>
    <row r="37" spans="4:28" x14ac:dyDescent="0.25">
      <c r="K37">
        <f>500*30.1</f>
        <v>15050</v>
      </c>
      <c r="L37">
        <f>+K36+K37</f>
        <v>31100</v>
      </c>
      <c r="N37">
        <f>+L37*0.03</f>
        <v>933</v>
      </c>
      <c r="P37">
        <f>+L37*0.015</f>
        <v>466.5</v>
      </c>
    </row>
    <row r="38" spans="4:28" x14ac:dyDescent="0.25">
      <c r="K38">
        <f>1000*0.4</f>
        <v>400</v>
      </c>
      <c r="L38">
        <f>+L37-K38</f>
        <v>30700</v>
      </c>
      <c r="N38">
        <f>+N37-400</f>
        <v>533</v>
      </c>
    </row>
  </sheetData>
  <mergeCells count="7">
    <mergeCell ref="X2:Y2"/>
    <mergeCell ref="A4:A14"/>
    <mergeCell ref="A15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DC36-6910-4E9A-80BE-A975A5337449}">
  <dimension ref="A1:AB3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26" sqref="M26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8.42578125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29-05-07'!D26</f>
        <v>15044</v>
      </c>
      <c r="E4" s="42">
        <f>'STOCK 29-05-07'!E26</f>
        <v>2000</v>
      </c>
      <c r="F4" s="42">
        <f>'STOCK 29-05-07'!F26</f>
        <v>1600</v>
      </c>
      <c r="G4" s="42">
        <f>'STOCK 29-05-07'!G26</f>
        <v>0</v>
      </c>
      <c r="H4" s="42">
        <f>'STOCK 29-05-07'!H26</f>
        <v>160</v>
      </c>
      <c r="I4" s="42">
        <f>'STOCK 29-05-07'!I26</f>
        <v>0</v>
      </c>
      <c r="J4" s="42">
        <f>'STOCK 29-05-07'!J26</f>
        <v>0</v>
      </c>
      <c r="K4" s="42">
        <f>'STOCK 29-05-07'!K26</f>
        <v>2345</v>
      </c>
      <c r="L4" s="42">
        <f>'STOCK 29-05-07'!L26</f>
        <v>4500</v>
      </c>
      <c r="M4" s="42">
        <f>'STOCK 29-05-07'!M26</f>
        <v>7451</v>
      </c>
      <c r="N4" s="42">
        <f>'STOCK 29-05-07'!N26</f>
        <v>2260</v>
      </c>
      <c r="O4" s="42">
        <f>'STOCK 29-05-07'!O26</f>
        <v>0</v>
      </c>
      <c r="P4" s="42">
        <f>'STOCK 29-05-07'!P26</f>
        <v>232</v>
      </c>
      <c r="Q4" s="42">
        <f>'STOCK 29-05-07'!Q26</f>
        <v>0</v>
      </c>
      <c r="R4" s="42">
        <f>'STOCK 29-05-07'!R26</f>
        <v>2556</v>
      </c>
      <c r="S4" s="42">
        <f>'STOCK 29-05-07'!S26</f>
        <v>0</v>
      </c>
      <c r="T4" s="42">
        <f>'STOCK 29-05-07'!T26</f>
        <v>1996</v>
      </c>
      <c r="U4" s="42">
        <f>'STOCK 29-05-07'!U26</f>
        <v>0</v>
      </c>
      <c r="V4" s="42">
        <f>'STOCK 29-05-07'!V26</f>
        <v>0</v>
      </c>
      <c r="W4" s="42">
        <f>'STOCK 29-05-07'!W26</f>
        <v>750</v>
      </c>
      <c r="X4" s="42">
        <f>'STOCK 29-05-07'!X26</f>
        <v>3428</v>
      </c>
      <c r="Y4" s="42">
        <f>'STOCK 29-05-07'!Y26</f>
        <v>2385</v>
      </c>
      <c r="Z4" s="42">
        <f>'STOCK 29-05-07'!Z26</f>
        <v>0</v>
      </c>
      <c r="AA4" s="42">
        <f>'STOCK 29-05-07'!AA26</f>
        <v>0</v>
      </c>
      <c r="AB4" s="42">
        <f>'STOCK 29-05-07'!AB26</f>
        <v>20</v>
      </c>
    </row>
    <row r="5" spans="1:28" x14ac:dyDescent="0.25">
      <c r="A5" s="311"/>
      <c r="B5" s="20">
        <v>45845</v>
      </c>
      <c r="C5" s="82" t="s">
        <v>46</v>
      </c>
      <c r="D5" s="27">
        <v>6000</v>
      </c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45846</v>
      </c>
      <c r="C6" s="82" t="s">
        <v>46</v>
      </c>
      <c r="D6" s="27"/>
      <c r="F6" s="35"/>
      <c r="H6" s="31"/>
      <c r="I6" s="13"/>
      <c r="J6" s="35"/>
      <c r="L6" s="35"/>
      <c r="M6" s="35"/>
      <c r="N6" s="14">
        <v>4000</v>
      </c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45850</v>
      </c>
      <c r="C7" s="82"/>
      <c r="D7" s="27"/>
      <c r="F7" s="35"/>
      <c r="H7" s="31"/>
      <c r="I7" s="13"/>
      <c r="J7" s="35"/>
      <c r="L7" s="35"/>
      <c r="M7" s="35"/>
      <c r="N7" s="14">
        <v>3500</v>
      </c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/>
      <c r="C15" s="14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45845</v>
      </c>
      <c r="C16" s="14" t="s">
        <v>22</v>
      </c>
      <c r="D16" s="27"/>
      <c r="F16" s="35"/>
      <c r="H16" s="31"/>
      <c r="I16" s="13"/>
      <c r="J16" s="35"/>
      <c r="L16" s="35"/>
      <c r="M16" s="35">
        <v>2000</v>
      </c>
      <c r="N16" s="14">
        <v>2000</v>
      </c>
      <c r="O16" s="27"/>
      <c r="S16" s="31"/>
      <c r="T16" s="13"/>
      <c r="W16" s="31"/>
      <c r="X16" s="13"/>
      <c r="Y16" s="31">
        <v>100</v>
      </c>
      <c r="AA16" s="94"/>
      <c r="AB16" s="15"/>
    </row>
    <row r="17" spans="1:28" x14ac:dyDescent="0.25">
      <c r="A17" s="311"/>
      <c r="B17" s="20">
        <v>45846</v>
      </c>
      <c r="C17" s="14" t="s">
        <v>22</v>
      </c>
      <c r="D17" s="27">
        <v>1500</v>
      </c>
      <c r="E17">
        <v>500</v>
      </c>
      <c r="F17" s="35"/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>
        <v>150</v>
      </c>
      <c r="Y17" s="31"/>
      <c r="AA17" s="94"/>
      <c r="AB17" s="15"/>
    </row>
    <row r="18" spans="1:28" x14ac:dyDescent="0.25">
      <c r="A18" s="311"/>
      <c r="B18" s="20">
        <v>45847</v>
      </c>
      <c r="C18" s="14" t="s">
        <v>22</v>
      </c>
      <c r="D18" s="27"/>
      <c r="F18" s="35"/>
      <c r="H18" s="31"/>
      <c r="I18" s="13"/>
      <c r="J18" s="35"/>
      <c r="L18" s="35"/>
      <c r="M18" s="35"/>
      <c r="N18" s="14"/>
      <c r="O18" s="27"/>
      <c r="S18" s="31"/>
      <c r="T18" s="13">
        <v>220</v>
      </c>
      <c r="W18" s="31"/>
      <c r="X18" s="13"/>
      <c r="Y18" s="31"/>
      <c r="AA18" s="94"/>
      <c r="AB18" s="15"/>
    </row>
    <row r="19" spans="1:28" x14ac:dyDescent="0.25">
      <c r="A19" s="311"/>
      <c r="B19" s="20">
        <v>45848</v>
      </c>
      <c r="C19" s="14" t="s">
        <v>22</v>
      </c>
      <c r="D19" s="27"/>
      <c r="F19" s="35"/>
      <c r="H19" s="31"/>
      <c r="I19" s="13"/>
      <c r="J19" s="35"/>
      <c r="L19" s="35"/>
      <c r="M19" s="35"/>
      <c r="N19" s="14">
        <v>2000</v>
      </c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45849</v>
      </c>
      <c r="C20" s="14" t="s">
        <v>22</v>
      </c>
      <c r="D20" s="27">
        <f>700+2000</f>
        <v>2700</v>
      </c>
      <c r="F20" s="35"/>
      <c r="H20" s="31"/>
      <c r="I20" s="13"/>
      <c r="J20" s="35"/>
      <c r="L20" s="35"/>
      <c r="M20" s="35"/>
      <c r="N20" s="14">
        <v>1000</v>
      </c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45850</v>
      </c>
      <c r="C21" s="14" t="s">
        <v>22</v>
      </c>
      <c r="D21" s="27">
        <f>50+1000</f>
        <v>1050</v>
      </c>
      <c r="F21" s="35"/>
      <c r="H21" s="31"/>
      <c r="I21" s="13"/>
      <c r="J21" s="35"/>
      <c r="L21" s="35"/>
      <c r="M21" s="35"/>
      <c r="N21" s="14">
        <v>50</v>
      </c>
      <c r="O21" s="27"/>
      <c r="S21" s="31"/>
      <c r="T21" s="13"/>
      <c r="W21" s="31"/>
      <c r="X21" s="13"/>
      <c r="Y21" s="31">
        <v>100</v>
      </c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>
        <v>45846</v>
      </c>
      <c r="C23" s="14" t="s">
        <v>38</v>
      </c>
      <c r="D23" s="27"/>
      <c r="F23" s="35"/>
      <c r="H23" s="31"/>
      <c r="I23" s="13"/>
      <c r="J23" s="35"/>
      <c r="K23">
        <v>1000</v>
      </c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SUM(D4:D14)-SUM(D15:D25)</f>
        <v>15794</v>
      </c>
      <c r="E26" s="22">
        <f t="shared" si="0"/>
        <v>1500</v>
      </c>
      <c r="F26" s="37">
        <f t="shared" si="0"/>
        <v>1600</v>
      </c>
      <c r="G26" s="24">
        <f t="shared" si="0"/>
        <v>0</v>
      </c>
      <c r="H26" s="33">
        <f t="shared" si="0"/>
        <v>160</v>
      </c>
      <c r="I26" s="22">
        <f t="shared" si="0"/>
        <v>0</v>
      </c>
      <c r="J26" s="37">
        <f t="shared" si="0"/>
        <v>0</v>
      </c>
      <c r="K26" s="24">
        <f t="shared" si="0"/>
        <v>1345</v>
      </c>
      <c r="L26" s="37">
        <f t="shared" si="0"/>
        <v>4500</v>
      </c>
      <c r="M26" s="37">
        <f t="shared" si="0"/>
        <v>5451</v>
      </c>
      <c r="N26" s="23">
        <f t="shared" si="0"/>
        <v>4710</v>
      </c>
      <c r="O26" s="29">
        <f t="shared" si="0"/>
        <v>0</v>
      </c>
      <c r="P26" s="29">
        <f t="shared" si="0"/>
        <v>232</v>
      </c>
      <c r="Q26" s="29">
        <f t="shared" si="0"/>
        <v>0</v>
      </c>
      <c r="R26" s="24">
        <f t="shared" si="0"/>
        <v>2556</v>
      </c>
      <c r="S26" s="33">
        <f t="shared" si="0"/>
        <v>0</v>
      </c>
      <c r="T26" s="22">
        <f t="shared" si="0"/>
        <v>1776</v>
      </c>
      <c r="U26" s="22">
        <f t="shared" si="0"/>
        <v>0</v>
      </c>
      <c r="V26" s="22">
        <f t="shared" si="0"/>
        <v>0</v>
      </c>
      <c r="W26" s="33">
        <f t="shared" si="0"/>
        <v>750</v>
      </c>
      <c r="X26" s="22">
        <f t="shared" si="0"/>
        <v>3278</v>
      </c>
      <c r="Y26" s="33">
        <f t="shared" si="0"/>
        <v>2185</v>
      </c>
      <c r="Z26" s="22">
        <f t="shared" si="0"/>
        <v>0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D26*0.4</f>
        <v>6317.6</v>
      </c>
      <c r="E28">
        <f>+E26*0.41</f>
        <v>615</v>
      </c>
      <c r="F28">
        <f>+F26*0.47</f>
        <v>752</v>
      </c>
      <c r="G28">
        <f>+G26*0.38</f>
        <v>0</v>
      </c>
      <c r="H28">
        <f>+H26*0.4</f>
        <v>64</v>
      </c>
      <c r="I28">
        <f>+I26*0.58</f>
        <v>0</v>
      </c>
      <c r="J28">
        <f>+J26*0.54</f>
        <v>0</v>
      </c>
      <c r="K28" s="50">
        <f>+K26*0.87</f>
        <v>1170.1500000000001</v>
      </c>
      <c r="L28">
        <f>+L26*0.69</f>
        <v>3104.9999999999995</v>
      </c>
      <c r="M28">
        <f>+M26*0.72</f>
        <v>3924.72</v>
      </c>
      <c r="N28">
        <f>+N26*0.6</f>
        <v>2826</v>
      </c>
      <c r="O28">
        <f>+O26*2.04</f>
        <v>0</v>
      </c>
      <c r="P28">
        <f>+P26*1.575</f>
        <v>365.4</v>
      </c>
      <c r="Q28">
        <f>Q26*1.8</f>
        <v>0</v>
      </c>
      <c r="R28">
        <f>+R26*1.8</f>
        <v>4600.8</v>
      </c>
      <c r="S28">
        <f>+S26*1.57</f>
        <v>0</v>
      </c>
      <c r="T28">
        <f>+T26*1.9</f>
        <v>3374.3999999999996</v>
      </c>
      <c r="U28">
        <f>+U26*1.85</f>
        <v>0</v>
      </c>
      <c r="V28">
        <f>+V26*2.18</f>
        <v>0</v>
      </c>
      <c r="W28">
        <f>+W26*2.05</f>
        <v>1537.4999999999998</v>
      </c>
      <c r="X28">
        <f>+X26*0.42+(278*0.02)</f>
        <v>1382.32</v>
      </c>
      <c r="Y28">
        <f>+Y26*0.34</f>
        <v>742.90000000000009</v>
      </c>
      <c r="Z28" s="50">
        <f>+Z26*1.9</f>
        <v>0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30812.79</v>
      </c>
    </row>
    <row r="31" spans="1:28" x14ac:dyDescent="0.25">
      <c r="D31">
        <f>1344*0.41</f>
        <v>551.04</v>
      </c>
    </row>
    <row r="32" spans="1:28" x14ac:dyDescent="0.25">
      <c r="D32">
        <f>156*0.4</f>
        <v>62.400000000000006</v>
      </c>
    </row>
    <row r="33" spans="4:28" x14ac:dyDescent="0.25">
      <c r="D33">
        <f>+D31+D32</f>
        <v>613.43999999999994</v>
      </c>
      <c r="N33">
        <f>860*2</f>
        <v>1720</v>
      </c>
    </row>
    <row r="34" spans="4:28" x14ac:dyDescent="0.25">
      <c r="D34">
        <f>+D33/1500</f>
        <v>0.40895999999999993</v>
      </c>
      <c r="AB34" s="84"/>
    </row>
    <row r="36" spans="4:28" x14ac:dyDescent="0.25">
      <c r="K36">
        <f>500*32.1</f>
        <v>16050</v>
      </c>
    </row>
    <row r="37" spans="4:28" x14ac:dyDescent="0.25">
      <c r="K37">
        <f>500*30.1</f>
        <v>15050</v>
      </c>
      <c r="L37">
        <f>+K36+K37</f>
        <v>31100</v>
      </c>
      <c r="N37">
        <f>+L37*0.03</f>
        <v>933</v>
      </c>
      <c r="P37">
        <f>+L37*0.015</f>
        <v>466.5</v>
      </c>
    </row>
    <row r="38" spans="4:28" x14ac:dyDescent="0.25">
      <c r="K38">
        <f>1000*0.4</f>
        <v>400</v>
      </c>
      <c r="L38">
        <f>+L37-K38</f>
        <v>30700</v>
      </c>
      <c r="N38">
        <f>+N37-400</f>
        <v>533</v>
      </c>
    </row>
  </sheetData>
  <mergeCells count="7">
    <mergeCell ref="X2:Y2"/>
    <mergeCell ref="A4:A14"/>
    <mergeCell ref="A15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4018-448A-4A65-8163-6A08F8FE6D9D}">
  <dimension ref="A1:AB38"/>
  <sheetViews>
    <sheetView zoomScale="60" zoomScaleNormal="6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X29" sqref="X29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06-12-07 '!D26</f>
        <v>15794</v>
      </c>
      <c r="E4" s="42">
        <f>'STOCK 06-12-07 '!E26</f>
        <v>1500</v>
      </c>
      <c r="F4" s="42">
        <f>'STOCK 06-12-07 '!F26</f>
        <v>1600</v>
      </c>
      <c r="G4" s="42">
        <f>'STOCK 06-12-07 '!G26</f>
        <v>0</v>
      </c>
      <c r="H4" s="42">
        <f>'STOCK 06-12-07 '!H26</f>
        <v>160</v>
      </c>
      <c r="I4" s="42">
        <f>'STOCK 06-12-07 '!I26</f>
        <v>0</v>
      </c>
      <c r="J4" s="42">
        <f>'STOCK 06-12-07 '!J26</f>
        <v>0</v>
      </c>
      <c r="K4" s="42">
        <f>'STOCK 06-12-07 '!K26</f>
        <v>1345</v>
      </c>
      <c r="L4" s="42">
        <f>'STOCK 06-12-07 '!L26</f>
        <v>4500</v>
      </c>
      <c r="M4" s="42">
        <f>'STOCK 06-12-07 '!M26</f>
        <v>5451</v>
      </c>
      <c r="N4" s="42">
        <f>'STOCK 06-12-07 '!N26</f>
        <v>4710</v>
      </c>
      <c r="O4" s="42">
        <f>'STOCK 06-12-07 '!O26</f>
        <v>0</v>
      </c>
      <c r="P4" s="42">
        <f>'STOCK 06-12-07 '!P26</f>
        <v>232</v>
      </c>
      <c r="Q4" s="42">
        <f>'STOCK 06-12-07 '!Q26</f>
        <v>0</v>
      </c>
      <c r="R4" s="42">
        <f>'STOCK 06-12-07 '!R26</f>
        <v>2556</v>
      </c>
      <c r="S4" s="42">
        <f>'STOCK 06-12-07 '!S26</f>
        <v>0</v>
      </c>
      <c r="T4" s="42">
        <f>'STOCK 06-12-07 '!T26</f>
        <v>1776</v>
      </c>
      <c r="U4" s="42">
        <f>'STOCK 06-12-07 '!U26</f>
        <v>0</v>
      </c>
      <c r="V4" s="42">
        <f>'STOCK 06-12-07 '!V26</f>
        <v>0</v>
      </c>
      <c r="W4" s="42">
        <f>'STOCK 06-12-07 '!W26</f>
        <v>750</v>
      </c>
      <c r="X4" s="42">
        <f>'STOCK 06-12-07 '!X26</f>
        <v>3278</v>
      </c>
      <c r="Y4" s="42">
        <f>'STOCK 06-12-07 '!Y26</f>
        <v>2185</v>
      </c>
      <c r="Z4" s="42">
        <f>'STOCK 06-12-07 '!Z26</f>
        <v>0</v>
      </c>
      <c r="AA4" s="42">
        <f>'STOCK 06-12-07 '!AA26</f>
        <v>0</v>
      </c>
      <c r="AB4" s="42">
        <f>'STOCK 06-12-07 '!AB26</f>
        <v>20</v>
      </c>
    </row>
    <row r="5" spans="1:28" x14ac:dyDescent="0.25">
      <c r="A5" s="311"/>
      <c r="B5" s="20">
        <v>45852</v>
      </c>
      <c r="C5" s="82" t="s">
        <v>46</v>
      </c>
      <c r="D5" s="27">
        <v>2000</v>
      </c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45852</v>
      </c>
      <c r="C6" s="82" t="s">
        <v>27</v>
      </c>
      <c r="D6" s="27"/>
      <c r="F6" s="35"/>
      <c r="H6" s="31"/>
      <c r="I6" s="13"/>
      <c r="J6" s="35"/>
      <c r="L6" s="35"/>
      <c r="M6" s="35"/>
      <c r="N6" s="14">
        <v>3500</v>
      </c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45853</v>
      </c>
      <c r="C7" s="82" t="s">
        <v>88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>
        <v>1000</v>
      </c>
      <c r="Y7" s="31"/>
      <c r="AA7" s="94"/>
      <c r="AB7" s="15"/>
    </row>
    <row r="8" spans="1:28" x14ac:dyDescent="0.25">
      <c r="A8" s="311"/>
      <c r="B8" s="20">
        <v>45854</v>
      </c>
      <c r="C8" s="82" t="s">
        <v>27</v>
      </c>
      <c r="D8" s="27"/>
      <c r="F8" s="35"/>
      <c r="H8" s="31"/>
      <c r="I8" s="13"/>
      <c r="J8" s="35"/>
      <c r="L8" s="35"/>
      <c r="M8" s="35"/>
      <c r="N8" s="14">
        <v>3500</v>
      </c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45854</v>
      </c>
      <c r="C9" s="82" t="s">
        <v>46</v>
      </c>
      <c r="D9" s="27">
        <v>6000</v>
      </c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45855</v>
      </c>
      <c r="C10" s="82" t="s">
        <v>46</v>
      </c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>
        <v>3500</v>
      </c>
      <c r="Y10" s="31"/>
      <c r="AA10" s="94"/>
      <c r="AB10" s="15"/>
    </row>
    <row r="11" spans="1:28" x14ac:dyDescent="0.25">
      <c r="A11" s="311"/>
      <c r="B11" s="20">
        <v>45856</v>
      </c>
      <c r="C11" s="82" t="s">
        <v>46</v>
      </c>
      <c r="D11" s="27"/>
      <c r="F11" s="35"/>
      <c r="H11" s="31"/>
      <c r="I11" s="13"/>
      <c r="J11" s="35"/>
      <c r="L11" s="35"/>
      <c r="M11" s="35"/>
      <c r="N11" s="14">
        <v>4000</v>
      </c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ht="15.75" thickBot="1" x14ac:dyDescent="0.3">
      <c r="A15" s="312"/>
      <c r="B15" s="72"/>
      <c r="C15" s="17"/>
      <c r="D15" s="28"/>
      <c r="E15" s="18"/>
      <c r="F15" s="36"/>
      <c r="G15" s="18"/>
      <c r="H15" s="32"/>
      <c r="I15" s="16"/>
      <c r="J15" s="36"/>
      <c r="K15" s="18"/>
      <c r="L15" s="36"/>
      <c r="M15" s="36"/>
      <c r="N15" s="17"/>
      <c r="O15" s="28"/>
      <c r="P15" s="18"/>
      <c r="Q15" s="18"/>
      <c r="R15" s="18"/>
      <c r="S15" s="32"/>
      <c r="T15" s="16"/>
      <c r="U15" s="18"/>
      <c r="V15" s="18"/>
      <c r="W15" s="32"/>
      <c r="X15" s="16"/>
      <c r="Y15" s="32"/>
      <c r="Z15" s="18"/>
      <c r="AA15" s="95"/>
      <c r="AB15" s="19"/>
    </row>
    <row r="16" spans="1:28" x14ac:dyDescent="0.25">
      <c r="A16" s="310" t="s">
        <v>62</v>
      </c>
      <c r="B16" s="20"/>
      <c r="C16" s="14"/>
      <c r="D16" s="27"/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45852</v>
      </c>
      <c r="C17" s="14" t="s">
        <v>22</v>
      </c>
      <c r="D17" s="27"/>
      <c r="F17" s="35"/>
      <c r="H17" s="31"/>
      <c r="I17" s="13"/>
      <c r="J17" s="35"/>
      <c r="L17" s="35"/>
      <c r="M17" s="35"/>
      <c r="N17" s="100">
        <v>1000</v>
      </c>
      <c r="O17" s="27"/>
      <c r="S17" s="31"/>
      <c r="T17" s="13"/>
      <c r="W17" s="31"/>
      <c r="X17" s="13"/>
      <c r="Y17" s="31">
        <f>1000</f>
        <v>1000</v>
      </c>
      <c r="AA17" s="94"/>
      <c r="AB17" s="15"/>
    </row>
    <row r="18" spans="1:28" x14ac:dyDescent="0.25">
      <c r="A18" s="311"/>
      <c r="B18" s="20">
        <v>45854</v>
      </c>
      <c r="C18" s="14" t="s">
        <v>22</v>
      </c>
      <c r="D18" s="27">
        <v>350</v>
      </c>
      <c r="F18" s="35"/>
      <c r="H18" s="31"/>
      <c r="I18" s="13"/>
      <c r="J18" s="35"/>
      <c r="L18" s="35"/>
      <c r="M18" s="35">
        <v>1500</v>
      </c>
      <c r="N18" s="14">
        <v>50</v>
      </c>
      <c r="O18" s="27"/>
      <c r="R18">
        <v>280</v>
      </c>
      <c r="S18" s="31"/>
      <c r="T18" s="13"/>
      <c r="W18" s="31"/>
      <c r="X18" s="13">
        <v>35</v>
      </c>
      <c r="Y18" s="31">
        <v>23</v>
      </c>
      <c r="AA18" s="94"/>
      <c r="AB18" s="15"/>
    </row>
    <row r="19" spans="1:28" x14ac:dyDescent="0.25">
      <c r="A19" s="311"/>
      <c r="B19" s="20">
        <v>45856</v>
      </c>
      <c r="C19" s="14" t="s">
        <v>22</v>
      </c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/>
      <c r="Y19" s="31">
        <v>500</v>
      </c>
      <c r="AA19" s="94"/>
      <c r="AB19" s="15"/>
    </row>
    <row r="20" spans="1:28" x14ac:dyDescent="0.25">
      <c r="A20" s="311"/>
      <c r="B20" s="20">
        <v>45857</v>
      </c>
      <c r="C20" s="14" t="s">
        <v>22</v>
      </c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>
        <v>500</v>
      </c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15.75" thickBot="1" x14ac:dyDescent="0.3">
      <c r="A26" s="312"/>
      <c r="B26" s="13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94"/>
      <c r="AB26" s="15"/>
    </row>
    <row r="27" spans="1:28" ht="21.75" thickBot="1" x14ac:dyDescent="0.3">
      <c r="A27" s="21" t="s">
        <v>23</v>
      </c>
      <c r="B27" s="22"/>
      <c r="C27" s="23"/>
      <c r="D27" s="29">
        <f>SUM(D4:D15)-SUM(D16:D26)</f>
        <v>23444</v>
      </c>
      <c r="E27" s="22">
        <f t="shared" ref="E27:AB27" si="0">SUM(E4:E15)-SUM(E16:E26)</f>
        <v>1500</v>
      </c>
      <c r="F27" s="37">
        <f t="shared" si="0"/>
        <v>1600</v>
      </c>
      <c r="G27" s="24">
        <f t="shared" si="0"/>
        <v>0</v>
      </c>
      <c r="H27" s="33">
        <f t="shared" si="0"/>
        <v>160</v>
      </c>
      <c r="I27" s="22">
        <f t="shared" si="0"/>
        <v>0</v>
      </c>
      <c r="J27" s="37">
        <f t="shared" si="0"/>
        <v>0</v>
      </c>
      <c r="K27" s="24">
        <f t="shared" si="0"/>
        <v>1345</v>
      </c>
      <c r="L27" s="37">
        <f t="shared" si="0"/>
        <v>4500</v>
      </c>
      <c r="M27" s="37">
        <f t="shared" si="0"/>
        <v>3951</v>
      </c>
      <c r="N27" s="23">
        <f t="shared" si="0"/>
        <v>14660</v>
      </c>
      <c r="O27" s="29">
        <f t="shared" si="0"/>
        <v>0</v>
      </c>
      <c r="P27" s="29">
        <f t="shared" si="0"/>
        <v>232</v>
      </c>
      <c r="Q27" s="29">
        <f t="shared" si="0"/>
        <v>0</v>
      </c>
      <c r="R27" s="24">
        <f t="shared" si="0"/>
        <v>2276</v>
      </c>
      <c r="S27" s="33">
        <f t="shared" si="0"/>
        <v>0</v>
      </c>
      <c r="T27" s="22">
        <f t="shared" si="0"/>
        <v>1776</v>
      </c>
      <c r="U27" s="22">
        <f t="shared" si="0"/>
        <v>0</v>
      </c>
      <c r="V27" s="22">
        <f t="shared" si="0"/>
        <v>0</v>
      </c>
      <c r="W27" s="33">
        <f t="shared" si="0"/>
        <v>750</v>
      </c>
      <c r="X27" s="22">
        <f t="shared" si="0"/>
        <v>7243</v>
      </c>
      <c r="Y27" s="33">
        <f t="shared" si="0"/>
        <v>662</v>
      </c>
      <c r="Z27" s="22">
        <f t="shared" si="0"/>
        <v>0</v>
      </c>
      <c r="AA27" s="96">
        <f t="shared" si="0"/>
        <v>0</v>
      </c>
      <c r="AB27" s="25">
        <f t="shared" si="0"/>
        <v>20</v>
      </c>
    </row>
    <row r="29" spans="1:28" x14ac:dyDescent="0.25">
      <c r="D29">
        <f>D27*0.4</f>
        <v>9377.6</v>
      </c>
      <c r="E29">
        <f>+E27*0.41</f>
        <v>615</v>
      </c>
      <c r="F29">
        <f>+F27*0.47</f>
        <v>752</v>
      </c>
      <c r="G29">
        <f>+G27*0.38</f>
        <v>0</v>
      </c>
      <c r="H29">
        <f>+H27*0.4</f>
        <v>64</v>
      </c>
      <c r="I29">
        <f>+I27*0.58</f>
        <v>0</v>
      </c>
      <c r="J29">
        <f>+J27*0.54</f>
        <v>0</v>
      </c>
      <c r="K29" s="50">
        <f>+K27*0.87</f>
        <v>1170.1500000000001</v>
      </c>
      <c r="L29">
        <f>+L27*0.69</f>
        <v>3104.9999999999995</v>
      </c>
      <c r="M29">
        <f>+M27*0.72</f>
        <v>2844.72</v>
      </c>
      <c r="N29">
        <f>+N27*0.6</f>
        <v>8796</v>
      </c>
      <c r="O29">
        <f>+O27*2.04</f>
        <v>0</v>
      </c>
      <c r="P29">
        <f>+P27*1.575</f>
        <v>365.4</v>
      </c>
      <c r="Q29">
        <f>Q27*1.8</f>
        <v>0</v>
      </c>
      <c r="R29">
        <f>+R27*1.8</f>
        <v>4096.8</v>
      </c>
      <c r="S29">
        <f>+S27*1.57</f>
        <v>0</v>
      </c>
      <c r="T29">
        <f>+T27*1.9</f>
        <v>3374.3999999999996</v>
      </c>
      <c r="U29">
        <f>+U27*1.85</f>
        <v>0</v>
      </c>
      <c r="V29">
        <f>+V27*2.18</f>
        <v>0</v>
      </c>
      <c r="W29">
        <f>+W27*2.05</f>
        <v>1537.4999999999998</v>
      </c>
      <c r="X29">
        <f>+X27*0.42</f>
        <v>3042.06</v>
      </c>
      <c r="Y29">
        <f>+Y27*0.34</f>
        <v>225.08</v>
      </c>
      <c r="Z29" s="50">
        <f>+Z27*1.9</f>
        <v>0</v>
      </c>
      <c r="AA29">
        <f>+AA27*0.58</f>
        <v>0</v>
      </c>
      <c r="AB29">
        <f>+AB27*1.75</f>
        <v>35</v>
      </c>
    </row>
    <row r="30" spans="1:28" x14ac:dyDescent="0.25">
      <c r="AB30" s="39">
        <f>SUM(D29:AB29)</f>
        <v>39400.71</v>
      </c>
    </row>
    <row r="31" spans="1:28" x14ac:dyDescent="0.25">
      <c r="C31" s="39" t="s">
        <v>109</v>
      </c>
      <c r="D31" s="39">
        <v>21628</v>
      </c>
      <c r="E31" s="39">
        <v>1500</v>
      </c>
      <c r="F31" s="39">
        <v>1600</v>
      </c>
      <c r="G31" s="39"/>
      <c r="H31" s="39"/>
      <c r="I31" s="39"/>
      <c r="J31" s="39"/>
      <c r="K31" s="39">
        <v>1344</v>
      </c>
      <c r="L31" s="39">
        <v>4500</v>
      </c>
      <c r="M31" s="39">
        <v>3946</v>
      </c>
      <c r="N31" s="39">
        <v>11731</v>
      </c>
      <c r="O31" s="39"/>
      <c r="P31" s="39">
        <v>314</v>
      </c>
      <c r="Q31" s="39"/>
      <c r="R31" s="39">
        <v>2270</v>
      </c>
      <c r="S31" s="39"/>
      <c r="T31" s="39">
        <v>1770</v>
      </c>
      <c r="U31" s="39"/>
      <c r="V31" s="39"/>
      <c r="W31" s="39">
        <v>750</v>
      </c>
      <c r="X31" s="39"/>
      <c r="Y31" s="39"/>
      <c r="Z31" s="39"/>
      <c r="AA31" s="39"/>
      <c r="AB31" s="39"/>
    </row>
    <row r="33" spans="3:28" x14ac:dyDescent="0.25">
      <c r="C33" s="47" t="s">
        <v>36</v>
      </c>
      <c r="D33" s="47">
        <f>D31-D27</f>
        <v>-1816</v>
      </c>
      <c r="E33" s="47">
        <f t="shared" ref="E33:AA33" si="1">E31-E27</f>
        <v>0</v>
      </c>
      <c r="F33" s="47">
        <f t="shared" si="1"/>
        <v>0</v>
      </c>
      <c r="G33" s="47">
        <f t="shared" si="1"/>
        <v>0</v>
      </c>
      <c r="H33" s="47">
        <f t="shared" si="1"/>
        <v>-160</v>
      </c>
      <c r="I33" s="47">
        <f t="shared" si="1"/>
        <v>0</v>
      </c>
      <c r="J33" s="47">
        <f t="shared" si="1"/>
        <v>0</v>
      </c>
      <c r="K33" s="47">
        <f t="shared" si="1"/>
        <v>-1</v>
      </c>
      <c r="L33" s="47">
        <f t="shared" si="1"/>
        <v>0</v>
      </c>
      <c r="M33" s="47">
        <f t="shared" si="1"/>
        <v>-5</v>
      </c>
      <c r="N33" s="47">
        <f t="shared" si="1"/>
        <v>-2929</v>
      </c>
      <c r="O33" s="47">
        <f t="shared" si="1"/>
        <v>0</v>
      </c>
      <c r="P33" s="47">
        <f t="shared" si="1"/>
        <v>82</v>
      </c>
      <c r="Q33" s="47">
        <f t="shared" si="1"/>
        <v>0</v>
      </c>
      <c r="R33" s="47">
        <f t="shared" si="1"/>
        <v>-6</v>
      </c>
      <c r="S33" s="47">
        <f t="shared" si="1"/>
        <v>0</v>
      </c>
      <c r="T33" s="47">
        <f t="shared" si="1"/>
        <v>-6</v>
      </c>
      <c r="U33" s="47">
        <f t="shared" si="1"/>
        <v>0</v>
      </c>
      <c r="V33" s="47">
        <f t="shared" si="1"/>
        <v>0</v>
      </c>
      <c r="W33" s="47">
        <f t="shared" si="1"/>
        <v>0</v>
      </c>
      <c r="X33" s="47">
        <f t="shared" si="1"/>
        <v>-7243</v>
      </c>
      <c r="Y33" s="47">
        <f t="shared" si="1"/>
        <v>-662</v>
      </c>
      <c r="Z33" s="47">
        <f t="shared" si="1"/>
        <v>0</v>
      </c>
      <c r="AA33" s="47">
        <f t="shared" si="1"/>
        <v>0</v>
      </c>
      <c r="AB33" s="47"/>
    </row>
    <row r="35" spans="3:28" x14ac:dyDescent="0.25">
      <c r="X35">
        <f>243*0.44</f>
        <v>106.92</v>
      </c>
      <c r="AB35" s="84"/>
    </row>
    <row r="36" spans="3:28" x14ac:dyDescent="0.25">
      <c r="X36">
        <f>257*0.42</f>
        <v>107.94</v>
      </c>
    </row>
    <row r="37" spans="3:28" x14ac:dyDescent="0.25">
      <c r="X37">
        <f>+X35+X36</f>
        <v>214.86</v>
      </c>
    </row>
    <row r="38" spans="3:28" x14ac:dyDescent="0.25">
      <c r="X38">
        <f>X37/500</f>
        <v>0.42972000000000005</v>
      </c>
    </row>
  </sheetData>
  <mergeCells count="7">
    <mergeCell ref="X2:Y2"/>
    <mergeCell ref="A4:A15"/>
    <mergeCell ref="A16:A26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3D14-3A03-459B-BA48-1AD8E40DB787}">
  <dimension ref="A1:AB31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7" sqref="R1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13-19-07'!D27</f>
        <v>23444</v>
      </c>
      <c r="E4" s="42">
        <f>'STOCK 13-19-07'!E27</f>
        <v>1500</v>
      </c>
      <c r="F4" s="42">
        <f>'STOCK 13-19-07'!F27</f>
        <v>1600</v>
      </c>
      <c r="G4" s="42">
        <f>'STOCK 13-19-07'!G27</f>
        <v>0</v>
      </c>
      <c r="H4" s="42">
        <f>'STOCK 13-19-07'!H27</f>
        <v>160</v>
      </c>
      <c r="I4" s="42">
        <f>'STOCK 13-19-07'!I27</f>
        <v>0</v>
      </c>
      <c r="J4" s="42">
        <f>'STOCK 13-19-07'!J27</f>
        <v>0</v>
      </c>
      <c r="K4" s="42">
        <f>'STOCK 13-19-07'!K27</f>
        <v>1345</v>
      </c>
      <c r="L4" s="42">
        <f>'STOCK 13-19-07'!L27</f>
        <v>4500</v>
      </c>
      <c r="M4" s="42">
        <f>'STOCK 13-19-07'!M27</f>
        <v>3951</v>
      </c>
      <c r="N4" s="42">
        <f>'STOCK 13-19-07'!N27</f>
        <v>14660</v>
      </c>
      <c r="O4" s="42">
        <f>'STOCK 13-19-07'!O27</f>
        <v>0</v>
      </c>
      <c r="P4" s="42">
        <f>'STOCK 13-19-07'!P27</f>
        <v>232</v>
      </c>
      <c r="Q4" s="42">
        <f>'STOCK 13-19-07'!Q27</f>
        <v>0</v>
      </c>
      <c r="R4" s="42">
        <f>'STOCK 13-19-07'!R27</f>
        <v>2276</v>
      </c>
      <c r="S4" s="42">
        <f>'STOCK 13-19-07'!S27</f>
        <v>0</v>
      </c>
      <c r="T4" s="42">
        <f>'STOCK 13-19-07'!T27</f>
        <v>1776</v>
      </c>
      <c r="U4" s="42">
        <f>'STOCK 13-19-07'!U27</f>
        <v>0</v>
      </c>
      <c r="V4" s="42">
        <f>'STOCK 13-19-07'!V27</f>
        <v>0</v>
      </c>
      <c r="W4" s="42">
        <f>'STOCK 13-19-07'!W27</f>
        <v>750</v>
      </c>
      <c r="X4" s="42">
        <f>'STOCK 13-19-07'!X27</f>
        <v>7243</v>
      </c>
      <c r="Y4" s="42">
        <f>'STOCK 13-19-07'!Y27</f>
        <v>662</v>
      </c>
      <c r="Z4" s="42">
        <f>'STOCK 13-19-07'!Z27</f>
        <v>0</v>
      </c>
      <c r="AA4" s="42">
        <f>'STOCK 13-19-07'!AA27</f>
        <v>0</v>
      </c>
      <c r="AB4" s="42">
        <f>'STOCK 13-19-07'!AB27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/>
      <c r="C6" s="82"/>
      <c r="D6" s="27"/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45861</v>
      </c>
      <c r="C7" s="82" t="s">
        <v>27</v>
      </c>
      <c r="D7" s="27"/>
      <c r="F7" s="35"/>
      <c r="H7" s="31"/>
      <c r="I7" s="13"/>
      <c r="J7" s="35"/>
      <c r="L7" s="35"/>
      <c r="M7" s="35">
        <v>3500</v>
      </c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36"/>
      <c r="N11" s="17"/>
      <c r="O11" s="28"/>
      <c r="P11" s="18"/>
      <c r="Q11" s="18"/>
      <c r="R11" s="18"/>
      <c r="S11" s="32"/>
      <c r="T11" s="16"/>
      <c r="U11" s="18"/>
      <c r="V11" s="18"/>
      <c r="W11" s="32"/>
      <c r="X11" s="16"/>
      <c r="Y11" s="32"/>
      <c r="Z11" s="18"/>
      <c r="AA11" s="95"/>
      <c r="AB11" s="19"/>
    </row>
    <row r="12" spans="1:28" x14ac:dyDescent="0.25">
      <c r="A12" s="310" t="s">
        <v>62</v>
      </c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>
        <v>45860</v>
      </c>
      <c r="C14" s="14" t="s">
        <v>22</v>
      </c>
      <c r="D14" s="27"/>
      <c r="F14" s="35"/>
      <c r="H14" s="31"/>
      <c r="I14" s="13"/>
      <c r="J14" s="35"/>
      <c r="L14" s="35"/>
      <c r="M14" s="35"/>
      <c r="N14" s="14"/>
      <c r="O14" s="27"/>
      <c r="P14">
        <v>200</v>
      </c>
      <c r="S14" s="31"/>
      <c r="T14" s="13"/>
      <c r="W14" s="31">
        <v>750</v>
      </c>
      <c r="X14" s="13"/>
      <c r="Y14" s="31"/>
      <c r="AA14" s="94"/>
      <c r="AB14" s="15"/>
    </row>
    <row r="15" spans="1:28" x14ac:dyDescent="0.25">
      <c r="A15" s="311"/>
      <c r="B15" s="20">
        <v>45861</v>
      </c>
      <c r="C15" s="14" t="s">
        <v>22</v>
      </c>
      <c r="D15" s="27">
        <f>250+700</f>
        <v>950</v>
      </c>
      <c r="F15" s="35"/>
      <c r="H15" s="31"/>
      <c r="I15" s="13"/>
      <c r="J15" s="35"/>
      <c r="L15" s="35"/>
      <c r="M15" s="35"/>
      <c r="N15" s="14">
        <f>50+500</f>
        <v>550</v>
      </c>
      <c r="O15" s="27"/>
      <c r="R15">
        <v>400</v>
      </c>
      <c r="S15" s="31"/>
      <c r="T15" s="13">
        <f>250+180</f>
        <v>430</v>
      </c>
      <c r="W15" s="31"/>
      <c r="X15" s="13"/>
      <c r="Y15" s="31">
        <v>200</v>
      </c>
      <c r="AA15" s="94"/>
      <c r="AB15" s="15"/>
    </row>
    <row r="16" spans="1:28" x14ac:dyDescent="0.25">
      <c r="A16" s="311"/>
      <c r="B16" s="20">
        <v>45862</v>
      </c>
      <c r="C16" s="14" t="s">
        <v>22</v>
      </c>
      <c r="D16" s="27">
        <f>300+50</f>
        <v>350</v>
      </c>
      <c r="F16" s="35"/>
      <c r="H16" s="31"/>
      <c r="I16" s="13"/>
      <c r="J16" s="35"/>
      <c r="L16" s="35"/>
      <c r="M16" s="35"/>
      <c r="N16" s="14">
        <v>500</v>
      </c>
      <c r="O16" s="27"/>
      <c r="S16" s="31"/>
      <c r="T16" s="13"/>
      <c r="W16" s="31"/>
      <c r="X16" s="13"/>
      <c r="Y16" s="31">
        <v>350</v>
      </c>
      <c r="AA16" s="94"/>
      <c r="AB16" s="15"/>
    </row>
    <row r="17" spans="1:28" x14ac:dyDescent="0.25">
      <c r="A17" s="311"/>
      <c r="B17" s="20">
        <v>45863</v>
      </c>
      <c r="C17" s="14" t="s">
        <v>22</v>
      </c>
      <c r="D17" s="27">
        <v>200</v>
      </c>
      <c r="F17" s="35"/>
      <c r="H17" s="31"/>
      <c r="I17" s="13"/>
      <c r="J17" s="35"/>
      <c r="L17" s="35"/>
      <c r="M17" s="35"/>
      <c r="N17" s="14">
        <f>1000+500</f>
        <v>1500</v>
      </c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45864</v>
      </c>
      <c r="C18" s="14" t="s">
        <v>22</v>
      </c>
      <c r="D18" s="27"/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>
        <v>600</v>
      </c>
      <c r="Y18" s="31"/>
      <c r="AA18" s="94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21.75" thickBot="1" x14ac:dyDescent="0.3">
      <c r="A23" s="21" t="s">
        <v>23</v>
      </c>
      <c r="B23" s="22"/>
      <c r="C23" s="23"/>
      <c r="D23" s="29">
        <f t="shared" ref="D23:AB23" si="0">SUM(D4:D11)-SUM(D12:D22)</f>
        <v>21944</v>
      </c>
      <c r="E23" s="22">
        <f t="shared" si="0"/>
        <v>1500</v>
      </c>
      <c r="F23" s="37">
        <f t="shared" si="0"/>
        <v>1600</v>
      </c>
      <c r="G23" s="24">
        <f t="shared" si="0"/>
        <v>0</v>
      </c>
      <c r="H23" s="33">
        <f t="shared" si="0"/>
        <v>160</v>
      </c>
      <c r="I23" s="22">
        <f t="shared" si="0"/>
        <v>0</v>
      </c>
      <c r="J23" s="37">
        <f t="shared" si="0"/>
        <v>0</v>
      </c>
      <c r="K23" s="24">
        <f t="shared" si="0"/>
        <v>1345</v>
      </c>
      <c r="L23" s="37">
        <f t="shared" si="0"/>
        <v>4500</v>
      </c>
      <c r="M23" s="37">
        <f t="shared" si="0"/>
        <v>7451</v>
      </c>
      <c r="N23" s="23">
        <f t="shared" si="0"/>
        <v>12110</v>
      </c>
      <c r="O23" s="29">
        <f t="shared" si="0"/>
        <v>0</v>
      </c>
      <c r="P23" s="29">
        <f t="shared" si="0"/>
        <v>32</v>
      </c>
      <c r="Q23" s="29">
        <f t="shared" si="0"/>
        <v>0</v>
      </c>
      <c r="R23" s="24">
        <f t="shared" si="0"/>
        <v>1876</v>
      </c>
      <c r="S23" s="33">
        <f t="shared" si="0"/>
        <v>0</v>
      </c>
      <c r="T23" s="22">
        <f t="shared" si="0"/>
        <v>1346</v>
      </c>
      <c r="U23" s="22">
        <f t="shared" si="0"/>
        <v>0</v>
      </c>
      <c r="V23" s="22">
        <f t="shared" si="0"/>
        <v>0</v>
      </c>
      <c r="W23" s="33">
        <f t="shared" si="0"/>
        <v>0</v>
      </c>
      <c r="X23" s="22">
        <f t="shared" si="0"/>
        <v>6643</v>
      </c>
      <c r="Y23" s="33">
        <f t="shared" si="0"/>
        <v>112</v>
      </c>
      <c r="Z23" s="22">
        <f t="shared" si="0"/>
        <v>0</v>
      </c>
      <c r="AA23" s="96">
        <f t="shared" si="0"/>
        <v>0</v>
      </c>
      <c r="AB23" s="25">
        <f t="shared" si="0"/>
        <v>20</v>
      </c>
    </row>
    <row r="25" spans="1:28" x14ac:dyDescent="0.25">
      <c r="D25">
        <f>D23*0.4</f>
        <v>8777.6</v>
      </c>
      <c r="E25">
        <f>+E23*0.41</f>
        <v>615</v>
      </c>
      <c r="F25">
        <f>+F23*0.47</f>
        <v>752</v>
      </c>
      <c r="G25">
        <f>+G23*0.38</f>
        <v>0</v>
      </c>
      <c r="H25">
        <f>+H23*0.4</f>
        <v>64</v>
      </c>
      <c r="I25">
        <f>+I23*0.58</f>
        <v>0</v>
      </c>
      <c r="J25">
        <f>+J23*0.54</f>
        <v>0</v>
      </c>
      <c r="K25" s="50">
        <f>+K23*0.87</f>
        <v>1170.1500000000001</v>
      </c>
      <c r="L25">
        <f>+L23*0.69</f>
        <v>3104.9999999999995</v>
      </c>
      <c r="M25">
        <f>+M23*0.72</f>
        <v>5364.72</v>
      </c>
      <c r="N25">
        <f>+N23*0.6</f>
        <v>7266</v>
      </c>
      <c r="O25">
        <f>+O23*2.04</f>
        <v>0</v>
      </c>
      <c r="P25">
        <f>+P23*1.575</f>
        <v>50.4</v>
      </c>
      <c r="Q25">
        <f>Q23*1.8</f>
        <v>0</v>
      </c>
      <c r="R25">
        <f>+R23*1.8</f>
        <v>3376.8</v>
      </c>
      <c r="S25">
        <f>+S23*1.57</f>
        <v>0</v>
      </c>
      <c r="T25">
        <f>+T23*1.9</f>
        <v>2557.4</v>
      </c>
      <c r="U25">
        <f>+U23*1.85</f>
        <v>0</v>
      </c>
      <c r="V25">
        <f>+V23*2.18</f>
        <v>0</v>
      </c>
      <c r="W25">
        <f>+W23*2.05</f>
        <v>0</v>
      </c>
      <c r="X25">
        <f>+X23*0.42</f>
        <v>2790.06</v>
      </c>
      <c r="Y25">
        <f>+Y23*0.34</f>
        <v>38.080000000000005</v>
      </c>
      <c r="Z25" s="50">
        <f>+Z23*1.9</f>
        <v>0</v>
      </c>
      <c r="AA25">
        <f>+AA23*0.58</f>
        <v>0</v>
      </c>
      <c r="AB25">
        <f>+AB23*1.75</f>
        <v>35</v>
      </c>
    </row>
    <row r="26" spans="1:28" x14ac:dyDescent="0.25">
      <c r="AB26" s="39">
        <f>SUM(D25:AB25)</f>
        <v>35962.21</v>
      </c>
    </row>
    <row r="27" spans="1:28" x14ac:dyDescent="0.25"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9" spans="1:28" x14ac:dyDescent="0.25"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 t="s">
        <v>111</v>
      </c>
      <c r="Z29" s="39"/>
      <c r="AA29" s="39"/>
      <c r="AB29" s="39"/>
    </row>
    <row r="31" spans="1:28" x14ac:dyDescent="0.25">
      <c r="AB31" s="84"/>
    </row>
  </sheetData>
  <mergeCells count="7">
    <mergeCell ref="X2:Y2"/>
    <mergeCell ref="A4:A11"/>
    <mergeCell ref="A12:A22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F592-28D4-4BCB-BC0A-4D9924E31043}">
  <dimension ref="A1:AB35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30" sqref="I3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20-26-07'!D23</f>
        <v>21944</v>
      </c>
      <c r="E4" s="42">
        <f>'STOCK 20-26-07'!E23</f>
        <v>1500</v>
      </c>
      <c r="F4" s="42">
        <f>'STOCK 20-26-07'!F23</f>
        <v>1600</v>
      </c>
      <c r="G4" s="42">
        <f>'STOCK 20-26-07'!G23</f>
        <v>0</v>
      </c>
      <c r="H4" s="42">
        <f>'STOCK 20-26-07'!H23</f>
        <v>160</v>
      </c>
      <c r="I4" s="42">
        <f>'STOCK 20-26-07'!I23</f>
        <v>0</v>
      </c>
      <c r="J4" s="42">
        <f>'STOCK 20-26-07'!J23</f>
        <v>0</v>
      </c>
      <c r="K4" s="42">
        <f>'STOCK 20-26-07'!K23</f>
        <v>1345</v>
      </c>
      <c r="L4" s="42">
        <f>'STOCK 20-26-07'!L23</f>
        <v>4500</v>
      </c>
      <c r="M4" s="42">
        <f>'STOCK 20-26-07'!M23</f>
        <v>7451</v>
      </c>
      <c r="N4" s="42">
        <f>'STOCK 20-26-07'!N23</f>
        <v>12110</v>
      </c>
      <c r="O4" s="42">
        <f>'STOCK 20-26-07'!O23</f>
        <v>0</v>
      </c>
      <c r="P4" s="42">
        <f>'STOCK 20-26-07'!P23</f>
        <v>32</v>
      </c>
      <c r="Q4" s="42">
        <f>'STOCK 20-26-07'!Q23</f>
        <v>0</v>
      </c>
      <c r="R4" s="42">
        <f>'STOCK 20-26-07'!R23</f>
        <v>1876</v>
      </c>
      <c r="S4" s="42">
        <f>'STOCK 20-26-07'!S23</f>
        <v>0</v>
      </c>
      <c r="T4" s="42">
        <f>'STOCK 20-26-07'!T23</f>
        <v>1346</v>
      </c>
      <c r="U4" s="42">
        <f>'STOCK 20-26-07'!U23</f>
        <v>0</v>
      </c>
      <c r="V4" s="42">
        <f>'STOCK 20-26-07'!V23</f>
        <v>0</v>
      </c>
      <c r="W4" s="42">
        <f>'STOCK 20-26-07'!W23</f>
        <v>0</v>
      </c>
      <c r="X4" s="42">
        <f>'STOCK 20-26-07'!X23</f>
        <v>6643</v>
      </c>
      <c r="Y4" s="42">
        <f>'STOCK 20-26-07'!Y23</f>
        <v>112</v>
      </c>
      <c r="Z4" s="42">
        <f>'STOCK 20-26-07'!Z23</f>
        <v>0</v>
      </c>
      <c r="AA4" s="42">
        <f>'STOCK 20-26-07'!AA23</f>
        <v>0</v>
      </c>
      <c r="AB4" s="42">
        <f>'STOCK 20-26-07'!AB23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45869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>
        <v>840</v>
      </c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45869</v>
      </c>
      <c r="C7" s="82" t="s">
        <v>72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>
        <v>700</v>
      </c>
      <c r="Y7" s="31">
        <v>1000</v>
      </c>
      <c r="AA7" s="94"/>
      <c r="AB7" s="15"/>
    </row>
    <row r="8" spans="1:28" x14ac:dyDescent="0.25">
      <c r="A8" s="311"/>
      <c r="B8" s="20">
        <v>45871</v>
      </c>
      <c r="C8" s="82" t="s">
        <v>27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>
        <v>670</v>
      </c>
      <c r="W8" s="31"/>
      <c r="X8" s="13"/>
      <c r="Y8" s="31"/>
      <c r="AA8" s="94"/>
      <c r="AB8" s="15"/>
    </row>
    <row r="9" spans="1:28" x14ac:dyDescent="0.25">
      <c r="A9" s="311"/>
      <c r="B9" s="20">
        <v>45871</v>
      </c>
      <c r="C9" s="82" t="s">
        <v>46</v>
      </c>
      <c r="D9" s="27"/>
      <c r="F9" s="35"/>
      <c r="H9" s="31"/>
      <c r="I9" s="13"/>
      <c r="J9" s="35"/>
      <c r="L9" s="35"/>
      <c r="M9" s="35">
        <v>4000</v>
      </c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36"/>
      <c r="N11" s="17"/>
      <c r="O11" s="28"/>
      <c r="P11" s="18"/>
      <c r="Q11" s="18"/>
      <c r="R11" s="18"/>
      <c r="S11" s="32"/>
      <c r="T11" s="16"/>
      <c r="U11" s="18"/>
      <c r="V11" s="18"/>
      <c r="W11" s="32"/>
      <c r="X11" s="16"/>
      <c r="Y11" s="32"/>
      <c r="Z11" s="18"/>
      <c r="AA11" s="95"/>
      <c r="AB11" s="19"/>
    </row>
    <row r="12" spans="1:28" x14ac:dyDescent="0.25">
      <c r="A12" s="310" t="s">
        <v>62</v>
      </c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>
        <v>45866</v>
      </c>
      <c r="C13" s="14" t="s">
        <v>22</v>
      </c>
      <c r="D13" s="27"/>
      <c r="F13" s="35"/>
      <c r="H13" s="31"/>
      <c r="I13" s="13"/>
      <c r="J13" s="35"/>
      <c r="L13" s="35"/>
      <c r="M13" s="35">
        <v>1000</v>
      </c>
      <c r="N13" s="14"/>
      <c r="O13" s="27"/>
      <c r="S13" s="31"/>
      <c r="T13" s="13"/>
      <c r="W13" s="31"/>
      <c r="X13" s="13">
        <f>500+500+500+2000</f>
        <v>3500</v>
      </c>
      <c r="Y13" s="31">
        <v>50</v>
      </c>
      <c r="AA13" s="94"/>
      <c r="AB13" s="15"/>
    </row>
    <row r="14" spans="1:28" x14ac:dyDescent="0.25">
      <c r="A14" s="311"/>
      <c r="B14" s="20">
        <v>45867</v>
      </c>
      <c r="C14" s="14" t="s">
        <v>22</v>
      </c>
      <c r="D14" s="27"/>
      <c r="F14" s="35"/>
      <c r="H14" s="31"/>
      <c r="I14" s="13"/>
      <c r="J14" s="35"/>
      <c r="L14" s="35"/>
      <c r="M14" s="35"/>
      <c r="N14" s="14">
        <v>150</v>
      </c>
      <c r="O14" s="27"/>
      <c r="S14" s="31"/>
      <c r="T14" s="13"/>
      <c r="W14" s="31"/>
      <c r="X14" s="13"/>
      <c r="Y14" s="31">
        <v>25</v>
      </c>
      <c r="AA14" s="94"/>
      <c r="AB14" s="15"/>
    </row>
    <row r="15" spans="1:28" x14ac:dyDescent="0.25">
      <c r="A15" s="311"/>
      <c r="B15" s="20">
        <v>45868</v>
      </c>
      <c r="C15" s="14" t="s">
        <v>22</v>
      </c>
      <c r="D15" s="27"/>
      <c r="F15" s="35"/>
      <c r="H15" s="31"/>
      <c r="I15" s="13"/>
      <c r="J15" s="35"/>
      <c r="L15" s="35"/>
      <c r="M15" s="35"/>
      <c r="N15" s="14">
        <f>1000+1000+200</f>
        <v>2200</v>
      </c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45869</v>
      </c>
      <c r="C16" s="14" t="s">
        <v>22</v>
      </c>
      <c r="D16" s="27"/>
      <c r="F16" s="35"/>
      <c r="H16" s="31"/>
      <c r="I16" s="13"/>
      <c r="J16" s="35"/>
      <c r="L16" s="35"/>
      <c r="M16" s="35"/>
      <c r="N16" s="14"/>
      <c r="O16" s="27"/>
      <c r="R16">
        <v>30</v>
      </c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45870</v>
      </c>
      <c r="C17" s="14" t="s">
        <v>22</v>
      </c>
      <c r="D17" s="27"/>
      <c r="F17" s="35"/>
      <c r="H17" s="31"/>
      <c r="I17" s="13"/>
      <c r="J17" s="35"/>
      <c r="K17">
        <v>1345</v>
      </c>
      <c r="L17" s="35"/>
      <c r="M17" s="35">
        <v>1500</v>
      </c>
      <c r="N17" s="14"/>
      <c r="O17" s="27"/>
      <c r="S17" s="31"/>
      <c r="T17" s="13">
        <v>540</v>
      </c>
      <c r="W17" s="31"/>
      <c r="X17" s="13"/>
      <c r="Y17" s="31">
        <f>20+200</f>
        <v>220</v>
      </c>
      <c r="AA17" s="94"/>
      <c r="AB17" s="15"/>
    </row>
    <row r="18" spans="1:28" x14ac:dyDescent="0.25">
      <c r="A18" s="311"/>
      <c r="B18" s="20">
        <v>45871</v>
      </c>
      <c r="C18" s="14" t="s">
        <v>22</v>
      </c>
      <c r="D18" s="27"/>
      <c r="F18" s="35"/>
      <c r="H18" s="31"/>
      <c r="I18" s="13"/>
      <c r="J18" s="35"/>
      <c r="L18" s="35"/>
      <c r="M18" s="35"/>
      <c r="N18" s="14"/>
      <c r="O18" s="27"/>
      <c r="R18">
        <v>220</v>
      </c>
      <c r="S18" s="31"/>
      <c r="T18" s="13"/>
      <c r="W18" s="31"/>
      <c r="X18" s="13"/>
      <c r="Y18" s="31">
        <v>20</v>
      </c>
      <c r="AA18" s="94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21.75" thickBot="1" x14ac:dyDescent="0.3">
      <c r="A23" s="21" t="s">
        <v>23</v>
      </c>
      <c r="B23" s="22"/>
      <c r="C23" s="23"/>
      <c r="D23" s="29">
        <f t="shared" ref="D23:AB23" si="0">SUM(D4:D11)-SUM(D12:D22)</f>
        <v>21944</v>
      </c>
      <c r="E23" s="22">
        <f t="shared" si="0"/>
        <v>1500</v>
      </c>
      <c r="F23" s="37">
        <f t="shared" si="0"/>
        <v>1600</v>
      </c>
      <c r="G23" s="24">
        <f t="shared" si="0"/>
        <v>0</v>
      </c>
      <c r="H23" s="33">
        <f t="shared" si="0"/>
        <v>160</v>
      </c>
      <c r="I23" s="22">
        <f t="shared" si="0"/>
        <v>0</v>
      </c>
      <c r="J23" s="37">
        <f t="shared" si="0"/>
        <v>0</v>
      </c>
      <c r="K23" s="24">
        <f t="shared" si="0"/>
        <v>0</v>
      </c>
      <c r="L23" s="37">
        <f t="shared" si="0"/>
        <v>4500</v>
      </c>
      <c r="M23" s="37">
        <f t="shared" si="0"/>
        <v>8951</v>
      </c>
      <c r="N23" s="23">
        <f t="shared" si="0"/>
        <v>9760</v>
      </c>
      <c r="O23" s="29">
        <f t="shared" si="0"/>
        <v>840</v>
      </c>
      <c r="P23" s="29">
        <f t="shared" si="0"/>
        <v>32</v>
      </c>
      <c r="Q23" s="29">
        <f t="shared" si="0"/>
        <v>0</v>
      </c>
      <c r="R23" s="24">
        <f t="shared" si="0"/>
        <v>1626</v>
      </c>
      <c r="S23" s="33">
        <f t="shared" si="0"/>
        <v>0</v>
      </c>
      <c r="T23" s="22">
        <f t="shared" si="0"/>
        <v>1476</v>
      </c>
      <c r="U23" s="22">
        <f t="shared" si="0"/>
        <v>0</v>
      </c>
      <c r="V23" s="22">
        <f t="shared" si="0"/>
        <v>0</v>
      </c>
      <c r="W23" s="33">
        <f t="shared" si="0"/>
        <v>0</v>
      </c>
      <c r="X23" s="22">
        <f t="shared" si="0"/>
        <v>3843</v>
      </c>
      <c r="Y23" s="33">
        <f t="shared" si="0"/>
        <v>797</v>
      </c>
      <c r="Z23" s="22">
        <f t="shared" si="0"/>
        <v>0</v>
      </c>
      <c r="AA23" s="96">
        <f t="shared" si="0"/>
        <v>0</v>
      </c>
      <c r="AB23" s="25">
        <f t="shared" si="0"/>
        <v>20</v>
      </c>
    </row>
    <row r="25" spans="1:28" x14ac:dyDescent="0.25">
      <c r="D25">
        <f>D23*0.4</f>
        <v>8777.6</v>
      </c>
      <c r="E25">
        <f>+E23*0.41</f>
        <v>615</v>
      </c>
      <c r="F25">
        <f>+F23*0.47</f>
        <v>752</v>
      </c>
      <c r="G25">
        <f>+G23*0.38</f>
        <v>0</v>
      </c>
      <c r="H25">
        <f>+H23*0.4</f>
        <v>64</v>
      </c>
      <c r="I25">
        <f>+I23*0.58</f>
        <v>0</v>
      </c>
      <c r="J25">
        <f>+J23*0.54</f>
        <v>0</v>
      </c>
      <c r="K25" s="50">
        <f>+K23*0.87</f>
        <v>0</v>
      </c>
      <c r="L25">
        <f>+L23*0.69</f>
        <v>3104.9999999999995</v>
      </c>
      <c r="M25">
        <f>+M23*0.7+(4951*0.02)</f>
        <v>6364.72</v>
      </c>
      <c r="N25">
        <f>+N23*0.6</f>
        <v>5856</v>
      </c>
      <c r="O25">
        <f>+O23*2.3</f>
        <v>1931.9999999999998</v>
      </c>
      <c r="P25">
        <f>+P23*1.575</f>
        <v>50.4</v>
      </c>
      <c r="Q25">
        <f>Q23*1.8</f>
        <v>0</v>
      </c>
      <c r="R25">
        <f>+R23*1.8</f>
        <v>2926.8</v>
      </c>
      <c r="S25">
        <f>+S23*1.57</f>
        <v>0</v>
      </c>
      <c r="T25">
        <f>+T23*1.9</f>
        <v>2804.4</v>
      </c>
      <c r="U25">
        <f>+U23*1.85</f>
        <v>0</v>
      </c>
      <c r="V25">
        <f>+V23*2.18</f>
        <v>0</v>
      </c>
      <c r="W25">
        <f>+W23*2.05</f>
        <v>0</v>
      </c>
      <c r="X25">
        <f>+X23*0.44-(3143*0.02)</f>
        <v>1628.0600000000002</v>
      </c>
      <c r="Y25">
        <f>+Y23*0.34</f>
        <v>270.98</v>
      </c>
      <c r="Z25" s="50">
        <f>+Z23*1.9</f>
        <v>0</v>
      </c>
      <c r="AA25">
        <f>+AA23*0.58</f>
        <v>0</v>
      </c>
      <c r="AB25">
        <f>+AB23*1.75</f>
        <v>35</v>
      </c>
    </row>
    <row r="26" spans="1:28" x14ac:dyDescent="0.25">
      <c r="AB26" s="39">
        <f>SUM(D25:AB25)</f>
        <v>35181.96</v>
      </c>
    </row>
    <row r="27" spans="1:28" x14ac:dyDescent="0.25"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9" spans="1:28" x14ac:dyDescent="0.25"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1" spans="1:28" x14ac:dyDescent="0.25">
      <c r="AB31" s="84"/>
    </row>
    <row r="35" spans="22:22" x14ac:dyDescent="0.25">
      <c r="V35">
        <v>14322</v>
      </c>
    </row>
  </sheetData>
  <mergeCells count="7">
    <mergeCell ref="X2:Y2"/>
    <mergeCell ref="A4:A11"/>
    <mergeCell ref="A12:A22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1B7C-7225-4DE7-99AD-7AF03E20351E}">
  <dimension ref="A1:AB36"/>
  <sheetViews>
    <sheetView zoomScale="60" zoomScaleNormal="6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R29" sqref="R29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27-02-08'!D23</f>
        <v>21944</v>
      </c>
      <c r="E4" s="42">
        <f>'STOCK 27-02-08'!E23</f>
        <v>1500</v>
      </c>
      <c r="F4" s="42">
        <f>'STOCK 27-02-08'!F23</f>
        <v>1600</v>
      </c>
      <c r="G4" s="42">
        <f>'STOCK 27-02-08'!G23</f>
        <v>0</v>
      </c>
      <c r="H4" s="42">
        <f>'STOCK 27-02-08'!H23</f>
        <v>160</v>
      </c>
      <c r="I4" s="42">
        <f>'STOCK 27-02-08'!I23</f>
        <v>0</v>
      </c>
      <c r="J4" s="42">
        <f>'STOCK 27-02-08'!J23</f>
        <v>0</v>
      </c>
      <c r="K4" s="42">
        <f>'STOCK 27-02-08'!K23</f>
        <v>0</v>
      </c>
      <c r="L4" s="42">
        <f>'STOCK 27-02-08'!L23</f>
        <v>4500</v>
      </c>
      <c r="M4" s="42">
        <f>'STOCK 27-02-08'!M23</f>
        <v>8951</v>
      </c>
      <c r="N4" s="42">
        <f>'STOCK 27-02-08'!N23</f>
        <v>9760</v>
      </c>
      <c r="O4" s="42">
        <f>'STOCK 27-02-08'!O23</f>
        <v>840</v>
      </c>
      <c r="P4" s="42">
        <f>'STOCK 27-02-08'!P23</f>
        <v>32</v>
      </c>
      <c r="Q4" s="42">
        <f>'STOCK 27-02-08'!Q23</f>
        <v>0</v>
      </c>
      <c r="R4" s="42">
        <f>'STOCK 27-02-08'!R23</f>
        <v>1626</v>
      </c>
      <c r="S4" s="42">
        <f>'STOCK 27-02-08'!S23</f>
        <v>0</v>
      </c>
      <c r="T4" s="42">
        <f>'STOCK 27-02-08'!T23</f>
        <v>1476</v>
      </c>
      <c r="U4" s="42">
        <f>'STOCK 27-02-08'!U23</f>
        <v>0</v>
      </c>
      <c r="V4" s="42">
        <f>'STOCK 27-02-08'!V23</f>
        <v>0</v>
      </c>
      <c r="W4" s="42">
        <f>'STOCK 27-02-08'!W23</f>
        <v>0</v>
      </c>
      <c r="X4" s="42">
        <f>'STOCK 27-02-08'!X23</f>
        <v>3843</v>
      </c>
      <c r="Y4" s="42">
        <f>'STOCK 27-02-08'!Y23</f>
        <v>797</v>
      </c>
      <c r="Z4" s="42">
        <f>'STOCK 27-02-08'!Z23</f>
        <v>0</v>
      </c>
      <c r="AA4" s="42">
        <f>'STOCK 27-02-08'!AA23</f>
        <v>0</v>
      </c>
      <c r="AB4" s="42">
        <f>'STOCK 27-02-08'!AB23</f>
        <v>20</v>
      </c>
    </row>
    <row r="5" spans="1:28" x14ac:dyDescent="0.25">
      <c r="A5" s="311"/>
      <c r="B5" s="20">
        <v>45873</v>
      </c>
      <c r="C5" s="82" t="s">
        <v>46</v>
      </c>
      <c r="D5" s="27"/>
      <c r="F5" s="35"/>
      <c r="H5" s="31"/>
      <c r="I5" s="13"/>
      <c r="J5" s="35"/>
      <c r="K5">
        <v>4000</v>
      </c>
      <c r="L5" s="35"/>
      <c r="M5" s="35"/>
      <c r="N5" s="14"/>
      <c r="O5" s="27"/>
      <c r="S5" s="31"/>
      <c r="T5" s="13">
        <v>700</v>
      </c>
      <c r="W5" s="31"/>
      <c r="X5" s="13"/>
      <c r="Y5" s="31"/>
      <c r="AA5" s="94"/>
      <c r="AB5" s="15"/>
    </row>
    <row r="6" spans="1:28" x14ac:dyDescent="0.25">
      <c r="A6" s="311"/>
      <c r="B6" s="20">
        <v>45873</v>
      </c>
      <c r="C6" s="82" t="s">
        <v>78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>
        <v>1500</v>
      </c>
      <c r="AA6" s="94"/>
      <c r="AB6" s="15"/>
    </row>
    <row r="7" spans="1:28" x14ac:dyDescent="0.25">
      <c r="A7" s="311"/>
      <c r="B7" s="20">
        <v>45874</v>
      </c>
      <c r="C7" s="82" t="s">
        <v>46</v>
      </c>
      <c r="D7" s="27"/>
      <c r="F7" s="35"/>
      <c r="H7" s="31"/>
      <c r="I7" s="13"/>
      <c r="J7" s="35"/>
      <c r="L7" s="35"/>
      <c r="M7" s="35"/>
      <c r="N7" s="14"/>
      <c r="O7" s="27"/>
      <c r="R7">
        <v>900</v>
      </c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45874</v>
      </c>
      <c r="C8" s="82" t="s">
        <v>27</v>
      </c>
      <c r="D8" s="27"/>
      <c r="F8" s="35"/>
      <c r="H8" s="31"/>
      <c r="I8" s="13"/>
      <c r="J8" s="35"/>
      <c r="L8" s="35"/>
      <c r="M8" s="35"/>
      <c r="N8" s="14">
        <v>1500</v>
      </c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45876</v>
      </c>
      <c r="C9" s="82" t="s">
        <v>27</v>
      </c>
      <c r="D9" s="27">
        <v>500</v>
      </c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45876</v>
      </c>
      <c r="C10" s="82" t="s">
        <v>46</v>
      </c>
      <c r="D10" s="27"/>
      <c r="F10" s="35"/>
      <c r="H10" s="31"/>
      <c r="I10" s="13"/>
      <c r="J10" s="35"/>
      <c r="L10" s="35"/>
      <c r="M10" s="35"/>
      <c r="N10" s="14">
        <v>3000</v>
      </c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36"/>
      <c r="N12" s="17"/>
      <c r="O12" s="28"/>
      <c r="P12" s="1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95"/>
      <c r="AB12" s="19"/>
    </row>
    <row r="13" spans="1:28" x14ac:dyDescent="0.25">
      <c r="A13" s="310" t="s">
        <v>62</v>
      </c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>
        <v>45872</v>
      </c>
      <c r="C14" s="14" t="s">
        <v>22</v>
      </c>
      <c r="D14" s="27"/>
      <c r="F14" s="35"/>
      <c r="H14" s="31"/>
      <c r="I14" s="13"/>
      <c r="J14" s="35"/>
      <c r="L14" s="35"/>
      <c r="M14" s="35">
        <v>2000</v>
      </c>
      <c r="N14" s="14"/>
      <c r="O14" s="27"/>
      <c r="S14" s="31"/>
      <c r="T14" s="13"/>
      <c r="W14" s="31"/>
      <c r="X14" s="13"/>
      <c r="Y14" s="31">
        <f>250+500</f>
        <v>750</v>
      </c>
      <c r="AA14" s="94"/>
      <c r="AB14" s="15"/>
    </row>
    <row r="15" spans="1:28" x14ac:dyDescent="0.25">
      <c r="A15" s="311"/>
      <c r="B15" s="20">
        <v>45873</v>
      </c>
      <c r="C15" s="14" t="s">
        <v>22</v>
      </c>
      <c r="D15" s="27">
        <f>1000+1500+1500</f>
        <v>4000</v>
      </c>
      <c r="F15" s="35"/>
      <c r="H15" s="31"/>
      <c r="I15" s="13"/>
      <c r="J15" s="35"/>
      <c r="L15" s="35"/>
      <c r="M15" s="35">
        <v>1000</v>
      </c>
      <c r="N15" s="14"/>
      <c r="O15" s="27"/>
      <c r="S15" s="31"/>
      <c r="T15" s="13"/>
      <c r="W15" s="31"/>
      <c r="X15" s="13">
        <v>50</v>
      </c>
      <c r="Y15" s="31">
        <v>250</v>
      </c>
      <c r="AA15" s="94"/>
      <c r="AB15" s="15"/>
    </row>
    <row r="16" spans="1:28" x14ac:dyDescent="0.25">
      <c r="A16" s="311"/>
      <c r="B16" s="20">
        <v>45874</v>
      </c>
      <c r="C16" s="14" t="s">
        <v>22</v>
      </c>
      <c r="D16" s="27">
        <f>50+2000</f>
        <v>2050</v>
      </c>
      <c r="F16" s="35"/>
      <c r="H16" s="31"/>
      <c r="I16" s="13"/>
      <c r="J16" s="35"/>
      <c r="L16" s="35"/>
      <c r="M16" s="35">
        <v>150</v>
      </c>
      <c r="N16" s="14"/>
      <c r="O16" s="27"/>
      <c r="R16">
        <v>210</v>
      </c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45875</v>
      </c>
      <c r="C17" s="14" t="s">
        <v>22</v>
      </c>
      <c r="D17" s="27"/>
      <c r="F17" s="35"/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>
        <v>10</v>
      </c>
      <c r="Y17" s="31">
        <f>500+150</f>
        <v>650</v>
      </c>
      <c r="AA17" s="94"/>
      <c r="AB17" s="15"/>
    </row>
    <row r="18" spans="1:28" x14ac:dyDescent="0.25">
      <c r="A18" s="311"/>
      <c r="B18" s="20">
        <v>45876</v>
      </c>
      <c r="C18" s="14" t="s">
        <v>22</v>
      </c>
      <c r="D18" s="27"/>
      <c r="F18" s="35"/>
      <c r="H18" s="31"/>
      <c r="I18" s="13"/>
      <c r="J18" s="35"/>
      <c r="L18" s="35"/>
      <c r="M18" s="35"/>
      <c r="N18" s="14">
        <v>300</v>
      </c>
      <c r="O18" s="27"/>
      <c r="S18" s="31"/>
      <c r="T18" s="13"/>
      <c r="W18" s="31"/>
      <c r="X18" s="13"/>
      <c r="Y18" s="31">
        <v>500</v>
      </c>
      <c r="AA18" s="94"/>
      <c r="AB18" s="15"/>
    </row>
    <row r="19" spans="1:28" x14ac:dyDescent="0.25">
      <c r="A19" s="311"/>
      <c r="B19" s="20">
        <v>45877</v>
      </c>
      <c r="C19" s="14" t="s">
        <v>22</v>
      </c>
      <c r="D19" s="27">
        <v>1000</v>
      </c>
      <c r="F19" s="35"/>
      <c r="H19" s="31"/>
      <c r="I19" s="13"/>
      <c r="J19" s="35"/>
      <c r="L19" s="35"/>
      <c r="M19" s="35">
        <v>1000</v>
      </c>
      <c r="N19" s="14">
        <v>500</v>
      </c>
      <c r="O19" s="27"/>
      <c r="R19">
        <v>270</v>
      </c>
      <c r="S19" s="31"/>
      <c r="T19" s="13"/>
      <c r="W19" s="31"/>
      <c r="X19" s="13">
        <v>200</v>
      </c>
      <c r="Y19" s="31"/>
      <c r="AA19" s="94"/>
      <c r="AB19" s="15"/>
    </row>
    <row r="20" spans="1:28" x14ac:dyDescent="0.25">
      <c r="A20" s="311"/>
      <c r="B20" s="20">
        <v>45878</v>
      </c>
      <c r="C20" s="14" t="s">
        <v>22</v>
      </c>
      <c r="D20" s="27">
        <v>1000</v>
      </c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>
        <f>30+40</f>
        <v>70</v>
      </c>
      <c r="Y20" s="31">
        <v>50</v>
      </c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15.75" thickBot="1" x14ac:dyDescent="0.3">
      <c r="A23" s="312"/>
      <c r="B23" s="13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ht="21.75" thickBot="1" x14ac:dyDescent="0.3">
      <c r="A24" s="21" t="s">
        <v>23</v>
      </c>
      <c r="B24" s="22"/>
      <c r="C24" s="23"/>
      <c r="D24" s="29">
        <f t="shared" ref="D24:AB24" si="0">SUM(D4:D12)-SUM(D13:D23)</f>
        <v>14394</v>
      </c>
      <c r="E24" s="22">
        <f t="shared" si="0"/>
        <v>1500</v>
      </c>
      <c r="F24" s="37">
        <f t="shared" si="0"/>
        <v>1600</v>
      </c>
      <c r="G24" s="24">
        <f t="shared" si="0"/>
        <v>0</v>
      </c>
      <c r="H24" s="33">
        <f t="shared" si="0"/>
        <v>160</v>
      </c>
      <c r="I24" s="22">
        <f t="shared" si="0"/>
        <v>0</v>
      </c>
      <c r="J24" s="37">
        <f t="shared" si="0"/>
        <v>0</v>
      </c>
      <c r="K24" s="24">
        <f t="shared" si="0"/>
        <v>4000</v>
      </c>
      <c r="L24" s="37">
        <f t="shared" si="0"/>
        <v>4500</v>
      </c>
      <c r="M24" s="37">
        <f t="shared" si="0"/>
        <v>4801</v>
      </c>
      <c r="N24" s="23">
        <f t="shared" si="0"/>
        <v>13460</v>
      </c>
      <c r="O24" s="29">
        <f t="shared" si="0"/>
        <v>840</v>
      </c>
      <c r="P24" s="29">
        <f t="shared" si="0"/>
        <v>32</v>
      </c>
      <c r="Q24" s="29">
        <f t="shared" si="0"/>
        <v>0</v>
      </c>
      <c r="R24" s="24">
        <f t="shared" si="0"/>
        <v>2046</v>
      </c>
      <c r="S24" s="33">
        <f t="shared" si="0"/>
        <v>0</v>
      </c>
      <c r="T24" s="22">
        <f t="shared" si="0"/>
        <v>2176</v>
      </c>
      <c r="U24" s="22">
        <f t="shared" si="0"/>
        <v>0</v>
      </c>
      <c r="V24" s="22">
        <f t="shared" si="0"/>
        <v>0</v>
      </c>
      <c r="W24" s="33">
        <f t="shared" si="0"/>
        <v>0</v>
      </c>
      <c r="X24" s="22">
        <f t="shared" si="0"/>
        <v>3513</v>
      </c>
      <c r="Y24" s="33">
        <f t="shared" si="0"/>
        <v>97</v>
      </c>
      <c r="Z24" s="22">
        <f t="shared" si="0"/>
        <v>0</v>
      </c>
      <c r="AA24" s="96">
        <f t="shared" si="0"/>
        <v>0</v>
      </c>
      <c r="AB24" s="25">
        <f t="shared" si="0"/>
        <v>20</v>
      </c>
    </row>
    <row r="26" spans="1:28" x14ac:dyDescent="0.25">
      <c r="D26">
        <f>D24*0.4</f>
        <v>5757.6</v>
      </c>
      <c r="E26">
        <f>+E24*0.41</f>
        <v>615</v>
      </c>
      <c r="F26">
        <f>+F24*0.47</f>
        <v>752</v>
      </c>
      <c r="G26">
        <f>+G24*0.38</f>
        <v>0</v>
      </c>
      <c r="H26">
        <f>+H24*0.4</f>
        <v>64</v>
      </c>
      <c r="I26">
        <f>+I24*0.58</f>
        <v>0</v>
      </c>
      <c r="J26">
        <f>+J24*0.54</f>
        <v>0</v>
      </c>
      <c r="K26" s="50">
        <f>+K24*0.89</f>
        <v>3560</v>
      </c>
      <c r="L26">
        <f>+L24*0.69</f>
        <v>3104.9999999999995</v>
      </c>
      <c r="M26">
        <f>+M24*0.7+(1801*0.02)</f>
        <v>3396.72</v>
      </c>
      <c r="N26">
        <f>+N24*0.6</f>
        <v>8076</v>
      </c>
      <c r="O26">
        <f>+O24*2.3</f>
        <v>1931.9999999999998</v>
      </c>
      <c r="P26">
        <f>+P24*1.575</f>
        <v>50.4</v>
      </c>
      <c r="Q26">
        <f>Q24*1.8</f>
        <v>0</v>
      </c>
      <c r="R26">
        <f>+R24*1.8</f>
        <v>3682.8</v>
      </c>
      <c r="S26">
        <f>+S24*1.57</f>
        <v>0</v>
      </c>
      <c r="T26">
        <f>+T24*1.9</f>
        <v>4134.3999999999996</v>
      </c>
      <c r="U26">
        <f>+U24*1.85</f>
        <v>0</v>
      </c>
      <c r="V26">
        <f>+V24*2.18</f>
        <v>0</v>
      </c>
      <c r="W26">
        <f>+W24*2.05</f>
        <v>0</v>
      </c>
      <c r="X26">
        <f>+X24*0.44-(2813*0.02)</f>
        <v>1489.46</v>
      </c>
      <c r="Y26">
        <f>+Y24*0.34</f>
        <v>32.980000000000004</v>
      </c>
      <c r="Z26" s="50">
        <f>+Z24*1.9</f>
        <v>0</v>
      </c>
      <c r="AA26">
        <f>+AA24*0.58</f>
        <v>0</v>
      </c>
      <c r="AB26">
        <f>+AB24*1.75</f>
        <v>35</v>
      </c>
    </row>
    <row r="27" spans="1:28" x14ac:dyDescent="0.25">
      <c r="AB27" s="39">
        <f>SUM(D26:AB26)</f>
        <v>36683.360000000001</v>
      </c>
    </row>
    <row r="28" spans="1:28" x14ac:dyDescent="0.25"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30" spans="1:28" x14ac:dyDescent="0.25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x14ac:dyDescent="0.25">
      <c r="R31">
        <f>100-71</f>
        <v>29</v>
      </c>
    </row>
    <row r="32" spans="1:28" x14ac:dyDescent="0.25">
      <c r="AB32" s="84"/>
    </row>
    <row r="36" spans="22:22" x14ac:dyDescent="0.25">
      <c r="V36">
        <v>14322</v>
      </c>
    </row>
  </sheetData>
  <mergeCells count="7">
    <mergeCell ref="X2:Y2"/>
    <mergeCell ref="A4:A12"/>
    <mergeCell ref="A13:A23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DF87-25A0-45F1-9378-4C873AEC49B9}">
  <dimension ref="A1:AB36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20" sqref="A20:XFD2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03-09-08'!D24</f>
        <v>14394</v>
      </c>
      <c r="E4" s="42">
        <f>'STOCK 03-09-08'!E24</f>
        <v>1500</v>
      </c>
      <c r="F4" s="42">
        <f>'STOCK 03-09-08'!F24</f>
        <v>1600</v>
      </c>
      <c r="G4" s="42">
        <f>'STOCK 03-09-08'!G24</f>
        <v>0</v>
      </c>
      <c r="H4" s="42">
        <f>'STOCK 03-09-08'!H24</f>
        <v>160</v>
      </c>
      <c r="I4" s="42">
        <f>'STOCK 03-09-08'!I24</f>
        <v>0</v>
      </c>
      <c r="J4" s="42">
        <f>'STOCK 03-09-08'!J24</f>
        <v>0</v>
      </c>
      <c r="K4" s="42">
        <f>'STOCK 03-09-08'!K24</f>
        <v>4000</v>
      </c>
      <c r="L4" s="42">
        <f>'STOCK 03-09-08'!L24</f>
        <v>4500</v>
      </c>
      <c r="M4" s="42">
        <f>'STOCK 03-09-08'!M24</f>
        <v>4801</v>
      </c>
      <c r="N4" s="42">
        <f>'STOCK 03-09-08'!N24</f>
        <v>13460</v>
      </c>
      <c r="O4" s="42">
        <f>'STOCK 03-09-08'!O24</f>
        <v>840</v>
      </c>
      <c r="P4" s="42">
        <f>'STOCK 03-09-08'!P24</f>
        <v>32</v>
      </c>
      <c r="Q4" s="42">
        <f>'STOCK 03-09-08'!Q24</f>
        <v>0</v>
      </c>
      <c r="R4" s="42">
        <f>'STOCK 03-09-08'!R24</f>
        <v>2046</v>
      </c>
      <c r="S4" s="42">
        <f>'STOCK 03-09-08'!S24</f>
        <v>0</v>
      </c>
      <c r="T4" s="42">
        <f>'STOCK 03-09-08'!T24</f>
        <v>2176</v>
      </c>
      <c r="U4" s="42">
        <f>'STOCK 03-09-08'!U24</f>
        <v>0</v>
      </c>
      <c r="V4" s="42">
        <f>'STOCK 03-09-08'!V24</f>
        <v>0</v>
      </c>
      <c r="W4" s="42">
        <f>'STOCK 03-09-08'!W24</f>
        <v>0</v>
      </c>
      <c r="X4" s="42">
        <f>'STOCK 03-09-08'!X24</f>
        <v>3513</v>
      </c>
      <c r="Y4" s="42">
        <f>'STOCK 03-09-08'!Y24</f>
        <v>97</v>
      </c>
      <c r="Z4" s="42">
        <f>'STOCK 03-09-08'!Z24</f>
        <v>0</v>
      </c>
      <c r="AA4" s="42">
        <f>'STOCK 03-09-08'!AA24</f>
        <v>0</v>
      </c>
      <c r="AB4" s="42">
        <f>'STOCK 03-09-08'!AB24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45882</v>
      </c>
      <c r="C6" s="82" t="s">
        <v>46</v>
      </c>
      <c r="D6" s="27"/>
      <c r="F6" s="35"/>
      <c r="H6" s="31"/>
      <c r="I6" s="13"/>
      <c r="J6" s="35"/>
      <c r="L6" s="35"/>
      <c r="M6" s="35">
        <v>3000</v>
      </c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45883</v>
      </c>
      <c r="C7" s="82" t="s">
        <v>46</v>
      </c>
      <c r="D7" s="27"/>
      <c r="F7" s="35"/>
      <c r="H7" s="31"/>
      <c r="I7" s="13"/>
      <c r="J7" s="35"/>
      <c r="L7" s="35"/>
      <c r="M7" s="35"/>
      <c r="N7" s="14">
        <v>3000</v>
      </c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36"/>
      <c r="N12" s="17"/>
      <c r="O12" s="28"/>
      <c r="P12" s="1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95"/>
      <c r="AB12" s="19"/>
    </row>
    <row r="13" spans="1:28" x14ac:dyDescent="0.25">
      <c r="A13" s="310" t="s">
        <v>62</v>
      </c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>
        <v>45879</v>
      </c>
      <c r="C14" s="14" t="s">
        <v>22</v>
      </c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>
        <v>250</v>
      </c>
      <c r="W14" s="31"/>
      <c r="X14" s="13"/>
      <c r="Y14" s="31"/>
      <c r="AA14" s="94"/>
      <c r="AB14" s="15"/>
    </row>
    <row r="15" spans="1:28" x14ac:dyDescent="0.25">
      <c r="A15" s="311"/>
      <c r="B15" s="20">
        <v>45880</v>
      </c>
      <c r="C15" s="14" t="s">
        <v>22</v>
      </c>
      <c r="D15" s="27">
        <v>1200</v>
      </c>
      <c r="F15" s="35"/>
      <c r="H15" s="31"/>
      <c r="I15" s="13"/>
      <c r="J15" s="35"/>
      <c r="K15">
        <v>1770</v>
      </c>
      <c r="L15" s="35"/>
      <c r="M15" s="35">
        <v>1000</v>
      </c>
      <c r="N15" s="14"/>
      <c r="O15" s="27"/>
      <c r="S15" s="31"/>
      <c r="T15" s="13"/>
      <c r="W15" s="31"/>
      <c r="X15" s="13">
        <v>250</v>
      </c>
      <c r="Y15" s="31">
        <v>97</v>
      </c>
      <c r="AA15" s="94"/>
      <c r="AB15" s="15"/>
    </row>
    <row r="16" spans="1:28" x14ac:dyDescent="0.25">
      <c r="A16" s="311"/>
      <c r="B16" s="20">
        <v>45881</v>
      </c>
      <c r="C16" s="14" t="s">
        <v>22</v>
      </c>
      <c r="D16" s="27">
        <v>500</v>
      </c>
      <c r="F16" s="35">
        <v>1500</v>
      </c>
      <c r="H16" s="31"/>
      <c r="I16" s="13"/>
      <c r="J16" s="35"/>
      <c r="L16" s="35"/>
      <c r="M16" s="35">
        <f>1000+1000+1000</f>
        <v>3000</v>
      </c>
      <c r="N16" s="14">
        <v>4</v>
      </c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45882</v>
      </c>
      <c r="C17" s="14" t="s">
        <v>22</v>
      </c>
      <c r="D17" s="27">
        <v>1500</v>
      </c>
      <c r="F17" s="35">
        <v>100</v>
      </c>
      <c r="H17" s="31"/>
      <c r="I17" s="13"/>
      <c r="J17" s="35"/>
      <c r="L17" s="35"/>
      <c r="M17" s="35">
        <v>50</v>
      </c>
      <c r="N17" s="14"/>
      <c r="O17" s="27"/>
      <c r="S17" s="31"/>
      <c r="T17" s="13">
        <v>300</v>
      </c>
      <c r="W17" s="31"/>
      <c r="X17" s="13"/>
      <c r="Y17" s="31"/>
      <c r="AA17" s="94"/>
      <c r="AB17" s="15"/>
    </row>
    <row r="18" spans="1:28" x14ac:dyDescent="0.25">
      <c r="A18" s="311"/>
      <c r="B18" s="20">
        <v>45883</v>
      </c>
      <c r="C18" s="14" t="s">
        <v>22</v>
      </c>
      <c r="D18" s="27">
        <v>500</v>
      </c>
      <c r="F18" s="35"/>
      <c r="H18" s="31"/>
      <c r="I18" s="13"/>
      <c r="J18" s="35"/>
      <c r="L18" s="35">
        <v>500</v>
      </c>
      <c r="M18" s="35"/>
      <c r="N18" s="14">
        <v>1000</v>
      </c>
      <c r="O18" s="27"/>
      <c r="S18" s="31"/>
      <c r="T18" s="13">
        <v>70</v>
      </c>
      <c r="W18" s="31"/>
      <c r="X18" s="13"/>
      <c r="Y18" s="31"/>
      <c r="AA18" s="94"/>
      <c r="AB18" s="15"/>
    </row>
    <row r="19" spans="1:28" x14ac:dyDescent="0.25">
      <c r="A19" s="311"/>
      <c r="B19" s="20">
        <v>45884</v>
      </c>
      <c r="C19" s="14" t="s">
        <v>22</v>
      </c>
      <c r="D19" s="27">
        <v>170</v>
      </c>
      <c r="F19" s="35"/>
      <c r="H19" s="31"/>
      <c r="I19" s="13"/>
      <c r="J19" s="35"/>
      <c r="L19" s="35"/>
      <c r="M19" s="35"/>
      <c r="N19" s="14">
        <f>500+200</f>
        <v>700</v>
      </c>
      <c r="O19" s="27"/>
      <c r="R19">
        <v>350</v>
      </c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45885</v>
      </c>
      <c r="C20" s="14" t="s">
        <v>22</v>
      </c>
      <c r="D20" s="27">
        <v>1000</v>
      </c>
      <c r="F20" s="35"/>
      <c r="H20" s="31"/>
      <c r="I20" s="13"/>
      <c r="J20" s="35"/>
      <c r="L20" s="35">
        <v>50</v>
      </c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15.75" thickBot="1" x14ac:dyDescent="0.3">
      <c r="A23" s="312"/>
      <c r="B23" s="13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ht="21.75" thickBot="1" x14ac:dyDescent="0.3">
      <c r="A24" s="21" t="s">
        <v>23</v>
      </c>
      <c r="B24" s="22"/>
      <c r="C24" s="23"/>
      <c r="D24" s="29">
        <f t="shared" ref="D24:AB24" si="0">SUM(D4:D12)-SUM(D13:D23)</f>
        <v>9524</v>
      </c>
      <c r="E24" s="22">
        <f t="shared" si="0"/>
        <v>1500</v>
      </c>
      <c r="F24" s="37">
        <f t="shared" si="0"/>
        <v>0</v>
      </c>
      <c r="G24" s="24">
        <f t="shared" si="0"/>
        <v>0</v>
      </c>
      <c r="H24" s="33">
        <f t="shared" si="0"/>
        <v>160</v>
      </c>
      <c r="I24" s="22">
        <f t="shared" si="0"/>
        <v>0</v>
      </c>
      <c r="J24" s="37">
        <f t="shared" si="0"/>
        <v>0</v>
      </c>
      <c r="K24" s="24">
        <f t="shared" si="0"/>
        <v>2230</v>
      </c>
      <c r="L24" s="37">
        <f t="shared" si="0"/>
        <v>3950</v>
      </c>
      <c r="M24" s="37">
        <f t="shared" si="0"/>
        <v>3751</v>
      </c>
      <c r="N24" s="23">
        <f t="shared" si="0"/>
        <v>14756</v>
      </c>
      <c r="O24" s="29">
        <f t="shared" si="0"/>
        <v>840</v>
      </c>
      <c r="P24" s="29">
        <f t="shared" si="0"/>
        <v>32</v>
      </c>
      <c r="Q24" s="29">
        <f t="shared" si="0"/>
        <v>0</v>
      </c>
      <c r="R24" s="24">
        <f t="shared" si="0"/>
        <v>1696</v>
      </c>
      <c r="S24" s="33">
        <f t="shared" si="0"/>
        <v>0</v>
      </c>
      <c r="T24" s="22">
        <f t="shared" si="0"/>
        <v>1556</v>
      </c>
      <c r="U24" s="22">
        <f t="shared" si="0"/>
        <v>0</v>
      </c>
      <c r="V24" s="22">
        <f t="shared" si="0"/>
        <v>0</v>
      </c>
      <c r="W24" s="33">
        <f t="shared" si="0"/>
        <v>0</v>
      </c>
      <c r="X24" s="22">
        <f t="shared" si="0"/>
        <v>3263</v>
      </c>
      <c r="Y24" s="33">
        <f t="shared" si="0"/>
        <v>0</v>
      </c>
      <c r="Z24" s="22">
        <f t="shared" si="0"/>
        <v>0</v>
      </c>
      <c r="AA24" s="96">
        <f t="shared" si="0"/>
        <v>0</v>
      </c>
      <c r="AB24" s="25">
        <f t="shared" si="0"/>
        <v>20</v>
      </c>
    </row>
    <row r="26" spans="1:28" x14ac:dyDescent="0.25">
      <c r="D26">
        <f>D24*0.4</f>
        <v>3809.6000000000004</v>
      </c>
      <c r="E26">
        <f>+E24*0.41</f>
        <v>615</v>
      </c>
      <c r="F26">
        <f>+F24*0.47</f>
        <v>0</v>
      </c>
      <c r="G26">
        <f>+G24*0.38</f>
        <v>0</v>
      </c>
      <c r="H26">
        <f>+H24*0.4</f>
        <v>64</v>
      </c>
      <c r="I26">
        <f>+I24*0.58</f>
        <v>0</v>
      </c>
      <c r="J26">
        <f>+J24*0.54</f>
        <v>0</v>
      </c>
      <c r="K26" s="50">
        <f>+K24*0.89</f>
        <v>1984.7</v>
      </c>
      <c r="L26">
        <f>+L24*0.69</f>
        <v>2725.5</v>
      </c>
      <c r="M26">
        <f>+M24*0.7+(751*0.02)</f>
        <v>2640.72</v>
      </c>
      <c r="N26">
        <f>+N24*0.6</f>
        <v>8853.6</v>
      </c>
      <c r="O26">
        <f>+O24*2.3</f>
        <v>1931.9999999999998</v>
      </c>
      <c r="P26">
        <f>+P24*1.575</f>
        <v>50.4</v>
      </c>
      <c r="Q26">
        <f>Q24*1.8</f>
        <v>0</v>
      </c>
      <c r="R26">
        <f>+R24*1.8</f>
        <v>3052.8</v>
      </c>
      <c r="S26">
        <f>+S24*1.57</f>
        <v>0</v>
      </c>
      <c r="T26">
        <f>+T24*1.9</f>
        <v>2956.3999999999996</v>
      </c>
      <c r="U26">
        <f>+U24*1.85</f>
        <v>0</v>
      </c>
      <c r="V26">
        <f>+V24*2.18</f>
        <v>0</v>
      </c>
      <c r="W26">
        <f>+W24*2.05</f>
        <v>0</v>
      </c>
      <c r="X26">
        <f>+X24*0.44-(2563*0.02)</f>
        <v>1384.46</v>
      </c>
      <c r="Y26">
        <f>+Y24*0.34</f>
        <v>0</v>
      </c>
      <c r="Z26" s="50">
        <f>+Z24*1.9</f>
        <v>0</v>
      </c>
      <c r="AA26">
        <f>+AA24*0.58</f>
        <v>0</v>
      </c>
      <c r="AB26">
        <f>+AB24*1.75</f>
        <v>35</v>
      </c>
    </row>
    <row r="27" spans="1:28" x14ac:dyDescent="0.25">
      <c r="AB27" s="39">
        <f>SUM(D26:AB26)</f>
        <v>30104.18</v>
      </c>
    </row>
    <row r="28" spans="1:28" x14ac:dyDescent="0.25"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30" spans="1:28" x14ac:dyDescent="0.25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x14ac:dyDescent="0.25">
      <c r="R31">
        <f>100-71</f>
        <v>29</v>
      </c>
    </row>
    <row r="32" spans="1:28" x14ac:dyDescent="0.25">
      <c r="AB32" s="84"/>
    </row>
    <row r="36" spans="22:22" x14ac:dyDescent="0.25">
      <c r="V36">
        <v>14322</v>
      </c>
    </row>
  </sheetData>
  <mergeCells count="7">
    <mergeCell ref="X2:Y2"/>
    <mergeCell ref="A4:A12"/>
    <mergeCell ref="A13:A23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96DA-0834-41B9-BDF6-8C67CFF211ED}">
  <dimension ref="A1:AB37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V14" sqref="V1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10-16-08'!D24</f>
        <v>9524</v>
      </c>
      <c r="E4" s="42">
        <f>'STOCK 10-16-08'!E24</f>
        <v>1500</v>
      </c>
      <c r="F4" s="42">
        <f>'STOCK 10-16-08'!F24</f>
        <v>0</v>
      </c>
      <c r="G4" s="42">
        <f>'STOCK 10-16-08'!G24</f>
        <v>0</v>
      </c>
      <c r="H4" s="42">
        <f>'STOCK 10-16-08'!H24</f>
        <v>160</v>
      </c>
      <c r="I4" s="42">
        <f>'STOCK 10-16-08'!I24</f>
        <v>0</v>
      </c>
      <c r="J4" s="42">
        <f>'STOCK 10-16-08'!J24</f>
        <v>0</v>
      </c>
      <c r="K4" s="42">
        <f>'STOCK 10-16-08'!K24</f>
        <v>2230</v>
      </c>
      <c r="L4" s="42">
        <f>'STOCK 10-16-08'!L24</f>
        <v>3950</v>
      </c>
      <c r="M4" s="42">
        <f>'STOCK 10-16-08'!M24</f>
        <v>3751</v>
      </c>
      <c r="N4" s="42">
        <f>'STOCK 10-16-08'!N24</f>
        <v>14756</v>
      </c>
      <c r="O4" s="42">
        <f>'STOCK 10-16-08'!O24</f>
        <v>840</v>
      </c>
      <c r="P4" s="42">
        <f>'STOCK 10-16-08'!P24</f>
        <v>32</v>
      </c>
      <c r="Q4" s="42">
        <f>'STOCK 10-16-08'!Q24</f>
        <v>0</v>
      </c>
      <c r="R4" s="42">
        <f>'STOCK 10-16-08'!R24</f>
        <v>1696</v>
      </c>
      <c r="S4" s="42">
        <f>'STOCK 10-16-08'!S24</f>
        <v>0</v>
      </c>
      <c r="T4" s="42">
        <f>'STOCK 10-16-08'!T24</f>
        <v>1556</v>
      </c>
      <c r="U4" s="42">
        <f>'STOCK 10-16-08'!U24</f>
        <v>0</v>
      </c>
      <c r="V4" s="42">
        <f>'STOCK 10-16-08'!V24</f>
        <v>0</v>
      </c>
      <c r="W4" s="42">
        <f>'STOCK 10-16-08'!W24</f>
        <v>0</v>
      </c>
      <c r="X4" s="42">
        <f>'STOCK 10-16-08'!X24</f>
        <v>3263</v>
      </c>
      <c r="Y4" s="42">
        <f>'STOCK 10-16-08'!Y24</f>
        <v>0</v>
      </c>
      <c r="Z4" s="42">
        <f>'STOCK 10-16-08'!Z24</f>
        <v>0</v>
      </c>
      <c r="AA4" s="42">
        <f>'STOCK 10-16-08'!AA24</f>
        <v>0</v>
      </c>
      <c r="AB4" s="42">
        <f>'STOCK 10-16-08'!AB24</f>
        <v>20</v>
      </c>
    </row>
    <row r="5" spans="1:28" x14ac:dyDescent="0.25">
      <c r="A5" s="311"/>
      <c r="B5" s="20">
        <v>45888</v>
      </c>
      <c r="C5" s="82" t="s">
        <v>72</v>
      </c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>
        <v>3000</v>
      </c>
      <c r="AA5" s="94"/>
      <c r="AB5" s="15"/>
    </row>
    <row r="6" spans="1:28" x14ac:dyDescent="0.25">
      <c r="A6" s="311"/>
      <c r="B6" s="20">
        <v>45889</v>
      </c>
      <c r="C6" s="82" t="s">
        <v>46</v>
      </c>
      <c r="D6" s="27"/>
      <c r="F6" s="35"/>
      <c r="H6" s="31"/>
      <c r="I6" s="13"/>
      <c r="J6" s="35"/>
      <c r="L6" s="35"/>
      <c r="M6" s="35">
        <v>500</v>
      </c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45890</v>
      </c>
      <c r="C7" s="82" t="s">
        <v>112</v>
      </c>
      <c r="D7" s="27"/>
      <c r="F7" s="35"/>
      <c r="H7" s="31"/>
      <c r="I7" s="13"/>
      <c r="J7" s="35">
        <v>1500</v>
      </c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45890</v>
      </c>
      <c r="C8" s="82" t="s">
        <v>46</v>
      </c>
      <c r="D8" s="27"/>
      <c r="F8" s="35"/>
      <c r="H8" s="31"/>
      <c r="I8" s="13"/>
      <c r="J8" s="35"/>
      <c r="L8" s="35"/>
      <c r="M8" s="35">
        <v>2000</v>
      </c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45891</v>
      </c>
      <c r="C9" s="82" t="s">
        <v>46</v>
      </c>
      <c r="D9" s="27"/>
      <c r="F9" s="35"/>
      <c r="H9" s="31"/>
      <c r="I9" s="13"/>
      <c r="J9" s="35">
        <v>4000</v>
      </c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45892</v>
      </c>
      <c r="C10" s="82" t="s">
        <v>46</v>
      </c>
      <c r="D10" s="27">
        <v>1000</v>
      </c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45886</v>
      </c>
      <c r="C15" s="14" t="s">
        <v>22</v>
      </c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>
        <v>300</v>
      </c>
      <c r="Y15" s="31"/>
      <c r="AA15" s="94"/>
      <c r="AB15" s="15"/>
    </row>
    <row r="16" spans="1:28" x14ac:dyDescent="0.25">
      <c r="A16" s="311"/>
      <c r="B16" s="20">
        <v>45887</v>
      </c>
      <c r="C16" s="14" t="s">
        <v>22</v>
      </c>
      <c r="D16" s="27"/>
      <c r="F16" s="35"/>
      <c r="H16" s="31"/>
      <c r="I16" s="13"/>
      <c r="J16" s="35"/>
      <c r="L16" s="35"/>
      <c r="M16" s="35"/>
      <c r="N16" s="14">
        <v>500</v>
      </c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45888</v>
      </c>
      <c r="C17" s="14" t="s">
        <v>22</v>
      </c>
      <c r="D17" s="27"/>
      <c r="F17" s="35"/>
      <c r="H17" s="31"/>
      <c r="I17" s="13"/>
      <c r="J17" s="35"/>
      <c r="L17" s="35"/>
      <c r="M17" s="35">
        <v>1500</v>
      </c>
      <c r="N17" s="14">
        <f>300+1200+100</f>
        <v>1600</v>
      </c>
      <c r="O17" s="27"/>
      <c r="S17" s="31"/>
      <c r="T17" s="13"/>
      <c r="W17" s="31"/>
      <c r="X17" s="13">
        <v>300</v>
      </c>
      <c r="Y17" s="31"/>
      <c r="AA17" s="94"/>
      <c r="AB17" s="15"/>
    </row>
    <row r="18" spans="1:28" x14ac:dyDescent="0.25">
      <c r="A18" s="311"/>
      <c r="B18" s="20">
        <v>45890</v>
      </c>
      <c r="C18" s="14" t="s">
        <v>22</v>
      </c>
      <c r="D18" s="27"/>
      <c r="F18" s="35"/>
      <c r="H18" s="31"/>
      <c r="I18" s="13"/>
      <c r="J18" s="35"/>
      <c r="L18" s="35"/>
      <c r="M18" s="35"/>
      <c r="N18" s="14">
        <v>200</v>
      </c>
      <c r="O18" s="27"/>
      <c r="S18" s="31"/>
      <c r="T18" s="13"/>
      <c r="W18" s="31"/>
      <c r="X18" s="13">
        <v>500</v>
      </c>
      <c r="Y18" s="31">
        <f>500+40</f>
        <v>540</v>
      </c>
      <c r="AA18" s="94"/>
      <c r="AB18" s="15"/>
    </row>
    <row r="19" spans="1:28" x14ac:dyDescent="0.25">
      <c r="A19" s="311"/>
      <c r="B19" s="20">
        <v>45891</v>
      </c>
      <c r="C19" s="14" t="s">
        <v>22</v>
      </c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>
        <v>400</v>
      </c>
      <c r="W19" s="31"/>
      <c r="X19" s="13"/>
      <c r="Y19" s="31">
        <f>50+50</f>
        <v>100</v>
      </c>
      <c r="AA19" s="94"/>
      <c r="AB19" s="15"/>
    </row>
    <row r="20" spans="1:28" x14ac:dyDescent="0.25">
      <c r="A20" s="311"/>
      <c r="B20" s="20">
        <v>45892</v>
      </c>
      <c r="C20" s="14" t="s">
        <v>22</v>
      </c>
      <c r="D20" s="27">
        <v>800</v>
      </c>
      <c r="F20" s="35"/>
      <c r="H20" s="31"/>
      <c r="I20" s="13"/>
      <c r="J20" s="35"/>
      <c r="L20" s="35"/>
      <c r="M20" s="35">
        <v>1500</v>
      </c>
      <c r="N20" s="14"/>
      <c r="O20" s="27"/>
      <c r="S20" s="31"/>
      <c r="T20" s="13"/>
      <c r="W20" s="31"/>
      <c r="X20" s="13">
        <v>500</v>
      </c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SUM(D4:D13)-SUM(D14:D24)</f>
        <v>9724</v>
      </c>
      <c r="E25" s="22">
        <f t="shared" si="0"/>
        <v>1500</v>
      </c>
      <c r="F25" s="37">
        <f t="shared" si="0"/>
        <v>0</v>
      </c>
      <c r="G25" s="24">
        <f t="shared" si="0"/>
        <v>0</v>
      </c>
      <c r="H25" s="33">
        <f t="shared" si="0"/>
        <v>160</v>
      </c>
      <c r="I25" s="22">
        <f t="shared" si="0"/>
        <v>0</v>
      </c>
      <c r="J25" s="37">
        <f t="shared" si="0"/>
        <v>5500</v>
      </c>
      <c r="K25" s="24">
        <f t="shared" si="0"/>
        <v>2230</v>
      </c>
      <c r="L25" s="37">
        <f t="shared" si="0"/>
        <v>3950</v>
      </c>
      <c r="M25" s="37">
        <f t="shared" si="0"/>
        <v>3251</v>
      </c>
      <c r="N25" s="23">
        <f t="shared" si="0"/>
        <v>12456</v>
      </c>
      <c r="O25" s="29">
        <f t="shared" si="0"/>
        <v>840</v>
      </c>
      <c r="P25" s="29">
        <f t="shared" si="0"/>
        <v>32</v>
      </c>
      <c r="Q25" s="29">
        <f t="shared" si="0"/>
        <v>0</v>
      </c>
      <c r="R25" s="24">
        <f t="shared" si="0"/>
        <v>1696</v>
      </c>
      <c r="S25" s="33">
        <f t="shared" si="0"/>
        <v>0</v>
      </c>
      <c r="T25" s="22">
        <f t="shared" si="0"/>
        <v>1156</v>
      </c>
      <c r="U25" s="22">
        <f t="shared" si="0"/>
        <v>0</v>
      </c>
      <c r="V25" s="22">
        <f t="shared" si="0"/>
        <v>0</v>
      </c>
      <c r="W25" s="33">
        <f t="shared" si="0"/>
        <v>0</v>
      </c>
      <c r="X25" s="22">
        <f t="shared" si="0"/>
        <v>1663</v>
      </c>
      <c r="Y25" s="33">
        <f t="shared" si="0"/>
        <v>2360</v>
      </c>
      <c r="Z25" s="22">
        <f t="shared" si="0"/>
        <v>0</v>
      </c>
      <c r="AA25" s="96">
        <f t="shared" si="0"/>
        <v>0</v>
      </c>
      <c r="AB25" s="25">
        <f t="shared" si="0"/>
        <v>20</v>
      </c>
    </row>
    <row r="27" spans="1:28" x14ac:dyDescent="0.25">
      <c r="D27">
        <f>D25*0.39+(8724*0.01)</f>
        <v>3879.6</v>
      </c>
      <c r="E27">
        <f>+E25*0.41</f>
        <v>615</v>
      </c>
      <c r="F27">
        <f>+F25*0.47</f>
        <v>0</v>
      </c>
      <c r="G27">
        <f>+G25*0.38</f>
        <v>0</v>
      </c>
      <c r="H27">
        <f>+H25*0.4</f>
        <v>64</v>
      </c>
      <c r="I27">
        <f>+I25*0.58</f>
        <v>0</v>
      </c>
      <c r="J27">
        <f>+J25*0.58</f>
        <v>3190</v>
      </c>
      <c r="K27" s="50">
        <f>+K25*0.89</f>
        <v>1984.7</v>
      </c>
      <c r="L27">
        <f>+L25*0.69</f>
        <v>2725.5</v>
      </c>
      <c r="M27">
        <f>+M25*0.7+(751*0.02)</f>
        <v>2290.7199999999998</v>
      </c>
      <c r="N27">
        <f>+N25*0.6</f>
        <v>7473.5999999999995</v>
      </c>
      <c r="O27">
        <f>+O25*2.3</f>
        <v>1931.9999999999998</v>
      </c>
      <c r="P27">
        <f>+P25*1.575</f>
        <v>50.4</v>
      </c>
      <c r="Q27">
        <f>Q25*1.8</f>
        <v>0</v>
      </c>
      <c r="R27">
        <f>+R25*1.8</f>
        <v>3052.8</v>
      </c>
      <c r="S27">
        <f>+S25*1.57</f>
        <v>0</v>
      </c>
      <c r="T27">
        <f>+T25*1.9</f>
        <v>2196.4</v>
      </c>
      <c r="U27">
        <f>+U25*1.85</f>
        <v>0</v>
      </c>
      <c r="V27">
        <f>+V25*2.18</f>
        <v>0</v>
      </c>
      <c r="W27">
        <f>+W25*2.05</f>
        <v>0</v>
      </c>
      <c r="X27">
        <f>+X25*0.44-(963*0.02)</f>
        <v>712.46</v>
      </c>
      <c r="Y27">
        <f>+Y25*0.34</f>
        <v>802.40000000000009</v>
      </c>
      <c r="Z27" s="50">
        <f>+Z25*1.9</f>
        <v>0</v>
      </c>
      <c r="AA27">
        <f>+AA25*0.58</f>
        <v>0</v>
      </c>
      <c r="AB27">
        <f>+AB25*1.75</f>
        <v>35</v>
      </c>
    </row>
    <row r="28" spans="1:28" x14ac:dyDescent="0.25">
      <c r="AB28" s="39">
        <f>SUM(D27:AB27)</f>
        <v>31004.58</v>
      </c>
    </row>
    <row r="29" spans="1:28" x14ac:dyDescent="0.25"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1" spans="1:28" x14ac:dyDescent="0.25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2" spans="1:28" x14ac:dyDescent="0.25">
      <c r="R32">
        <f>100-71</f>
        <v>29</v>
      </c>
    </row>
    <row r="33" spans="22:28" x14ac:dyDescent="0.25">
      <c r="AB33" s="84"/>
    </row>
    <row r="37" spans="22:28" x14ac:dyDescent="0.25">
      <c r="V37">
        <v>14322</v>
      </c>
    </row>
  </sheetData>
  <mergeCells count="7">
    <mergeCell ref="X2:Y2"/>
    <mergeCell ref="A4:A13"/>
    <mergeCell ref="A14:A24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4B63-825A-4235-87EB-2EA4311E743B}">
  <dimension ref="A1:AB37"/>
  <sheetViews>
    <sheetView zoomScale="60" zoomScaleNormal="60" workbookViewId="0">
      <pane xSplit="3" ySplit="3" topLeftCell="D5" activePane="bottomRight" state="frozen"/>
      <selection pane="topRight" activeCell="D1" sqref="D1"/>
      <selection pane="bottomLeft" activeCell="A4" sqref="A4"/>
      <selection pane="bottomRight" activeCell="L24" sqref="L2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17-23-08'!D25</f>
        <v>9724</v>
      </c>
      <c r="E4" s="42">
        <f>'STOCK 17-23-08'!E25</f>
        <v>1500</v>
      </c>
      <c r="F4" s="42">
        <f>'STOCK 17-23-08'!F25</f>
        <v>0</v>
      </c>
      <c r="G4" s="42">
        <f>'STOCK 17-23-08'!G25</f>
        <v>0</v>
      </c>
      <c r="H4" s="42">
        <f>'STOCK 17-23-08'!H25</f>
        <v>160</v>
      </c>
      <c r="I4" s="42">
        <f>'STOCK 17-23-08'!I25</f>
        <v>0</v>
      </c>
      <c r="J4" s="42">
        <f>'STOCK 17-23-08'!J25</f>
        <v>5500</v>
      </c>
      <c r="K4" s="42">
        <f>'STOCK 17-23-08'!K25</f>
        <v>2230</v>
      </c>
      <c r="L4" s="42">
        <f>'STOCK 17-23-08'!L25</f>
        <v>3950</v>
      </c>
      <c r="M4" s="42">
        <f>'STOCK 17-23-08'!M25</f>
        <v>3251</v>
      </c>
      <c r="N4" s="42">
        <f>'STOCK 17-23-08'!N25</f>
        <v>12456</v>
      </c>
      <c r="O4" s="42">
        <f>'STOCK 17-23-08'!O25</f>
        <v>840</v>
      </c>
      <c r="P4" s="42">
        <f>'STOCK 17-23-08'!P25</f>
        <v>32</v>
      </c>
      <c r="Q4" s="42">
        <f>'STOCK 17-23-08'!Q25</f>
        <v>0</v>
      </c>
      <c r="R4" s="42">
        <f>'STOCK 17-23-08'!R25</f>
        <v>1696</v>
      </c>
      <c r="S4" s="42">
        <f>'STOCK 17-23-08'!S25</f>
        <v>0</v>
      </c>
      <c r="T4" s="42">
        <f>'STOCK 17-23-08'!T25</f>
        <v>1156</v>
      </c>
      <c r="U4" s="42">
        <f>'STOCK 17-23-08'!U25</f>
        <v>0</v>
      </c>
      <c r="V4" s="42">
        <f>'STOCK 17-23-08'!V25</f>
        <v>0</v>
      </c>
      <c r="W4" s="42">
        <f>'STOCK 17-23-08'!W25</f>
        <v>0</v>
      </c>
      <c r="X4" s="42">
        <f>'STOCK 17-23-08'!X25</f>
        <v>1663</v>
      </c>
      <c r="Y4" s="42">
        <f>'STOCK 17-23-08'!Y25</f>
        <v>2360</v>
      </c>
      <c r="Z4" s="42">
        <f>'STOCK 17-23-08'!Z25</f>
        <v>0</v>
      </c>
      <c r="AA4" s="42">
        <f>'STOCK 17-23-08'!AA25</f>
        <v>0</v>
      </c>
      <c r="AB4" s="42">
        <f>'STOCK 17-23-08'!AB25</f>
        <v>20</v>
      </c>
    </row>
    <row r="5" spans="1:28" x14ac:dyDescent="0.25">
      <c r="A5" s="311"/>
      <c r="B5" s="20">
        <v>45894</v>
      </c>
      <c r="C5" s="82" t="s">
        <v>27</v>
      </c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45894</v>
      </c>
      <c r="C6" s="82" t="s">
        <v>88</v>
      </c>
      <c r="D6" s="27"/>
      <c r="F6" s="35"/>
      <c r="H6" s="31">
        <v>500</v>
      </c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45895</v>
      </c>
      <c r="C7" s="82" t="s">
        <v>46</v>
      </c>
      <c r="D7" s="27"/>
      <c r="F7" s="35"/>
      <c r="H7" s="31"/>
      <c r="I7" s="13"/>
      <c r="J7" s="35"/>
      <c r="L7" s="35"/>
      <c r="M7" s="35"/>
      <c r="N7" s="14">
        <v>4250</v>
      </c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45895</v>
      </c>
      <c r="C8" s="82" t="s">
        <v>27</v>
      </c>
      <c r="D8" s="27"/>
      <c r="F8" s="35"/>
      <c r="H8" s="31"/>
      <c r="I8" s="13"/>
      <c r="J8" s="35">
        <v>3500</v>
      </c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45896</v>
      </c>
      <c r="C9" s="82" t="s">
        <v>46</v>
      </c>
      <c r="D9" s="27"/>
      <c r="F9" s="35"/>
      <c r="H9" s="31">
        <v>4500</v>
      </c>
      <c r="I9" s="13"/>
      <c r="J9" s="35">
        <v>4000</v>
      </c>
      <c r="L9" s="35"/>
      <c r="M9" s="35"/>
      <c r="N9" s="14"/>
      <c r="O9" s="27"/>
      <c r="R9">
        <v>350</v>
      </c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45896</v>
      </c>
      <c r="C10" s="82" t="s">
        <v>27</v>
      </c>
      <c r="D10" s="27"/>
      <c r="F10" s="35"/>
      <c r="H10" s="31"/>
      <c r="I10" s="13"/>
      <c r="J10" s="35"/>
      <c r="L10" s="35"/>
      <c r="M10" s="35">
        <v>1500</v>
      </c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45897</v>
      </c>
      <c r="C11" s="82" t="s">
        <v>27</v>
      </c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>
        <v>400</v>
      </c>
      <c r="W11" s="31"/>
      <c r="X11" s="13"/>
      <c r="Y11" s="31"/>
      <c r="AA11" s="94"/>
      <c r="AB11" s="15"/>
    </row>
    <row r="12" spans="1:28" x14ac:dyDescent="0.25">
      <c r="A12" s="311"/>
      <c r="B12" s="20">
        <v>45898</v>
      </c>
      <c r="C12" s="82" t="s">
        <v>113</v>
      </c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>
        <v>1500</v>
      </c>
      <c r="Y12" s="31"/>
      <c r="AA12" s="94"/>
      <c r="AB12" s="15"/>
    </row>
    <row r="13" spans="1:28" x14ac:dyDescent="0.25">
      <c r="A13" s="311"/>
      <c r="B13" s="20"/>
      <c r="C13" s="82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/>
      <c r="C14" s="82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ht="15.75" thickBot="1" x14ac:dyDescent="0.3">
      <c r="A15" s="312"/>
      <c r="B15" s="72"/>
      <c r="C15" s="17"/>
      <c r="D15" s="28"/>
      <c r="E15" s="18"/>
      <c r="F15" s="36"/>
      <c r="G15" s="18"/>
      <c r="H15" s="32"/>
      <c r="I15" s="16"/>
      <c r="J15" s="36"/>
      <c r="K15" s="18"/>
      <c r="L15" s="36"/>
      <c r="M15" s="36"/>
      <c r="N15" s="17"/>
      <c r="O15" s="28"/>
      <c r="P15" s="18"/>
      <c r="Q15" s="18"/>
      <c r="R15" s="18"/>
      <c r="S15" s="32"/>
      <c r="T15" s="16"/>
      <c r="U15" s="18"/>
      <c r="V15" s="18"/>
      <c r="W15" s="32"/>
      <c r="X15" s="16"/>
      <c r="Y15" s="32"/>
      <c r="Z15" s="18"/>
      <c r="AA15" s="95"/>
      <c r="AB15" s="19"/>
    </row>
    <row r="16" spans="1:28" x14ac:dyDescent="0.25">
      <c r="A16" s="310" t="s">
        <v>62</v>
      </c>
      <c r="B16" s="20"/>
      <c r="C16" s="14"/>
      <c r="D16" s="27"/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45894</v>
      </c>
      <c r="C17" s="14" t="s">
        <v>22</v>
      </c>
      <c r="D17" s="27"/>
      <c r="F17" s="35"/>
      <c r="H17" s="31"/>
      <c r="I17" s="13"/>
      <c r="J17" s="35"/>
      <c r="L17" s="35"/>
      <c r="M17" s="35"/>
      <c r="N17" s="14">
        <v>250</v>
      </c>
      <c r="O17" s="27"/>
      <c r="S17" s="31"/>
      <c r="T17" s="13"/>
      <c r="W17" s="31"/>
      <c r="X17" s="13"/>
      <c r="Y17" s="31">
        <f>300+150</f>
        <v>450</v>
      </c>
      <c r="AA17" s="94"/>
      <c r="AB17" s="15"/>
    </row>
    <row r="18" spans="1:28" x14ac:dyDescent="0.25">
      <c r="A18" s="311"/>
      <c r="B18" s="20">
        <v>45895</v>
      </c>
      <c r="C18" s="14" t="s">
        <v>22</v>
      </c>
      <c r="D18" s="27"/>
      <c r="F18" s="35"/>
      <c r="H18" s="31"/>
      <c r="I18" s="13"/>
      <c r="J18" s="35"/>
      <c r="K18">
        <v>1000</v>
      </c>
      <c r="L18" s="35"/>
      <c r="M18" s="35">
        <v>500</v>
      </c>
      <c r="N18" s="14"/>
      <c r="O18" s="27"/>
      <c r="S18" s="31"/>
      <c r="T18" s="13"/>
      <c r="W18" s="31"/>
      <c r="X18" s="13">
        <v>500</v>
      </c>
      <c r="Y18" s="31"/>
      <c r="AA18" s="94"/>
      <c r="AB18" s="15"/>
    </row>
    <row r="19" spans="1:28" x14ac:dyDescent="0.25">
      <c r="A19" s="311"/>
      <c r="B19" s="20">
        <v>45896</v>
      </c>
      <c r="C19" s="14" t="s">
        <v>22</v>
      </c>
      <c r="D19" s="27">
        <v>250</v>
      </c>
      <c r="F19" s="35"/>
      <c r="H19" s="31"/>
      <c r="I19" s="13"/>
      <c r="J19" s="35"/>
      <c r="L19" s="35">
        <v>3000</v>
      </c>
      <c r="M19" s="35"/>
      <c r="N19" s="14"/>
      <c r="O19" s="27"/>
      <c r="S19" s="31"/>
      <c r="T19" s="13"/>
      <c r="W19" s="31"/>
      <c r="X19" s="13">
        <v>500</v>
      </c>
      <c r="Y19" s="31"/>
      <c r="AA19" s="94"/>
      <c r="AB19" s="15"/>
    </row>
    <row r="20" spans="1:28" x14ac:dyDescent="0.25">
      <c r="A20" s="311"/>
      <c r="B20" s="20">
        <v>45897</v>
      </c>
      <c r="C20" s="14" t="s">
        <v>22</v>
      </c>
      <c r="D20" s="27">
        <v>350</v>
      </c>
      <c r="F20" s="35"/>
      <c r="H20" s="31"/>
      <c r="I20" s="13"/>
      <c r="J20" s="35">
        <v>500</v>
      </c>
      <c r="L20" s="35"/>
      <c r="M20" s="35"/>
      <c r="N20" s="14">
        <v>1500</v>
      </c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45898</v>
      </c>
      <c r="C21" s="14" t="s">
        <v>22</v>
      </c>
      <c r="D21" s="27"/>
      <c r="F21" s="35"/>
      <c r="H21" s="31"/>
      <c r="I21" s="13"/>
      <c r="J21" s="35">
        <f>200+1000</f>
        <v>1200</v>
      </c>
      <c r="L21" s="35"/>
      <c r="M21" s="35">
        <v>1200</v>
      </c>
      <c r="N21" s="14"/>
      <c r="O21" s="27"/>
      <c r="S21" s="31"/>
      <c r="T21" s="13">
        <f>20+100</f>
        <v>120</v>
      </c>
      <c r="W21" s="31"/>
      <c r="X21" s="13"/>
      <c r="Y21" s="31"/>
      <c r="AA21" s="94"/>
      <c r="AB21" s="15"/>
    </row>
    <row r="22" spans="1:28" x14ac:dyDescent="0.25">
      <c r="A22" s="311"/>
      <c r="B22" s="20">
        <v>45899</v>
      </c>
      <c r="C22" s="14" t="s">
        <v>22</v>
      </c>
      <c r="D22" s="27">
        <v>1500</v>
      </c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SUM(D4:D15)-SUM(D16:D25)</f>
        <v>7624</v>
      </c>
      <c r="E26" s="22">
        <f t="shared" si="0"/>
        <v>1500</v>
      </c>
      <c r="F26" s="37">
        <f t="shared" si="0"/>
        <v>0</v>
      </c>
      <c r="G26" s="24">
        <f t="shared" si="0"/>
        <v>0</v>
      </c>
      <c r="H26" s="33">
        <f t="shared" si="0"/>
        <v>5160</v>
      </c>
      <c r="I26" s="22">
        <f t="shared" si="0"/>
        <v>0</v>
      </c>
      <c r="J26" s="37">
        <f t="shared" si="0"/>
        <v>11300</v>
      </c>
      <c r="K26" s="24">
        <f t="shared" si="0"/>
        <v>1230</v>
      </c>
      <c r="L26" s="37">
        <f t="shared" si="0"/>
        <v>950</v>
      </c>
      <c r="M26" s="37">
        <f t="shared" si="0"/>
        <v>3051</v>
      </c>
      <c r="N26" s="23">
        <f t="shared" si="0"/>
        <v>14956</v>
      </c>
      <c r="O26" s="29">
        <f t="shared" si="0"/>
        <v>840</v>
      </c>
      <c r="P26" s="29">
        <f t="shared" si="0"/>
        <v>32</v>
      </c>
      <c r="Q26" s="29">
        <f t="shared" si="0"/>
        <v>0</v>
      </c>
      <c r="R26" s="24">
        <f t="shared" si="0"/>
        <v>2046</v>
      </c>
      <c r="S26" s="33">
        <f t="shared" si="0"/>
        <v>0</v>
      </c>
      <c r="T26" s="22">
        <f t="shared" si="0"/>
        <v>1436</v>
      </c>
      <c r="U26" s="22">
        <f t="shared" si="0"/>
        <v>0</v>
      </c>
      <c r="V26" s="22">
        <f t="shared" si="0"/>
        <v>0</v>
      </c>
      <c r="W26" s="33">
        <f t="shared" si="0"/>
        <v>0</v>
      </c>
      <c r="X26" s="22">
        <f t="shared" si="0"/>
        <v>2163</v>
      </c>
      <c r="Y26" s="33">
        <f t="shared" si="0"/>
        <v>1910</v>
      </c>
      <c r="Z26" s="22">
        <f t="shared" si="0"/>
        <v>0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D26*0.39+(6624*0.01)</f>
        <v>3039.6</v>
      </c>
      <c r="E28">
        <f>+E26*0.41</f>
        <v>615</v>
      </c>
      <c r="F28">
        <f>+F26*0.47</f>
        <v>0</v>
      </c>
      <c r="G28">
        <f>+G26*0.38</f>
        <v>0</v>
      </c>
      <c r="H28">
        <f>+H26*0.47-(160*0.07)</f>
        <v>2414</v>
      </c>
      <c r="I28">
        <f>+I26*0.58</f>
        <v>0</v>
      </c>
      <c r="J28">
        <f>+J26*0.58</f>
        <v>6554</v>
      </c>
      <c r="K28" s="50">
        <f>+K26*0.89</f>
        <v>1094.7</v>
      </c>
      <c r="L28">
        <f>+L26*0.69</f>
        <v>655.5</v>
      </c>
      <c r="M28">
        <f>+M26*0.7+(751*0.02)</f>
        <v>2150.7199999999998</v>
      </c>
      <c r="N28">
        <f>+N26*0.59+(10706*0.01)</f>
        <v>8931.0999999999985</v>
      </c>
      <c r="O28">
        <f>+O26*2.3</f>
        <v>1931.9999999999998</v>
      </c>
      <c r="P28">
        <f>+P26*1.575</f>
        <v>50.4</v>
      </c>
      <c r="Q28">
        <f>Q26*1.8</f>
        <v>0</v>
      </c>
      <c r="R28">
        <f>+R26*1.8</f>
        <v>3682.8</v>
      </c>
      <c r="S28">
        <f>+S26*1.57</f>
        <v>0</v>
      </c>
      <c r="T28">
        <f>+T26*1.9</f>
        <v>2728.4</v>
      </c>
      <c r="U28">
        <f>+U26*1.85</f>
        <v>0</v>
      </c>
      <c r="V28">
        <f>+V26*2.18</f>
        <v>0</v>
      </c>
      <c r="W28">
        <f>+W26*2.05</f>
        <v>0</v>
      </c>
      <c r="X28">
        <f>+X26*0.44</f>
        <v>951.72</v>
      </c>
      <c r="Y28">
        <f>+Y26*0.34</f>
        <v>649.40000000000009</v>
      </c>
      <c r="Z28" s="50">
        <f>+Z26*1.9</f>
        <v>0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35484.340000000004</v>
      </c>
    </row>
    <row r="30" spans="1:28" x14ac:dyDescent="0.25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2" spans="1:28" x14ac:dyDescent="0.25"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</row>
    <row r="34" spans="3:28" x14ac:dyDescent="0.25">
      <c r="AB34" s="84"/>
    </row>
    <row r="37" spans="3:28" x14ac:dyDescent="0.25">
      <c r="C37" s="98"/>
    </row>
  </sheetData>
  <mergeCells count="7">
    <mergeCell ref="X2:Y2"/>
    <mergeCell ref="A4:A15"/>
    <mergeCell ref="A16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D51F-00D9-4CBE-9B5D-82E93C738EC8}">
  <dimension ref="A1:AB3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27" sqref="Q2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24-30-08'!D26</f>
        <v>7624</v>
      </c>
      <c r="E4" s="42">
        <f>'STOCK 24-30-08'!E26</f>
        <v>1500</v>
      </c>
      <c r="F4" s="42">
        <f>'STOCK 24-30-08'!F26</f>
        <v>0</v>
      </c>
      <c r="G4" s="42">
        <f>'STOCK 24-30-08'!G26</f>
        <v>0</v>
      </c>
      <c r="H4" s="42">
        <f>'STOCK 24-30-08'!H26</f>
        <v>5160</v>
      </c>
      <c r="I4" s="42">
        <f>'STOCK 24-30-08'!I26</f>
        <v>0</v>
      </c>
      <c r="J4" s="42">
        <f>'STOCK 24-30-08'!J26</f>
        <v>11300</v>
      </c>
      <c r="K4" s="42">
        <f>'STOCK 24-30-08'!K26</f>
        <v>1230</v>
      </c>
      <c r="L4" s="42">
        <f>'STOCK 24-30-08'!L26</f>
        <v>950</v>
      </c>
      <c r="M4" s="42">
        <f>'STOCK 24-30-08'!M26</f>
        <v>3051</v>
      </c>
      <c r="N4" s="42">
        <f>'STOCK 24-30-08'!N26</f>
        <v>14956</v>
      </c>
      <c r="O4" s="42">
        <f>'STOCK 24-30-08'!O26</f>
        <v>840</v>
      </c>
      <c r="P4" s="42">
        <f>'STOCK 24-30-08'!P26</f>
        <v>32</v>
      </c>
      <c r="Q4" s="42">
        <f>'STOCK 24-30-08'!Q26</f>
        <v>0</v>
      </c>
      <c r="R4" s="42">
        <f>'STOCK 24-30-08'!R26</f>
        <v>2046</v>
      </c>
      <c r="S4" s="42">
        <f>'STOCK 24-30-08'!S26</f>
        <v>0</v>
      </c>
      <c r="T4" s="42">
        <f>'STOCK 24-30-08'!T26</f>
        <v>1436</v>
      </c>
      <c r="U4" s="42">
        <f>'STOCK 24-30-08'!U26</f>
        <v>0</v>
      </c>
      <c r="V4" s="42">
        <f>'STOCK 24-30-08'!V26</f>
        <v>0</v>
      </c>
      <c r="W4" s="42">
        <f>'STOCK 24-30-08'!W26</f>
        <v>0</v>
      </c>
      <c r="X4" s="42">
        <f>'STOCK 24-30-08'!X26</f>
        <v>2163</v>
      </c>
      <c r="Y4" s="42">
        <f>'STOCK 24-30-08'!Y26</f>
        <v>1910</v>
      </c>
      <c r="Z4" s="42">
        <f>'STOCK 24-30-08'!Z26</f>
        <v>0</v>
      </c>
      <c r="AA4" s="42">
        <f>'STOCK 24-30-08'!AA26</f>
        <v>0</v>
      </c>
      <c r="AB4" s="42">
        <f>'STOCK 24-30-08'!AB26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45901</v>
      </c>
      <c r="C6" s="82" t="s">
        <v>27</v>
      </c>
      <c r="D6" s="27"/>
      <c r="F6" s="35"/>
      <c r="H6" s="31"/>
      <c r="I6" s="13"/>
      <c r="J6" s="35"/>
      <c r="L6" s="35"/>
      <c r="M6" s="35">
        <v>3500</v>
      </c>
      <c r="N6" s="14"/>
      <c r="O6" s="27"/>
      <c r="R6">
        <v>400</v>
      </c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45902</v>
      </c>
      <c r="C7" s="82" t="s">
        <v>27</v>
      </c>
      <c r="D7" s="27"/>
      <c r="F7" s="35"/>
      <c r="H7" s="31"/>
      <c r="I7" s="13"/>
      <c r="J7" s="35">
        <v>3500</v>
      </c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45902</v>
      </c>
      <c r="C8" s="82" t="s">
        <v>46</v>
      </c>
      <c r="D8" s="27"/>
      <c r="F8" s="35"/>
      <c r="H8" s="31"/>
      <c r="I8" s="13"/>
      <c r="J8" s="35"/>
      <c r="L8" s="35"/>
      <c r="M8" s="35"/>
      <c r="N8" s="14">
        <v>1000</v>
      </c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45903</v>
      </c>
      <c r="C9" s="82" t="s">
        <v>46</v>
      </c>
      <c r="D9" s="27"/>
      <c r="F9" s="35"/>
      <c r="H9" s="31"/>
      <c r="I9" s="13"/>
      <c r="J9" s="35"/>
      <c r="L9" s="35"/>
      <c r="M9" s="35">
        <v>1000</v>
      </c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45904</v>
      </c>
      <c r="C10" s="82" t="s">
        <v>27</v>
      </c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>
        <v>1000</v>
      </c>
      <c r="W10" s="31"/>
      <c r="X10" s="13"/>
      <c r="Y10" s="31"/>
      <c r="AA10" s="94"/>
      <c r="AB10" s="15"/>
    </row>
    <row r="11" spans="1:28" x14ac:dyDescent="0.25">
      <c r="A11" s="311"/>
      <c r="B11" s="20">
        <v>45905</v>
      </c>
      <c r="C11" s="82" t="s">
        <v>27</v>
      </c>
      <c r="D11" s="27"/>
      <c r="F11" s="35"/>
      <c r="H11" s="31"/>
      <c r="I11" s="13"/>
      <c r="J11" s="35"/>
      <c r="L11" s="35">
        <v>3500</v>
      </c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>
        <v>45905</v>
      </c>
      <c r="C12" s="82" t="s">
        <v>113</v>
      </c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>
        <v>1000</v>
      </c>
      <c r="Y12" s="31">
        <v>1000</v>
      </c>
      <c r="AA12" s="94"/>
      <c r="AB12" s="15"/>
    </row>
    <row r="13" spans="1:28" x14ac:dyDescent="0.25">
      <c r="A13" s="311"/>
      <c r="B13" s="20">
        <v>45906</v>
      </c>
      <c r="C13" s="82" t="s">
        <v>27</v>
      </c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>
        <v>1000</v>
      </c>
      <c r="Y13" s="31"/>
      <c r="AA13" s="94"/>
      <c r="AB13" s="15"/>
    </row>
    <row r="14" spans="1:28" x14ac:dyDescent="0.25">
      <c r="A14" s="311"/>
      <c r="B14" s="20"/>
      <c r="C14" s="82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/>
      <c r="C15" s="82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ht="15.75" thickBot="1" x14ac:dyDescent="0.3">
      <c r="A16" s="312"/>
      <c r="B16" s="72"/>
      <c r="C16" s="17"/>
      <c r="D16" s="28"/>
      <c r="E16" s="18"/>
      <c r="F16" s="36"/>
      <c r="G16" s="18"/>
      <c r="H16" s="32"/>
      <c r="I16" s="16"/>
      <c r="J16" s="36"/>
      <c r="K16" s="18"/>
      <c r="L16" s="36"/>
      <c r="M16" s="36"/>
      <c r="N16" s="17"/>
      <c r="O16" s="28"/>
      <c r="P16" s="18"/>
      <c r="Q16" s="18"/>
      <c r="R16" s="18"/>
      <c r="S16" s="32"/>
      <c r="T16" s="16"/>
      <c r="U16" s="18"/>
      <c r="V16" s="18"/>
      <c r="W16" s="32"/>
      <c r="X16" s="16"/>
      <c r="Y16" s="32"/>
      <c r="Z16" s="18"/>
      <c r="AA16" s="95"/>
      <c r="AB16" s="19"/>
    </row>
    <row r="17" spans="1:28" x14ac:dyDescent="0.25">
      <c r="A17" s="310" t="s">
        <v>62</v>
      </c>
      <c r="B17" s="20"/>
      <c r="C17" s="14"/>
      <c r="D17" s="27"/>
      <c r="F17" s="35"/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45900</v>
      </c>
      <c r="C18" s="14" t="s">
        <v>22</v>
      </c>
      <c r="D18" s="27"/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>
        <v>250</v>
      </c>
      <c r="Y18" s="31"/>
      <c r="AA18" s="94"/>
      <c r="AB18" s="15"/>
    </row>
    <row r="19" spans="1:28" x14ac:dyDescent="0.25">
      <c r="A19" s="311"/>
      <c r="B19" s="20">
        <v>45901</v>
      </c>
      <c r="C19" s="14" t="s">
        <v>22</v>
      </c>
      <c r="D19" s="27"/>
      <c r="F19" s="35"/>
      <c r="H19" s="31">
        <v>150</v>
      </c>
      <c r="I19" s="13"/>
      <c r="J19" s="35">
        <v>2000</v>
      </c>
      <c r="L19" s="35"/>
      <c r="M19" s="35">
        <v>500</v>
      </c>
      <c r="N19" s="14"/>
      <c r="O19" s="27"/>
      <c r="S19" s="31"/>
      <c r="T19" s="13"/>
      <c r="W19" s="31"/>
      <c r="X19" s="13"/>
      <c r="Y19" s="31">
        <v>400</v>
      </c>
      <c r="AA19" s="94"/>
      <c r="AB19" s="15"/>
    </row>
    <row r="20" spans="1:28" x14ac:dyDescent="0.25">
      <c r="A20" s="311"/>
      <c r="B20" s="20">
        <v>45902</v>
      </c>
      <c r="C20" s="14" t="s">
        <v>22</v>
      </c>
      <c r="D20" s="27"/>
      <c r="F20" s="35"/>
      <c r="H20" s="31"/>
      <c r="I20" s="13"/>
      <c r="J20" s="35"/>
      <c r="L20" s="35"/>
      <c r="M20" s="35">
        <v>1000</v>
      </c>
      <c r="N20" s="14">
        <v>600</v>
      </c>
      <c r="O20" s="27"/>
      <c r="S20" s="31"/>
      <c r="T20" s="13"/>
      <c r="W20" s="31"/>
      <c r="X20" s="13">
        <v>120</v>
      </c>
      <c r="Y20" s="31"/>
      <c r="AA20" s="94"/>
      <c r="AB20" s="15"/>
    </row>
    <row r="21" spans="1:28" x14ac:dyDescent="0.25">
      <c r="A21" s="311"/>
      <c r="B21" s="20">
        <v>45903</v>
      </c>
      <c r="C21" s="14" t="s">
        <v>22</v>
      </c>
      <c r="D21" s="27"/>
      <c r="F21" s="35"/>
      <c r="H21" s="31"/>
      <c r="I21" s="13"/>
      <c r="J21" s="35"/>
      <c r="L21" s="35"/>
      <c r="M21" s="35"/>
      <c r="N21" s="14">
        <v>1000</v>
      </c>
      <c r="O21" s="27"/>
      <c r="S21" s="31"/>
      <c r="T21" s="13">
        <f>350+150+250</f>
        <v>750</v>
      </c>
      <c r="W21" s="31"/>
      <c r="X21" s="13"/>
      <c r="Y21" s="31">
        <f>6+25</f>
        <v>31</v>
      </c>
      <c r="AA21" s="94"/>
      <c r="AB21" s="15"/>
    </row>
    <row r="22" spans="1:28" x14ac:dyDescent="0.25">
      <c r="A22" s="311"/>
      <c r="B22" s="20">
        <v>45904</v>
      </c>
      <c r="C22" s="14" t="s">
        <v>22</v>
      </c>
      <c r="D22" s="27"/>
      <c r="F22" s="35"/>
      <c r="H22" s="31"/>
      <c r="I22" s="13"/>
      <c r="J22" s="35"/>
      <c r="L22" s="35"/>
      <c r="M22" s="35"/>
      <c r="N22" s="14">
        <v>140</v>
      </c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>
        <v>45905</v>
      </c>
      <c r="C23" s="14" t="s">
        <v>22</v>
      </c>
      <c r="D23" s="27"/>
      <c r="F23" s="35"/>
      <c r="H23" s="31"/>
      <c r="I23" s="13"/>
      <c r="J23" s="35"/>
      <c r="L23" s="35"/>
      <c r="M23" s="35"/>
      <c r="N23" s="14"/>
      <c r="O23" s="27"/>
      <c r="R23">
        <v>150</v>
      </c>
      <c r="S23" s="31"/>
      <c r="T23" s="13">
        <v>140</v>
      </c>
      <c r="W23" s="31"/>
      <c r="X23" s="13"/>
      <c r="Y23" s="31">
        <f>100+500+30</f>
        <v>630</v>
      </c>
      <c r="AA23" s="94"/>
      <c r="AB23" s="15"/>
    </row>
    <row r="24" spans="1:28" x14ac:dyDescent="0.25">
      <c r="A24" s="311"/>
      <c r="B24" s="20">
        <v>45906</v>
      </c>
      <c r="C24" s="14" t="s">
        <v>22</v>
      </c>
      <c r="D24" s="27">
        <v>1200</v>
      </c>
      <c r="F24" s="35"/>
      <c r="H24" s="31"/>
      <c r="I24" s="13"/>
      <c r="J24" s="35"/>
      <c r="L24" s="35"/>
      <c r="M24" s="35"/>
      <c r="N24" s="14">
        <v>800</v>
      </c>
      <c r="O24" s="27"/>
      <c r="S24" s="31"/>
      <c r="T24" s="13">
        <v>1150</v>
      </c>
      <c r="W24" s="31"/>
      <c r="X24" s="13">
        <v>150</v>
      </c>
      <c r="Y24" s="31">
        <f>20+150</f>
        <v>170</v>
      </c>
      <c r="AA24" s="94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15.75" thickBot="1" x14ac:dyDescent="0.3">
      <c r="A26" s="312"/>
      <c r="B26" s="13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94"/>
      <c r="AB26" s="15"/>
    </row>
    <row r="27" spans="1:28" ht="21.75" thickBot="1" x14ac:dyDescent="0.3">
      <c r="A27" s="21" t="s">
        <v>23</v>
      </c>
      <c r="B27" s="22"/>
      <c r="C27" s="23"/>
      <c r="D27" s="29">
        <f t="shared" ref="D27:AB27" si="0">SUM(D4:D16)-SUM(D17:D26)</f>
        <v>6424</v>
      </c>
      <c r="E27" s="22">
        <f t="shared" si="0"/>
        <v>1500</v>
      </c>
      <c r="F27" s="37">
        <f t="shared" si="0"/>
        <v>0</v>
      </c>
      <c r="G27" s="24">
        <f t="shared" si="0"/>
        <v>0</v>
      </c>
      <c r="H27" s="33">
        <f t="shared" si="0"/>
        <v>5010</v>
      </c>
      <c r="I27" s="22">
        <f t="shared" si="0"/>
        <v>0</v>
      </c>
      <c r="J27" s="37">
        <f t="shared" si="0"/>
        <v>12800</v>
      </c>
      <c r="K27" s="24">
        <f t="shared" si="0"/>
        <v>1230</v>
      </c>
      <c r="L27" s="37">
        <f t="shared" si="0"/>
        <v>4450</v>
      </c>
      <c r="M27" s="37">
        <f t="shared" si="0"/>
        <v>6051</v>
      </c>
      <c r="N27" s="23">
        <f t="shared" si="0"/>
        <v>13416</v>
      </c>
      <c r="O27" s="29">
        <f t="shared" si="0"/>
        <v>840</v>
      </c>
      <c r="P27" s="29">
        <f t="shared" si="0"/>
        <v>32</v>
      </c>
      <c r="Q27" s="29">
        <f t="shared" si="0"/>
        <v>0</v>
      </c>
      <c r="R27" s="24">
        <f t="shared" si="0"/>
        <v>2296</v>
      </c>
      <c r="S27" s="33">
        <f t="shared" si="0"/>
        <v>0</v>
      </c>
      <c r="T27" s="22">
        <f t="shared" si="0"/>
        <v>396</v>
      </c>
      <c r="U27" s="22">
        <f t="shared" si="0"/>
        <v>0</v>
      </c>
      <c r="V27" s="22">
        <f t="shared" si="0"/>
        <v>0</v>
      </c>
      <c r="W27" s="33">
        <f t="shared" si="0"/>
        <v>0</v>
      </c>
      <c r="X27" s="22">
        <f t="shared" si="0"/>
        <v>3643</v>
      </c>
      <c r="Y27" s="33">
        <f t="shared" si="0"/>
        <v>1679</v>
      </c>
      <c r="Z27" s="22">
        <f t="shared" si="0"/>
        <v>0</v>
      </c>
      <c r="AA27" s="96">
        <f t="shared" si="0"/>
        <v>0</v>
      </c>
      <c r="AB27" s="25">
        <f t="shared" si="0"/>
        <v>20</v>
      </c>
    </row>
    <row r="29" spans="1:28" x14ac:dyDescent="0.25">
      <c r="D29">
        <f>D27*0.39+(5424*0.01)</f>
        <v>2559.6</v>
      </c>
      <c r="E29">
        <f>+E27*0.41</f>
        <v>615</v>
      </c>
      <c r="F29">
        <f>+F27*0.47</f>
        <v>0</v>
      </c>
      <c r="G29">
        <f>+G27*0.38</f>
        <v>0</v>
      </c>
      <c r="H29">
        <f>+H27*0.47-(160*0.07)</f>
        <v>2343.5</v>
      </c>
      <c r="I29">
        <f>+I27*0.58</f>
        <v>0</v>
      </c>
      <c r="J29">
        <f>+J27*0.58</f>
        <v>7423.9999999999991</v>
      </c>
      <c r="K29" s="50">
        <f>+K27*0.89</f>
        <v>1094.7</v>
      </c>
      <c r="L29">
        <f>+L27*0.69</f>
        <v>3070.4999999999995</v>
      </c>
      <c r="M29">
        <f>+M27*0.7+(751*0.02)</f>
        <v>4250.72</v>
      </c>
      <c r="N29">
        <f>+N27*0.59+(8166*0.01)</f>
        <v>7997.0999999999995</v>
      </c>
      <c r="O29">
        <f>+O27*2.3</f>
        <v>1931.9999999999998</v>
      </c>
      <c r="P29">
        <f>+P27*1.575</f>
        <v>50.4</v>
      </c>
      <c r="Q29">
        <f>Q27*1.8</f>
        <v>0</v>
      </c>
      <c r="R29">
        <f>+R27*1.8</f>
        <v>4132.8</v>
      </c>
      <c r="S29">
        <f>+S27*1.57</f>
        <v>0</v>
      </c>
      <c r="T29">
        <f>+T27*1.9</f>
        <v>752.4</v>
      </c>
      <c r="U29">
        <f>+U27*1.85</f>
        <v>0</v>
      </c>
      <c r="V29">
        <f>+V27*2.18</f>
        <v>0</v>
      </c>
      <c r="W29">
        <f>+W27*2.05</f>
        <v>0</v>
      </c>
      <c r="X29">
        <f>+X27*0.44</f>
        <v>1602.92</v>
      </c>
      <c r="Y29">
        <f>+Y27*0.34</f>
        <v>570.86</v>
      </c>
      <c r="Z29" s="50">
        <f>+Z27*1.9</f>
        <v>0</v>
      </c>
      <c r="AA29">
        <f>+AA27*0.58</f>
        <v>0</v>
      </c>
      <c r="AB29">
        <f>+AB27*1.75</f>
        <v>35</v>
      </c>
    </row>
    <row r="30" spans="1:28" x14ac:dyDescent="0.25">
      <c r="AB30" s="39">
        <f>SUM(D29:AB29)</f>
        <v>38431.5</v>
      </c>
    </row>
    <row r="31" spans="1:28" x14ac:dyDescent="0.25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3" spans="3:28" x14ac:dyDescent="0.25"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5" spans="3:28" x14ac:dyDescent="0.25">
      <c r="AB35" s="84"/>
    </row>
    <row r="38" spans="3:28" x14ac:dyDescent="0.25">
      <c r="C38" s="98"/>
    </row>
  </sheetData>
  <mergeCells count="7">
    <mergeCell ref="X2:Y2"/>
    <mergeCell ref="A4:A16"/>
    <mergeCell ref="A17:A26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7409-4BF8-44C9-B63C-DFA3E3FEE5D7}">
  <dimension ref="A1:AB41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32" sqref="G32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47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9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31-06-09'!D27</f>
        <v>6424</v>
      </c>
      <c r="E4" s="42">
        <f>'STOCK 31-06-09'!E27</f>
        <v>1500</v>
      </c>
      <c r="F4" s="42">
        <f>'STOCK 31-06-09'!F27</f>
        <v>0</v>
      </c>
      <c r="G4" s="42">
        <f>'STOCK 31-06-09'!G27</f>
        <v>0</v>
      </c>
      <c r="H4" s="42">
        <f>'STOCK 31-06-09'!H27</f>
        <v>5010</v>
      </c>
      <c r="I4" s="42">
        <f>'STOCK 31-06-09'!I27</f>
        <v>0</v>
      </c>
      <c r="J4" s="42">
        <f>'STOCK 31-06-09'!J27</f>
        <v>12800</v>
      </c>
      <c r="K4" s="42">
        <f>'STOCK 31-06-09'!K27</f>
        <v>1230</v>
      </c>
      <c r="L4" s="42">
        <f>'STOCK 31-06-09'!L27</f>
        <v>4450</v>
      </c>
      <c r="M4" s="42">
        <f>'STOCK 31-06-09'!M27</f>
        <v>6051</v>
      </c>
      <c r="N4" s="42">
        <f>'STOCK 31-06-09'!N27</f>
        <v>13416</v>
      </c>
      <c r="O4" s="42">
        <f>'STOCK 31-06-09'!O27</f>
        <v>840</v>
      </c>
      <c r="P4" s="42">
        <f>'STOCK 31-06-09'!P27</f>
        <v>32</v>
      </c>
      <c r="Q4" s="42">
        <f>'STOCK 31-06-09'!Q27</f>
        <v>0</v>
      </c>
      <c r="R4" s="42">
        <f>'STOCK 31-06-09'!R27</f>
        <v>2296</v>
      </c>
      <c r="S4" s="42">
        <f>'STOCK 31-06-09'!S27</f>
        <v>0</v>
      </c>
      <c r="T4" s="42">
        <f>'STOCK 31-06-09'!T27</f>
        <v>396</v>
      </c>
      <c r="U4" s="42">
        <f>'STOCK 31-06-09'!U27</f>
        <v>0</v>
      </c>
      <c r="V4" s="42">
        <f>'STOCK 31-06-09'!V27</f>
        <v>0</v>
      </c>
      <c r="W4" s="42">
        <f>'STOCK 31-06-09'!W27</f>
        <v>0</v>
      </c>
      <c r="X4" s="42">
        <f>'STOCK 31-06-09'!X27</f>
        <v>3643</v>
      </c>
      <c r="Y4" s="42">
        <f>'STOCK 31-06-09'!Y27</f>
        <v>1679</v>
      </c>
      <c r="Z4" s="42">
        <f>'STOCK 31-06-09'!Z27</f>
        <v>0</v>
      </c>
      <c r="AA4" s="42">
        <f>'STOCK 31-06-09'!AA27</f>
        <v>0</v>
      </c>
      <c r="AB4" s="42">
        <f>'STOCK 31-06-09'!AB27</f>
        <v>20</v>
      </c>
    </row>
    <row r="5" spans="1:28" x14ac:dyDescent="0.25">
      <c r="A5" s="311"/>
      <c r="B5" s="20">
        <v>45908</v>
      </c>
      <c r="C5" s="82" t="s">
        <v>46</v>
      </c>
      <c r="D5" s="27">
        <v>500</v>
      </c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45909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/>
      <c r="W6" s="31">
        <v>1000</v>
      </c>
      <c r="X6" s="13"/>
      <c r="Y6" s="31"/>
      <c r="AA6" s="94"/>
      <c r="AB6" s="15"/>
    </row>
    <row r="7" spans="1:28" x14ac:dyDescent="0.25">
      <c r="A7" s="311"/>
      <c r="B7" s="20">
        <v>45909</v>
      </c>
      <c r="C7" s="82" t="s">
        <v>46</v>
      </c>
      <c r="D7" s="27">
        <v>4000</v>
      </c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45910</v>
      </c>
      <c r="C8" s="82" t="s">
        <v>27</v>
      </c>
      <c r="D8" s="27"/>
      <c r="F8" s="35"/>
      <c r="H8" s="31"/>
      <c r="I8" s="13"/>
      <c r="J8" s="35"/>
      <c r="L8" s="35"/>
      <c r="M8" s="35">
        <v>500</v>
      </c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45910</v>
      </c>
      <c r="C9" s="82" t="s">
        <v>46</v>
      </c>
      <c r="D9" s="27">
        <v>6000</v>
      </c>
      <c r="F9" s="35"/>
      <c r="H9" s="31"/>
      <c r="I9" s="13"/>
      <c r="J9" s="35"/>
      <c r="L9" s="35"/>
      <c r="M9" s="35">
        <v>1500</v>
      </c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45910</v>
      </c>
      <c r="C10" s="82" t="s">
        <v>72</v>
      </c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>
        <v>1500</v>
      </c>
      <c r="AA10" s="94"/>
      <c r="AB10" s="15"/>
    </row>
    <row r="11" spans="1:28" x14ac:dyDescent="0.25">
      <c r="A11" s="311"/>
      <c r="B11" s="20">
        <v>45911</v>
      </c>
      <c r="C11" s="82" t="s">
        <v>27</v>
      </c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>
        <v>1000</v>
      </c>
      <c r="W11" s="31"/>
      <c r="X11" s="13"/>
      <c r="Y11" s="31"/>
      <c r="AA11" s="94"/>
      <c r="AB11" s="15"/>
    </row>
    <row r="12" spans="1:28" x14ac:dyDescent="0.25">
      <c r="A12" s="311"/>
      <c r="B12" s="20">
        <v>45912</v>
      </c>
      <c r="C12" s="82" t="s">
        <v>46</v>
      </c>
      <c r="D12" s="27"/>
      <c r="F12" s="35"/>
      <c r="H12" s="31"/>
      <c r="I12" s="13"/>
      <c r="J12" s="35"/>
      <c r="L12" s="35"/>
      <c r="M12" s="35"/>
      <c r="N12" s="14">
        <v>1000</v>
      </c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>
        <v>45912</v>
      </c>
      <c r="C13" s="82" t="s">
        <v>27</v>
      </c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>
        <v>500</v>
      </c>
      <c r="W13" s="31"/>
      <c r="X13" s="13"/>
      <c r="Y13" s="31"/>
      <c r="AA13" s="94"/>
      <c r="AB13" s="15"/>
    </row>
    <row r="14" spans="1:28" x14ac:dyDescent="0.25">
      <c r="A14" s="311"/>
      <c r="B14" s="20">
        <v>45913</v>
      </c>
      <c r="C14" s="82" t="s">
        <v>27</v>
      </c>
      <c r="D14" s="27"/>
      <c r="F14" s="35"/>
      <c r="H14" s="31"/>
      <c r="I14" s="13"/>
      <c r="J14" s="35"/>
      <c r="L14" s="35"/>
      <c r="M14" s="35"/>
      <c r="N14" s="14"/>
      <c r="O14" s="27"/>
      <c r="R14">
        <v>800</v>
      </c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/>
      <c r="C15" s="82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/>
      <c r="C16" s="82"/>
      <c r="D16" s="27"/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/>
      <c r="C17" s="82"/>
      <c r="D17" s="27"/>
      <c r="F17" s="35"/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/>
      <c r="C18" s="82"/>
      <c r="D18" s="27"/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ht="15.75" thickBot="1" x14ac:dyDescent="0.3">
      <c r="A19" s="312"/>
      <c r="B19" s="72"/>
      <c r="C19" s="17"/>
      <c r="D19" s="28"/>
      <c r="E19" s="18"/>
      <c r="F19" s="36"/>
      <c r="G19" s="18"/>
      <c r="H19" s="32"/>
      <c r="I19" s="16"/>
      <c r="J19" s="36"/>
      <c r="K19" s="18"/>
      <c r="L19" s="36"/>
      <c r="M19" s="36"/>
      <c r="N19" s="17"/>
      <c r="O19" s="28"/>
      <c r="P19" s="18"/>
      <c r="Q19" s="18"/>
      <c r="R19" s="18"/>
      <c r="S19" s="32"/>
      <c r="T19" s="16"/>
      <c r="U19" s="18"/>
      <c r="V19" s="18"/>
      <c r="W19" s="32"/>
      <c r="X19" s="16"/>
      <c r="Y19" s="32"/>
      <c r="Z19" s="18"/>
      <c r="AA19" s="95"/>
      <c r="AB19" s="19"/>
    </row>
    <row r="20" spans="1:28" x14ac:dyDescent="0.25">
      <c r="A20" s="310" t="s">
        <v>62</v>
      </c>
      <c r="B20" s="20"/>
      <c r="C20" s="14"/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45907</v>
      </c>
      <c r="C21" s="14" t="s">
        <v>22</v>
      </c>
      <c r="D21" s="27"/>
      <c r="F21" s="35"/>
      <c r="H21" s="31"/>
      <c r="I21" s="13"/>
      <c r="J21" s="35"/>
      <c r="L21" s="35"/>
      <c r="M21" s="35">
        <v>1000</v>
      </c>
      <c r="N21" s="14"/>
      <c r="O21" s="27"/>
      <c r="S21" s="31"/>
      <c r="T21" s="13">
        <f>250</f>
        <v>250</v>
      </c>
      <c r="W21" s="31"/>
      <c r="X21" s="13">
        <v>500</v>
      </c>
      <c r="Y21" s="31"/>
      <c r="AA21" s="94"/>
      <c r="AB21" s="15"/>
    </row>
    <row r="22" spans="1:28" x14ac:dyDescent="0.25">
      <c r="A22" s="311"/>
      <c r="B22" s="20">
        <v>45908</v>
      </c>
      <c r="C22" s="14" t="s">
        <v>22</v>
      </c>
      <c r="D22" s="27"/>
      <c r="F22" s="35"/>
      <c r="H22" s="31"/>
      <c r="I22" s="13"/>
      <c r="J22" s="35"/>
      <c r="L22" s="35"/>
      <c r="M22" s="35"/>
      <c r="N22" s="14"/>
      <c r="O22" s="27"/>
      <c r="R22">
        <v>515</v>
      </c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>
        <v>45909</v>
      </c>
      <c r="C23" s="14" t="s">
        <v>22</v>
      </c>
      <c r="D23" s="27">
        <f>300+250</f>
        <v>550</v>
      </c>
      <c r="F23" s="35"/>
      <c r="H23" s="31"/>
      <c r="I23" s="13"/>
      <c r="J23" s="35">
        <f>580+400</f>
        <v>980</v>
      </c>
      <c r="L23" s="35"/>
      <c r="M23" s="35"/>
      <c r="N23" s="14">
        <v>150</v>
      </c>
      <c r="O23" s="27"/>
      <c r="S23" s="31"/>
      <c r="T23" s="13">
        <f>250-110</f>
        <v>140</v>
      </c>
      <c r="W23" s="31"/>
      <c r="X23" s="13">
        <v>500</v>
      </c>
      <c r="Y23" s="31"/>
      <c r="AA23" s="94"/>
      <c r="AB23" s="15"/>
    </row>
    <row r="24" spans="1:28" x14ac:dyDescent="0.25">
      <c r="A24" s="311"/>
      <c r="B24" s="20">
        <v>45910</v>
      </c>
      <c r="C24" s="14" t="s">
        <v>22</v>
      </c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>
        <f>380+300+200</f>
        <v>880</v>
      </c>
      <c r="Y24" s="31"/>
      <c r="AA24" s="94"/>
      <c r="AB24" s="15"/>
    </row>
    <row r="25" spans="1:28" x14ac:dyDescent="0.25">
      <c r="A25" s="311"/>
      <c r="B25" s="20">
        <v>45911</v>
      </c>
      <c r="C25" s="14" t="s">
        <v>22</v>
      </c>
      <c r="D25" s="27"/>
      <c r="F25" s="35"/>
      <c r="H25" s="31">
        <v>120</v>
      </c>
      <c r="I25" s="13"/>
      <c r="J25" s="35"/>
      <c r="L25" s="35"/>
      <c r="M25" s="35"/>
      <c r="N25" s="14">
        <v>1500</v>
      </c>
      <c r="O25" s="27"/>
      <c r="R25">
        <v>450</v>
      </c>
      <c r="S25" s="31"/>
      <c r="T25" s="13"/>
      <c r="W25" s="31"/>
      <c r="X25" s="13">
        <v>500</v>
      </c>
      <c r="Y25" s="31"/>
      <c r="AA25" s="94"/>
      <c r="AB25" s="15"/>
    </row>
    <row r="26" spans="1:28" x14ac:dyDescent="0.25">
      <c r="A26" s="311"/>
      <c r="B26" s="20">
        <v>45912</v>
      </c>
      <c r="C26" s="14" t="s">
        <v>22</v>
      </c>
      <c r="D26" s="27"/>
      <c r="F26" s="35"/>
      <c r="H26" s="31"/>
      <c r="I26" s="13"/>
      <c r="J26" s="35">
        <v>800</v>
      </c>
      <c r="L26" s="35">
        <v>1500</v>
      </c>
      <c r="M26" s="35"/>
      <c r="N26" s="14">
        <v>80</v>
      </c>
      <c r="O26" s="27"/>
      <c r="S26" s="31"/>
      <c r="T26" s="13">
        <f>36+60</f>
        <v>96</v>
      </c>
      <c r="W26" s="31">
        <v>10</v>
      </c>
      <c r="X26" s="13"/>
      <c r="Y26" s="31"/>
      <c r="AA26" s="94"/>
      <c r="AB26" s="15"/>
    </row>
    <row r="27" spans="1:28" x14ac:dyDescent="0.25">
      <c r="A27" s="311"/>
      <c r="B27" s="20">
        <v>45913</v>
      </c>
      <c r="C27" s="14" t="s">
        <v>22</v>
      </c>
      <c r="D27" s="27">
        <v>1000</v>
      </c>
      <c r="F27" s="35"/>
      <c r="H27" s="31"/>
      <c r="I27" s="13"/>
      <c r="J27" s="35"/>
      <c r="L27" s="35"/>
      <c r="M27" s="35"/>
      <c r="N27" s="14">
        <v>1000</v>
      </c>
      <c r="O27" s="27"/>
      <c r="S27" s="31"/>
      <c r="T27" s="13"/>
      <c r="W27" s="31"/>
      <c r="X27" s="13"/>
      <c r="Y27" s="31"/>
      <c r="AA27" s="94"/>
      <c r="AB27" s="15"/>
    </row>
    <row r="28" spans="1:28" x14ac:dyDescent="0.25">
      <c r="A28" s="311"/>
      <c r="B28" s="20"/>
      <c r="C28" s="14"/>
      <c r="D28" s="27"/>
      <c r="F28" s="35"/>
      <c r="H28" s="31"/>
      <c r="I28" s="13"/>
      <c r="J28" s="35"/>
      <c r="L28" s="35"/>
      <c r="M28" s="35"/>
      <c r="N28" s="14"/>
      <c r="O28" s="27"/>
      <c r="S28" s="31"/>
      <c r="T28" s="13"/>
      <c r="W28" s="31"/>
      <c r="X28" s="13"/>
      <c r="Y28" s="31"/>
      <c r="AA28" s="94"/>
      <c r="AB28" s="15"/>
    </row>
    <row r="29" spans="1:28" ht="15.75" thickBot="1" x14ac:dyDescent="0.3">
      <c r="A29" s="312"/>
      <c r="B29" s="13"/>
      <c r="C29" s="14"/>
      <c r="D29" s="27"/>
      <c r="F29" s="35"/>
      <c r="H29" s="31"/>
      <c r="I29" s="13"/>
      <c r="J29" s="35"/>
      <c r="L29" s="35"/>
      <c r="M29" s="35"/>
      <c r="N29" s="14"/>
      <c r="O29" s="27"/>
      <c r="S29" s="31"/>
      <c r="T29" s="13"/>
      <c r="W29" s="31"/>
      <c r="X29" s="13"/>
      <c r="Y29" s="31"/>
      <c r="AA29" s="94"/>
      <c r="AB29" s="15"/>
    </row>
    <row r="30" spans="1:28" ht="21.75" thickBot="1" x14ac:dyDescent="0.3">
      <c r="A30" s="21" t="s">
        <v>23</v>
      </c>
      <c r="B30" s="22"/>
      <c r="C30" s="23"/>
      <c r="D30" s="29">
        <f t="shared" ref="D30:AB30" si="0">SUM(D4:D19)-SUM(D20:D29)</f>
        <v>15374</v>
      </c>
      <c r="E30" s="22">
        <f t="shared" si="0"/>
        <v>1500</v>
      </c>
      <c r="F30" s="37">
        <f t="shared" si="0"/>
        <v>0</v>
      </c>
      <c r="G30" s="24">
        <f t="shared" si="0"/>
        <v>0</v>
      </c>
      <c r="H30" s="33">
        <f t="shared" si="0"/>
        <v>4890</v>
      </c>
      <c r="I30" s="22">
        <f t="shared" si="0"/>
        <v>0</v>
      </c>
      <c r="J30" s="37">
        <f t="shared" si="0"/>
        <v>11020</v>
      </c>
      <c r="K30" s="24">
        <f t="shared" si="0"/>
        <v>1230</v>
      </c>
      <c r="L30" s="37">
        <f t="shared" si="0"/>
        <v>2950</v>
      </c>
      <c r="M30" s="37">
        <f t="shared" si="0"/>
        <v>7051</v>
      </c>
      <c r="N30" s="23">
        <f t="shared" si="0"/>
        <v>11686</v>
      </c>
      <c r="O30" s="29">
        <f t="shared" si="0"/>
        <v>840</v>
      </c>
      <c r="P30" s="29">
        <f t="shared" si="0"/>
        <v>32</v>
      </c>
      <c r="Q30" s="29">
        <f t="shared" si="0"/>
        <v>0</v>
      </c>
      <c r="R30" s="24">
        <f t="shared" si="0"/>
        <v>2131</v>
      </c>
      <c r="S30" s="33">
        <f t="shared" si="0"/>
        <v>0</v>
      </c>
      <c r="T30" s="22">
        <f t="shared" si="0"/>
        <v>1410</v>
      </c>
      <c r="U30" s="22">
        <f t="shared" si="0"/>
        <v>0</v>
      </c>
      <c r="V30" s="22">
        <f t="shared" si="0"/>
        <v>0</v>
      </c>
      <c r="W30" s="33">
        <f t="shared" si="0"/>
        <v>990</v>
      </c>
      <c r="X30" s="22">
        <f t="shared" si="0"/>
        <v>1263</v>
      </c>
      <c r="Y30" s="33">
        <f t="shared" si="0"/>
        <v>3179</v>
      </c>
      <c r="Z30" s="22">
        <f t="shared" si="0"/>
        <v>0</v>
      </c>
      <c r="AA30" s="96">
        <f t="shared" si="0"/>
        <v>0</v>
      </c>
      <c r="AB30" s="25">
        <f t="shared" si="0"/>
        <v>20</v>
      </c>
    </row>
    <row r="32" spans="1:28" x14ac:dyDescent="0.25">
      <c r="D32">
        <f>D30*0.39+(3874*0.01)</f>
        <v>6034.6</v>
      </c>
      <c r="E32">
        <f>+E30*0.41</f>
        <v>615</v>
      </c>
      <c r="F32">
        <f>+F30*0.47</f>
        <v>0</v>
      </c>
      <c r="G32">
        <f>+G30*0.38</f>
        <v>0</v>
      </c>
      <c r="H32">
        <f>+H30*0.47-(160*0.07)</f>
        <v>2287.1</v>
      </c>
      <c r="I32">
        <f>+I30*0.58</f>
        <v>0</v>
      </c>
      <c r="J32">
        <f>+J30*0.58</f>
        <v>6391.5999999999995</v>
      </c>
      <c r="K32" s="50">
        <f>+K30*0.89</f>
        <v>1094.7</v>
      </c>
      <c r="L32">
        <f>+L30*0.69</f>
        <v>2035.4999999999998</v>
      </c>
      <c r="M32">
        <f>+M30*0.7+(751*0.02)</f>
        <v>4950.72</v>
      </c>
      <c r="N32">
        <f>+N30*0.59+(5436*0.01)</f>
        <v>6949.0999999999995</v>
      </c>
      <c r="O32">
        <f>+O30*2.3</f>
        <v>1931.9999999999998</v>
      </c>
      <c r="P32">
        <f>+P30*1.575</f>
        <v>50.4</v>
      </c>
      <c r="Q32">
        <f>Q30*1.8</f>
        <v>0</v>
      </c>
      <c r="R32">
        <f>+R30*1.85-(1331*0.05)</f>
        <v>3875.8</v>
      </c>
      <c r="S32">
        <f>+S30*1.57</f>
        <v>0</v>
      </c>
      <c r="T32">
        <f>+T30*1.9</f>
        <v>2679</v>
      </c>
      <c r="U32">
        <f>+U30*1.85</f>
        <v>0</v>
      </c>
      <c r="V32">
        <f>+V30*2.18</f>
        <v>0</v>
      </c>
      <c r="W32">
        <f>+W30*2.05</f>
        <v>2029.4999999999998</v>
      </c>
      <c r="X32">
        <f>+X30*0.44</f>
        <v>555.72</v>
      </c>
      <c r="Y32">
        <f>+Y30*0.34</f>
        <v>1080.8600000000001</v>
      </c>
      <c r="Z32" s="50">
        <f>+Z30*1.9</f>
        <v>0</v>
      </c>
      <c r="AA32">
        <f>+AA30*0.58</f>
        <v>0</v>
      </c>
      <c r="AB32">
        <f>+AB30*1.75</f>
        <v>35</v>
      </c>
    </row>
    <row r="33" spans="3:28" x14ac:dyDescent="0.25">
      <c r="AB33" s="39">
        <f>SUM(D32:AB32)</f>
        <v>42596.600000000006</v>
      </c>
    </row>
    <row r="34" spans="3:28" x14ac:dyDescent="0.25"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6" spans="3:28" x14ac:dyDescent="0.25"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</row>
    <row r="37" spans="3:28" x14ac:dyDescent="0.25">
      <c r="O37">
        <f>510*1.5</f>
        <v>765</v>
      </c>
    </row>
    <row r="38" spans="3:28" x14ac:dyDescent="0.25">
      <c r="O38">
        <f>340*2</f>
        <v>680</v>
      </c>
      <c r="AB38" s="84"/>
    </row>
    <row r="39" spans="3:28" x14ac:dyDescent="0.25">
      <c r="O39">
        <f>+O38+O37</f>
        <v>1445</v>
      </c>
    </row>
    <row r="41" spans="3:28" x14ac:dyDescent="0.25">
      <c r="C41" s="98"/>
    </row>
  </sheetData>
  <mergeCells count="7">
    <mergeCell ref="X2:Y2"/>
    <mergeCell ref="A4:A19"/>
    <mergeCell ref="A20:A29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57D4-0540-4DB6-A772-32C3ED65FEF0}">
  <dimension ref="A1:AB36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6" sqref="T6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13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07-13-09'!D30</f>
        <v>15374</v>
      </c>
      <c r="E4" s="42">
        <f>'STOCK 07-13-09'!E30</f>
        <v>1500</v>
      </c>
      <c r="F4" s="42">
        <f>'STOCK 07-13-09'!F30</f>
        <v>0</v>
      </c>
      <c r="G4" s="42">
        <f>'STOCK 07-13-09'!G30</f>
        <v>0</v>
      </c>
      <c r="H4" s="42">
        <f>'STOCK 07-13-09'!H30</f>
        <v>4890</v>
      </c>
      <c r="I4" s="42">
        <f>'STOCK 07-13-09'!I30</f>
        <v>0</v>
      </c>
      <c r="J4" s="42">
        <f>'STOCK 07-13-09'!J30</f>
        <v>11020</v>
      </c>
      <c r="K4" s="42">
        <f>'STOCK 07-13-09'!K30</f>
        <v>1230</v>
      </c>
      <c r="L4" s="42">
        <f>'STOCK 07-13-09'!L30</f>
        <v>2950</v>
      </c>
      <c r="M4" s="42">
        <f>'STOCK 07-13-09'!M30</f>
        <v>7051</v>
      </c>
      <c r="N4" s="42">
        <f>'STOCK 07-13-09'!N30</f>
        <v>11686</v>
      </c>
      <c r="O4" s="42">
        <f>'STOCK 07-13-09'!O30</f>
        <v>840</v>
      </c>
      <c r="P4" s="42">
        <f>'STOCK 07-13-09'!P30</f>
        <v>32</v>
      </c>
      <c r="Q4" s="42">
        <f>'STOCK 07-13-09'!Q30</f>
        <v>0</v>
      </c>
      <c r="R4" s="42">
        <f>'STOCK 07-13-09'!R30</f>
        <v>2131</v>
      </c>
      <c r="S4" s="42">
        <f>'STOCK 07-13-09'!S30</f>
        <v>0</v>
      </c>
      <c r="T4" s="42">
        <f>'STOCK 07-13-09'!T30</f>
        <v>1410</v>
      </c>
      <c r="U4" s="42">
        <f>'STOCK 07-13-09'!U30</f>
        <v>0</v>
      </c>
      <c r="V4" s="42">
        <f>'STOCK 07-13-09'!V30</f>
        <v>0</v>
      </c>
      <c r="W4" s="42">
        <f>'STOCK 07-13-09'!W30</f>
        <v>990</v>
      </c>
      <c r="X4" s="42">
        <f>'STOCK 07-13-09'!X30</f>
        <v>1263</v>
      </c>
      <c r="Y4" s="42">
        <f>'STOCK 07-13-09'!Y30</f>
        <v>3179</v>
      </c>
      <c r="Z4" s="42">
        <f>'STOCK 07-13-09'!Z30</f>
        <v>0</v>
      </c>
      <c r="AA4" s="42">
        <f>'STOCK 07-13-09'!AA30</f>
        <v>0</v>
      </c>
      <c r="AB4" s="42">
        <f>'STOCK 07-13-09'!AB30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45916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>
        <v>500</v>
      </c>
      <c r="W6" s="31"/>
      <c r="X6" s="13"/>
      <c r="Y6" s="31"/>
      <c r="AA6" s="94"/>
      <c r="AB6" s="15"/>
    </row>
    <row r="7" spans="1:28" x14ac:dyDescent="0.25">
      <c r="A7" s="311"/>
      <c r="B7" s="20">
        <v>45917</v>
      </c>
      <c r="C7" s="82" t="s">
        <v>27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Z7">
        <v>500</v>
      </c>
      <c r="AA7" s="94"/>
      <c r="AB7" s="15"/>
    </row>
    <row r="8" spans="1:28" x14ac:dyDescent="0.25">
      <c r="A8" s="311"/>
      <c r="B8" s="20">
        <v>45918</v>
      </c>
      <c r="C8" s="82" t="s">
        <v>46</v>
      </c>
      <c r="D8" s="27"/>
      <c r="F8" s="35"/>
      <c r="H8" s="31"/>
      <c r="I8" s="13"/>
      <c r="J8" s="35"/>
      <c r="L8" s="35"/>
      <c r="M8" s="35"/>
      <c r="N8" s="14"/>
      <c r="O8" s="27"/>
      <c r="R8">
        <v>1500</v>
      </c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45919</v>
      </c>
      <c r="C9" s="82" t="s">
        <v>46</v>
      </c>
      <c r="D9" s="27"/>
      <c r="F9" s="35"/>
      <c r="H9" s="31">
        <v>3000</v>
      </c>
      <c r="I9" s="13"/>
      <c r="J9" s="35"/>
      <c r="L9" s="35">
        <v>2000</v>
      </c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36"/>
      <c r="N12" s="17"/>
      <c r="O12" s="28"/>
      <c r="P12" s="1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95"/>
      <c r="AB12" s="19"/>
    </row>
    <row r="13" spans="1:28" x14ac:dyDescent="0.25">
      <c r="A13" s="310" t="s">
        <v>62</v>
      </c>
      <c r="B13" s="20">
        <v>45914</v>
      </c>
      <c r="C13" s="14" t="s">
        <v>22</v>
      </c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>
        <v>10</v>
      </c>
      <c r="W13" s="31"/>
      <c r="X13" s="13"/>
      <c r="Y13" s="31">
        <v>100</v>
      </c>
      <c r="AA13" s="94"/>
      <c r="AB13" s="15"/>
    </row>
    <row r="14" spans="1:28" x14ac:dyDescent="0.25">
      <c r="A14" s="311"/>
      <c r="B14" s="20">
        <v>45915</v>
      </c>
      <c r="C14" s="14" t="s">
        <v>22</v>
      </c>
      <c r="D14" s="27"/>
      <c r="F14" s="35"/>
      <c r="H14" s="31"/>
      <c r="I14" s="13"/>
      <c r="J14" s="35">
        <v>2000</v>
      </c>
      <c r="L14" s="35">
        <v>1500</v>
      </c>
      <c r="M14" s="35"/>
      <c r="N14" s="14"/>
      <c r="O14" s="27"/>
      <c r="S14" s="31"/>
      <c r="T14" s="13"/>
      <c r="W14" s="31"/>
      <c r="X14" s="13">
        <f>500+150</f>
        <v>650</v>
      </c>
      <c r="Y14" s="31"/>
      <c r="AA14" s="94"/>
      <c r="AB14" s="15"/>
    </row>
    <row r="15" spans="1:28" x14ac:dyDescent="0.25">
      <c r="A15" s="311"/>
      <c r="B15" s="20">
        <v>45916</v>
      </c>
      <c r="C15" s="14" t="s">
        <v>22</v>
      </c>
      <c r="D15" s="27">
        <v>2600</v>
      </c>
      <c r="F15" s="35"/>
      <c r="H15" s="31"/>
      <c r="I15" s="13"/>
      <c r="J15" s="35"/>
      <c r="L15" s="35">
        <v>1084</v>
      </c>
      <c r="M15" s="35"/>
      <c r="N15" s="14"/>
      <c r="O15" s="27"/>
      <c r="S15" s="31"/>
      <c r="T15" s="13"/>
      <c r="W15" s="31"/>
      <c r="X15" s="13">
        <f>200+40+10</f>
        <v>250</v>
      </c>
      <c r="Y15" s="31"/>
      <c r="AA15" s="94"/>
      <c r="AB15" s="15"/>
    </row>
    <row r="16" spans="1:28" x14ac:dyDescent="0.25">
      <c r="A16" s="311"/>
      <c r="B16" s="20">
        <v>45916</v>
      </c>
      <c r="C16" s="14" t="s">
        <v>45</v>
      </c>
      <c r="D16" s="27"/>
      <c r="F16" s="35"/>
      <c r="H16" s="31"/>
      <c r="I16" s="13"/>
      <c r="J16" s="35"/>
      <c r="L16" s="35"/>
      <c r="M16" s="35"/>
      <c r="N16" s="14"/>
      <c r="O16" s="27"/>
      <c r="R16">
        <v>600</v>
      </c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45917</v>
      </c>
      <c r="C17" s="14" t="s">
        <v>22</v>
      </c>
      <c r="D17" s="27">
        <v>15</v>
      </c>
      <c r="F17" s="35"/>
      <c r="H17" s="31">
        <v>30</v>
      </c>
      <c r="I17" s="13"/>
      <c r="J17" s="35"/>
      <c r="L17" s="35"/>
      <c r="M17" s="35">
        <v>150</v>
      </c>
      <c r="N17" s="14">
        <v>2000</v>
      </c>
      <c r="O17" s="27"/>
      <c r="S17" s="31"/>
      <c r="T17" s="13">
        <v>10</v>
      </c>
      <c r="W17" s="31"/>
      <c r="X17" s="13"/>
      <c r="Y17" s="31"/>
      <c r="AA17" s="94"/>
      <c r="AB17" s="15"/>
    </row>
    <row r="18" spans="1:28" x14ac:dyDescent="0.25">
      <c r="A18" s="311"/>
      <c r="B18" s="20">
        <v>45918</v>
      </c>
      <c r="C18" s="14" t="s">
        <v>22</v>
      </c>
      <c r="D18" s="27">
        <v>20</v>
      </c>
      <c r="F18" s="35"/>
      <c r="H18" s="31"/>
      <c r="I18" s="13"/>
      <c r="J18" s="35">
        <v>500</v>
      </c>
      <c r="L18" s="35"/>
      <c r="M18" s="35">
        <v>1000</v>
      </c>
      <c r="N18" s="14"/>
      <c r="O18" s="27"/>
      <c r="S18" s="31"/>
      <c r="T18" s="13">
        <v>95</v>
      </c>
      <c r="W18" s="31">
        <v>700</v>
      </c>
      <c r="X18" s="83"/>
      <c r="Y18" s="31"/>
      <c r="AA18" s="94"/>
      <c r="AB18" s="15"/>
    </row>
    <row r="19" spans="1:28" x14ac:dyDescent="0.25">
      <c r="A19" s="311"/>
      <c r="B19" s="20">
        <v>45919</v>
      </c>
      <c r="C19" s="14" t="s">
        <v>22</v>
      </c>
      <c r="D19" s="27"/>
      <c r="F19" s="35"/>
      <c r="H19" s="31"/>
      <c r="I19" s="13"/>
      <c r="J19" s="35">
        <v>500</v>
      </c>
      <c r="L19" s="35"/>
      <c r="M19" s="35"/>
      <c r="N19" s="14">
        <f>900+800</f>
        <v>1700</v>
      </c>
      <c r="O19" s="27"/>
      <c r="S19" s="31"/>
      <c r="T19" s="13"/>
      <c r="W19" s="31">
        <v>70</v>
      </c>
      <c r="X19" s="13"/>
      <c r="Y19" s="31"/>
      <c r="AA19" s="94"/>
      <c r="AB19" s="15"/>
    </row>
    <row r="20" spans="1:28" x14ac:dyDescent="0.25">
      <c r="A20" s="311"/>
      <c r="B20" s="20">
        <v>45920</v>
      </c>
      <c r="C20" s="14" t="s">
        <v>45</v>
      </c>
      <c r="D20" s="27"/>
      <c r="F20" s="35"/>
      <c r="H20" s="31"/>
      <c r="I20" s="13"/>
      <c r="J20" s="35"/>
      <c r="L20" s="35"/>
      <c r="M20" s="35">
        <v>3000</v>
      </c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45920</v>
      </c>
      <c r="C21" s="14" t="s">
        <v>22</v>
      </c>
      <c r="D21" s="27"/>
      <c r="F21" s="35"/>
      <c r="H21" s="31"/>
      <c r="I21" s="13"/>
      <c r="J21" s="35"/>
      <c r="L21" s="35">
        <v>1200</v>
      </c>
      <c r="M21" s="35"/>
      <c r="N21" s="14"/>
      <c r="O21" s="27"/>
      <c r="S21" s="31"/>
      <c r="T21" s="13">
        <v>205</v>
      </c>
      <c r="W21" s="31"/>
      <c r="X21" s="13"/>
      <c r="Y21" s="31">
        <v>50</v>
      </c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SUM(D4:D12)-SUM(D13:D24)</f>
        <v>12739</v>
      </c>
      <c r="E25" s="22">
        <f t="shared" si="0"/>
        <v>1500</v>
      </c>
      <c r="F25" s="37">
        <f t="shared" si="0"/>
        <v>0</v>
      </c>
      <c r="G25" s="24">
        <f t="shared" si="0"/>
        <v>0</v>
      </c>
      <c r="H25" s="33">
        <f t="shared" si="0"/>
        <v>7860</v>
      </c>
      <c r="I25" s="22">
        <f t="shared" si="0"/>
        <v>0</v>
      </c>
      <c r="J25" s="37">
        <f t="shared" si="0"/>
        <v>8020</v>
      </c>
      <c r="K25" s="24">
        <f t="shared" si="0"/>
        <v>1230</v>
      </c>
      <c r="L25" s="37">
        <f t="shared" si="0"/>
        <v>1166</v>
      </c>
      <c r="M25" s="37">
        <f t="shared" si="0"/>
        <v>2901</v>
      </c>
      <c r="N25" s="23">
        <f t="shared" si="0"/>
        <v>7986</v>
      </c>
      <c r="O25" s="29">
        <f t="shared" si="0"/>
        <v>840</v>
      </c>
      <c r="P25" s="29">
        <f t="shared" si="0"/>
        <v>32</v>
      </c>
      <c r="Q25" s="29">
        <f t="shared" si="0"/>
        <v>0</v>
      </c>
      <c r="R25" s="24">
        <f t="shared" si="0"/>
        <v>3031</v>
      </c>
      <c r="S25" s="33">
        <f t="shared" si="0"/>
        <v>0</v>
      </c>
      <c r="T25" s="22">
        <f t="shared" si="0"/>
        <v>1590</v>
      </c>
      <c r="U25" s="22">
        <f t="shared" si="0"/>
        <v>0</v>
      </c>
      <c r="V25" s="22">
        <f t="shared" si="0"/>
        <v>0</v>
      </c>
      <c r="W25" s="33">
        <f t="shared" si="0"/>
        <v>220</v>
      </c>
      <c r="X25" s="22">
        <f t="shared" si="0"/>
        <v>363</v>
      </c>
      <c r="Y25" s="33">
        <f t="shared" si="0"/>
        <v>3029</v>
      </c>
      <c r="Z25" s="22">
        <f t="shared" si="0"/>
        <v>500</v>
      </c>
      <c r="AA25" s="96">
        <f t="shared" si="0"/>
        <v>0</v>
      </c>
      <c r="AB25" s="25">
        <f t="shared" si="0"/>
        <v>20</v>
      </c>
    </row>
    <row r="27" spans="1:28" x14ac:dyDescent="0.25">
      <c r="D27">
        <f>D25*0.39+(1239*0.01)</f>
        <v>4980.6000000000004</v>
      </c>
      <c r="E27">
        <f>+E25*0.41</f>
        <v>615</v>
      </c>
      <c r="F27">
        <f>+F25*0.47</f>
        <v>0</v>
      </c>
      <c r="G27">
        <f>+G25*0.38</f>
        <v>0</v>
      </c>
      <c r="H27">
        <f>+H25*0.47-(160*0.07)</f>
        <v>3683</v>
      </c>
      <c r="I27">
        <f>+I25*0.58</f>
        <v>0</v>
      </c>
      <c r="J27">
        <f>+J25*0.58</f>
        <v>4651.5999999999995</v>
      </c>
      <c r="K27" s="50">
        <f>+K25*0.89</f>
        <v>1094.7</v>
      </c>
      <c r="L27">
        <f>+L25*0.69</f>
        <v>804.54</v>
      </c>
      <c r="M27">
        <f>+M25*0.7+(751*0.02)</f>
        <v>2045.7199999999998</v>
      </c>
      <c r="N27">
        <f>+N25*0.59+(1736*0.01)</f>
        <v>4729.0999999999995</v>
      </c>
      <c r="O27">
        <f>+O25*2.3</f>
        <v>1931.9999999999998</v>
      </c>
      <c r="P27">
        <f>+P25*1.575</f>
        <v>50.4</v>
      </c>
      <c r="Q27">
        <f>Q25*1.8</f>
        <v>0</v>
      </c>
      <c r="R27">
        <f>+R25*1.85-(731*0.05)</f>
        <v>5570.8</v>
      </c>
      <c r="S27">
        <f>+S25*1.57</f>
        <v>0</v>
      </c>
      <c r="T27">
        <f>+T25*1.95-(1090*0.05)</f>
        <v>3046</v>
      </c>
      <c r="U27">
        <f>+U25*1.85</f>
        <v>0</v>
      </c>
      <c r="V27">
        <f>+V25*2.18</f>
        <v>0</v>
      </c>
      <c r="W27">
        <f>+W25*2.05</f>
        <v>450.99999999999994</v>
      </c>
      <c r="X27">
        <f>+X25*0.44</f>
        <v>159.72</v>
      </c>
      <c r="Y27">
        <f>+Y25*0.34</f>
        <v>1029.8600000000001</v>
      </c>
      <c r="Z27" s="50">
        <f>+Z25*2.3</f>
        <v>1150</v>
      </c>
      <c r="AA27">
        <f>+AA25*0.58</f>
        <v>0</v>
      </c>
      <c r="AB27">
        <f>+AB25*1.75</f>
        <v>35</v>
      </c>
    </row>
    <row r="28" spans="1:28" x14ac:dyDescent="0.25">
      <c r="AB28" s="39">
        <f>SUM(D27:AB27)</f>
        <v>36029.040000000008</v>
      </c>
    </row>
    <row r="29" spans="1:28" x14ac:dyDescent="0.25"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1" spans="1:28" x14ac:dyDescent="0.25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2" spans="1:28" x14ac:dyDescent="0.25">
      <c r="O32">
        <f>510*1.5</f>
        <v>765</v>
      </c>
    </row>
    <row r="33" spans="3:28" x14ac:dyDescent="0.25">
      <c r="O33">
        <f>340*2</f>
        <v>680</v>
      </c>
      <c r="AB33" s="84"/>
    </row>
    <row r="34" spans="3:28" x14ac:dyDescent="0.25">
      <c r="O34">
        <f>+O33+O32</f>
        <v>1445</v>
      </c>
    </row>
    <row r="36" spans="3:28" x14ac:dyDescent="0.25">
      <c r="C36" s="98"/>
    </row>
  </sheetData>
  <mergeCells count="7">
    <mergeCell ref="X2:Y2"/>
    <mergeCell ref="A4:A12"/>
    <mergeCell ref="A13:A24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E398-C70D-4FF7-B2C8-C63D46BF424C}">
  <dimension ref="A1:AB37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28" sqref="O2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13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14-20-09'!D25</f>
        <v>12739</v>
      </c>
      <c r="E4" s="42">
        <f>'STOCK 14-20-09'!E25</f>
        <v>1500</v>
      </c>
      <c r="F4" s="42">
        <f>'STOCK 14-20-09'!F25</f>
        <v>0</v>
      </c>
      <c r="G4" s="42">
        <f>'STOCK 14-20-09'!G25</f>
        <v>0</v>
      </c>
      <c r="H4" s="42">
        <f>'STOCK 14-20-09'!H25</f>
        <v>7860</v>
      </c>
      <c r="I4" s="42">
        <f>'STOCK 14-20-09'!I25</f>
        <v>0</v>
      </c>
      <c r="J4" s="42">
        <f>'STOCK 14-20-09'!J25</f>
        <v>8020</v>
      </c>
      <c r="K4" s="42">
        <f>'STOCK 14-20-09'!K25</f>
        <v>1230</v>
      </c>
      <c r="L4" s="42">
        <f>'STOCK 14-20-09'!L25</f>
        <v>1166</v>
      </c>
      <c r="M4" s="42">
        <f>'STOCK 14-20-09'!M25</f>
        <v>2901</v>
      </c>
      <c r="N4" s="42">
        <f>'STOCK 14-20-09'!N25</f>
        <v>7986</v>
      </c>
      <c r="O4" s="42">
        <f>'STOCK 14-20-09'!O25</f>
        <v>840</v>
      </c>
      <c r="P4" s="42">
        <f>'STOCK 14-20-09'!P25</f>
        <v>32</v>
      </c>
      <c r="Q4" s="42">
        <f>'STOCK 14-20-09'!Q25</f>
        <v>0</v>
      </c>
      <c r="R4" s="42">
        <f>'STOCK 14-20-09'!R25</f>
        <v>3031</v>
      </c>
      <c r="S4" s="42">
        <f>'STOCK 14-20-09'!S25</f>
        <v>0</v>
      </c>
      <c r="T4" s="42">
        <f>'STOCK 14-20-09'!T25</f>
        <v>1590</v>
      </c>
      <c r="U4" s="42">
        <f>'STOCK 14-20-09'!U25</f>
        <v>0</v>
      </c>
      <c r="V4" s="42">
        <f>'STOCK 14-20-09'!V25</f>
        <v>0</v>
      </c>
      <c r="W4" s="42">
        <f>'STOCK 14-20-09'!W25</f>
        <v>220</v>
      </c>
      <c r="X4" s="42">
        <f>'STOCK 14-20-09'!X25</f>
        <v>363</v>
      </c>
      <c r="Y4" s="42">
        <f>'STOCK 14-20-09'!Y25</f>
        <v>3029</v>
      </c>
      <c r="Z4" s="42">
        <f>'STOCK 14-20-09'!Z25</f>
        <v>500</v>
      </c>
      <c r="AA4" s="42">
        <f>'STOCK 14-20-09'!AA25</f>
        <v>0</v>
      </c>
      <c r="AB4" s="42">
        <f>'STOCK 14-20-09'!AB25</f>
        <v>20</v>
      </c>
    </row>
    <row r="5" spans="1:28" x14ac:dyDescent="0.25">
      <c r="A5" s="311"/>
      <c r="B5" s="20">
        <v>45922</v>
      </c>
      <c r="C5" s="82" t="s">
        <v>46</v>
      </c>
      <c r="D5" s="27">
        <v>6000</v>
      </c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45923</v>
      </c>
      <c r="C6" s="82" t="s">
        <v>27</v>
      </c>
      <c r="D6" s="27"/>
      <c r="F6" s="35"/>
      <c r="H6" s="31"/>
      <c r="I6" s="13"/>
      <c r="J6" s="35">
        <v>3000</v>
      </c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45924</v>
      </c>
      <c r="C7" s="82" t="s">
        <v>46</v>
      </c>
      <c r="D7" s="27"/>
      <c r="F7" s="35"/>
      <c r="H7" s="31"/>
      <c r="I7" s="13"/>
      <c r="J7" s="35">
        <v>2500</v>
      </c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45926</v>
      </c>
      <c r="C8" s="82" t="s">
        <v>46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>
        <v>1200</v>
      </c>
      <c r="W8" s="31"/>
      <c r="X8" s="13"/>
      <c r="Y8" s="31"/>
      <c r="AA8" s="94"/>
      <c r="AB8" s="15"/>
    </row>
    <row r="9" spans="1:28" x14ac:dyDescent="0.25">
      <c r="A9" s="311"/>
      <c r="B9" s="20">
        <v>45926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R9">
        <v>1200</v>
      </c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45927</v>
      </c>
      <c r="C10" s="82" t="s">
        <v>27</v>
      </c>
      <c r="D10" s="27"/>
      <c r="F10" s="35"/>
      <c r="H10" s="31"/>
      <c r="I10" s="13"/>
      <c r="J10" s="35"/>
      <c r="L10" s="35"/>
      <c r="M10" s="35">
        <v>3000</v>
      </c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45921</v>
      </c>
      <c r="C15" s="14" t="s">
        <v>22</v>
      </c>
      <c r="D15" s="27"/>
      <c r="F15" s="35"/>
      <c r="H15" s="31"/>
      <c r="I15" s="13"/>
      <c r="J15" s="35"/>
      <c r="L15" s="35"/>
      <c r="M15" s="35"/>
      <c r="N15" s="14"/>
      <c r="O15" s="27"/>
      <c r="R15">
        <v>500</v>
      </c>
      <c r="S15" s="31"/>
      <c r="T15" s="13"/>
      <c r="W15" s="31">
        <v>10</v>
      </c>
      <c r="X15" s="13"/>
      <c r="Y15" s="31">
        <v>20</v>
      </c>
      <c r="AA15" s="94"/>
      <c r="AB15" s="15"/>
    </row>
    <row r="16" spans="1:28" x14ac:dyDescent="0.25">
      <c r="A16" s="311"/>
      <c r="B16" s="20">
        <v>45922</v>
      </c>
      <c r="C16" s="14" t="s">
        <v>22</v>
      </c>
      <c r="D16" s="27"/>
      <c r="F16" s="35"/>
      <c r="H16" s="31"/>
      <c r="I16" s="13"/>
      <c r="J16" s="35"/>
      <c r="K16">
        <v>100</v>
      </c>
      <c r="L16" s="35">
        <v>1000</v>
      </c>
      <c r="M16" s="35"/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45924</v>
      </c>
      <c r="C17" s="14" t="s">
        <v>22</v>
      </c>
      <c r="D17" s="27">
        <v>100</v>
      </c>
      <c r="F17" s="35"/>
      <c r="H17" s="31"/>
      <c r="I17" s="13"/>
      <c r="J17" s="35">
        <v>280</v>
      </c>
      <c r="L17" s="35"/>
      <c r="M17" s="35"/>
      <c r="N17" s="14">
        <v>1000</v>
      </c>
      <c r="O17" s="27"/>
      <c r="R17">
        <f>100+850</f>
        <v>950</v>
      </c>
      <c r="S17" s="31"/>
      <c r="T17" s="13">
        <f>500+120</f>
        <v>620</v>
      </c>
      <c r="W17" s="31"/>
      <c r="X17" s="13">
        <v>100</v>
      </c>
      <c r="Y17" s="31"/>
      <c r="AA17" s="94"/>
      <c r="AB17" s="15"/>
    </row>
    <row r="18" spans="1:28" x14ac:dyDescent="0.25">
      <c r="A18" s="311"/>
      <c r="B18" s="20">
        <v>45925</v>
      </c>
      <c r="C18" s="14" t="s">
        <v>22</v>
      </c>
      <c r="D18" s="27">
        <v>500</v>
      </c>
      <c r="F18" s="35"/>
      <c r="H18" s="31"/>
      <c r="I18" s="13"/>
      <c r="J18" s="35"/>
      <c r="K18">
        <v>500</v>
      </c>
      <c r="L18" s="35"/>
      <c r="M18" s="35">
        <v>1500</v>
      </c>
      <c r="N18" s="14"/>
      <c r="O18" s="27"/>
      <c r="S18" s="31"/>
      <c r="T18" s="13"/>
      <c r="W18" s="31"/>
      <c r="X18" s="13"/>
      <c r="Y18" s="31">
        <v>250</v>
      </c>
      <c r="AA18" s="94"/>
      <c r="AB18" s="15"/>
    </row>
    <row r="19" spans="1:28" x14ac:dyDescent="0.25">
      <c r="A19" s="311"/>
      <c r="B19" s="20">
        <v>45926</v>
      </c>
      <c r="C19" s="14" t="s">
        <v>22</v>
      </c>
      <c r="D19" s="27"/>
      <c r="F19" s="35"/>
      <c r="H19" s="31"/>
      <c r="I19" s="13"/>
      <c r="J19" s="35">
        <v>300</v>
      </c>
      <c r="L19" s="35"/>
      <c r="M19" s="35">
        <v>1000</v>
      </c>
      <c r="N19" s="14">
        <v>150</v>
      </c>
      <c r="O19" s="27"/>
      <c r="S19" s="31"/>
      <c r="T19" s="13"/>
      <c r="W19" s="31"/>
      <c r="X19" s="83"/>
      <c r="Y19" s="31"/>
      <c r="AA19" s="94"/>
      <c r="AB19" s="15"/>
    </row>
    <row r="20" spans="1:28" x14ac:dyDescent="0.25">
      <c r="A20" s="311"/>
      <c r="B20" s="20">
        <v>45927</v>
      </c>
      <c r="C20" s="14" t="s">
        <v>22</v>
      </c>
      <c r="D20" s="27">
        <v>1500</v>
      </c>
      <c r="F20" s="35"/>
      <c r="H20" s="31"/>
      <c r="I20" s="13"/>
      <c r="J20" s="35">
        <v>100</v>
      </c>
      <c r="L20" s="35"/>
      <c r="M20" s="35"/>
      <c r="N20" s="14"/>
      <c r="O20" s="27">
        <v>360</v>
      </c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SUM(D4:D13)-SUM(D14:D25)</f>
        <v>16639</v>
      </c>
      <c r="E26" s="22">
        <f t="shared" si="0"/>
        <v>1500</v>
      </c>
      <c r="F26" s="37">
        <f t="shared" si="0"/>
        <v>0</v>
      </c>
      <c r="G26" s="24">
        <f t="shared" si="0"/>
        <v>0</v>
      </c>
      <c r="H26" s="33">
        <f t="shared" si="0"/>
        <v>7860</v>
      </c>
      <c r="I26" s="22">
        <f t="shared" si="0"/>
        <v>0</v>
      </c>
      <c r="J26" s="37">
        <f t="shared" si="0"/>
        <v>12840</v>
      </c>
      <c r="K26" s="24">
        <f t="shared" si="0"/>
        <v>630</v>
      </c>
      <c r="L26" s="37">
        <f t="shared" si="0"/>
        <v>166</v>
      </c>
      <c r="M26" s="37">
        <f t="shared" si="0"/>
        <v>3401</v>
      </c>
      <c r="N26" s="23">
        <f t="shared" si="0"/>
        <v>6836</v>
      </c>
      <c r="O26" s="29">
        <f t="shared" si="0"/>
        <v>480</v>
      </c>
      <c r="P26" s="29">
        <f t="shared" si="0"/>
        <v>32</v>
      </c>
      <c r="Q26" s="29">
        <f t="shared" si="0"/>
        <v>0</v>
      </c>
      <c r="R26" s="24">
        <f t="shared" si="0"/>
        <v>2781</v>
      </c>
      <c r="S26" s="33">
        <f t="shared" si="0"/>
        <v>0</v>
      </c>
      <c r="T26" s="22">
        <f t="shared" si="0"/>
        <v>2170</v>
      </c>
      <c r="U26" s="22">
        <f t="shared" si="0"/>
        <v>0</v>
      </c>
      <c r="V26" s="22">
        <f t="shared" si="0"/>
        <v>0</v>
      </c>
      <c r="W26" s="33">
        <f t="shared" si="0"/>
        <v>210</v>
      </c>
      <c r="X26" s="22">
        <f t="shared" si="0"/>
        <v>263</v>
      </c>
      <c r="Y26" s="33">
        <f t="shared" si="0"/>
        <v>2759</v>
      </c>
      <c r="Z26" s="22">
        <f t="shared" si="0"/>
        <v>500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D26*0.39</f>
        <v>6489.21</v>
      </c>
      <c r="E28">
        <f>+E26*0.41</f>
        <v>615</v>
      </c>
      <c r="F28">
        <f>+F26*0.47</f>
        <v>0</v>
      </c>
      <c r="G28">
        <f>+G26*0.38</f>
        <v>0</v>
      </c>
      <c r="H28">
        <f>+H26*0.47-(160*0.07)</f>
        <v>3683</v>
      </c>
      <c r="I28">
        <f>+I26*0.58</f>
        <v>0</v>
      </c>
      <c r="J28">
        <f>+J26*0.58</f>
        <v>7447.2</v>
      </c>
      <c r="K28" s="50">
        <f>+K26*0.89</f>
        <v>560.70000000000005</v>
      </c>
      <c r="L28">
        <f>+L26*0.69</f>
        <v>114.53999999999999</v>
      </c>
      <c r="M28">
        <f>+M26*0.7</f>
        <v>2380.6999999999998</v>
      </c>
      <c r="N28">
        <f>+N26*0.59+(586*0.01)</f>
        <v>4039.1</v>
      </c>
      <c r="O28">
        <f>+O26*2.3</f>
        <v>1104</v>
      </c>
      <c r="P28">
        <f>+P26*1.575</f>
        <v>50.4</v>
      </c>
      <c r="Q28">
        <f>Q26*1.8</f>
        <v>0</v>
      </c>
      <c r="R28">
        <f>+R26*1.85-(481*0.05)</f>
        <v>5120.8</v>
      </c>
      <c r="S28">
        <f>+S26*1.57</f>
        <v>0</v>
      </c>
      <c r="T28">
        <f>+T26*1.95-(470*0.05)</f>
        <v>4208</v>
      </c>
      <c r="U28">
        <f>+U26*1.85</f>
        <v>0</v>
      </c>
      <c r="V28">
        <f>+V26*2.18</f>
        <v>0</v>
      </c>
      <c r="W28">
        <f>+W26*2.05</f>
        <v>430.49999999999994</v>
      </c>
      <c r="X28">
        <f>+X26*0.44</f>
        <v>115.72</v>
      </c>
      <c r="Y28">
        <f>+Y26*0.34</f>
        <v>938.06000000000006</v>
      </c>
      <c r="Z28" s="50">
        <f>+Z26*2.3</f>
        <v>1150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38481.93</v>
      </c>
    </row>
    <row r="30" spans="1:28" x14ac:dyDescent="0.25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>
        <f>751*0.72</f>
        <v>540.72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x14ac:dyDescent="0.25">
      <c r="D31">
        <f>639*0.4</f>
        <v>255.60000000000002</v>
      </c>
      <c r="M31">
        <f>249*0.7</f>
        <v>174.29999999999998</v>
      </c>
    </row>
    <row r="32" spans="1:28" x14ac:dyDescent="0.25">
      <c r="C32" s="39"/>
      <c r="D32" s="39">
        <f>861*0.39</f>
        <v>335.79</v>
      </c>
      <c r="E32" s="39"/>
      <c r="F32" s="39"/>
      <c r="G32" s="39"/>
      <c r="H32" s="39"/>
      <c r="I32" s="39"/>
      <c r="J32" s="39"/>
      <c r="K32" s="39"/>
      <c r="L32" s="39"/>
      <c r="M32" s="39">
        <f>+M30+M31</f>
        <v>715.02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</row>
    <row r="33" spans="3:28" x14ac:dyDescent="0.25">
      <c r="D33">
        <f>+D31+D32</f>
        <v>591.3900000000001</v>
      </c>
      <c r="M33">
        <f>M32/1000</f>
        <v>0.71501999999999999</v>
      </c>
      <c r="P33">
        <f>280*29.5</f>
        <v>8260</v>
      </c>
    </row>
    <row r="34" spans="3:28" x14ac:dyDescent="0.25">
      <c r="D34">
        <f>D33/1500</f>
        <v>0.39426000000000005</v>
      </c>
      <c r="P34">
        <f>528*8.3</f>
        <v>4382.4000000000005</v>
      </c>
      <c r="AB34" s="84"/>
    </row>
    <row r="35" spans="3:28" x14ac:dyDescent="0.25">
      <c r="P35">
        <f>SUM(P33:P34)</f>
        <v>12642.400000000001</v>
      </c>
    </row>
    <row r="37" spans="3:28" x14ac:dyDescent="0.25">
      <c r="C37" s="98"/>
    </row>
  </sheetData>
  <mergeCells count="7">
    <mergeCell ref="X2:Y2"/>
    <mergeCell ref="A4:A13"/>
    <mergeCell ref="A14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75DF-1971-4EBF-B445-131936110E4D}">
  <dimension ref="A1:AB38"/>
  <sheetViews>
    <sheetView zoomScale="60" zoomScaleNormal="6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U33" sqref="U33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69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13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21-27-09'!D26</f>
        <v>16639</v>
      </c>
      <c r="E4" s="42">
        <f>'STOCK 21-27-09'!E26</f>
        <v>1500</v>
      </c>
      <c r="F4" s="42">
        <f>'STOCK 21-27-09'!F26</f>
        <v>0</v>
      </c>
      <c r="G4" s="42">
        <f>'STOCK 21-27-09'!G26</f>
        <v>0</v>
      </c>
      <c r="H4" s="42">
        <f>'STOCK 21-27-09'!H26</f>
        <v>7860</v>
      </c>
      <c r="I4" s="42">
        <f>'STOCK 21-27-09'!I26</f>
        <v>0</v>
      </c>
      <c r="J4" s="42">
        <f>'STOCK 21-27-09'!J26</f>
        <v>12840</v>
      </c>
      <c r="K4" s="42">
        <f>'STOCK 21-27-09'!K26</f>
        <v>630</v>
      </c>
      <c r="L4" s="42">
        <f>'STOCK 21-27-09'!L26</f>
        <v>166</v>
      </c>
      <c r="M4" s="42">
        <f>'STOCK 21-27-09'!M26</f>
        <v>3401</v>
      </c>
      <c r="N4" s="42">
        <f>'STOCK 21-27-09'!N26</f>
        <v>6836</v>
      </c>
      <c r="O4" s="42">
        <f>'STOCK 21-27-09'!O26</f>
        <v>480</v>
      </c>
      <c r="P4" s="42">
        <f>'STOCK 21-27-09'!P26</f>
        <v>32</v>
      </c>
      <c r="Q4" s="42">
        <f>'STOCK 21-27-09'!Q26</f>
        <v>0</v>
      </c>
      <c r="R4" s="42">
        <f>'STOCK 21-27-09'!R26</f>
        <v>2781</v>
      </c>
      <c r="S4" s="42">
        <f>'STOCK 21-27-09'!S26</f>
        <v>0</v>
      </c>
      <c r="T4" s="42">
        <f>'STOCK 21-27-09'!T26</f>
        <v>2170</v>
      </c>
      <c r="U4" s="42">
        <f>'STOCK 21-27-09'!U26</f>
        <v>0</v>
      </c>
      <c r="V4" s="42">
        <f>'STOCK 21-27-09'!V26</f>
        <v>0</v>
      </c>
      <c r="W4" s="42">
        <f>'STOCK 21-27-09'!W26</f>
        <v>210</v>
      </c>
      <c r="X4" s="42">
        <f>'STOCK 21-27-09'!X26</f>
        <v>263</v>
      </c>
      <c r="Y4" s="42">
        <f>'STOCK 21-27-09'!Y26</f>
        <v>2759</v>
      </c>
      <c r="Z4" s="42">
        <f>'STOCK 21-27-09'!Z26</f>
        <v>500</v>
      </c>
      <c r="AA4" s="42">
        <f>'STOCK 21-27-09'!AA26</f>
        <v>0</v>
      </c>
      <c r="AB4" s="42">
        <f>'STOCK 21-27-09'!AB26</f>
        <v>20</v>
      </c>
    </row>
    <row r="5" spans="1:28" x14ac:dyDescent="0.25">
      <c r="A5" s="311"/>
      <c r="B5" s="20">
        <v>45929</v>
      </c>
      <c r="C5" s="82" t="s">
        <v>27</v>
      </c>
      <c r="D5" s="27"/>
      <c r="F5" s="35"/>
      <c r="H5" s="31"/>
      <c r="I5" s="13"/>
      <c r="J5" s="35"/>
      <c r="L5" s="35"/>
      <c r="M5" s="35">
        <v>3000</v>
      </c>
      <c r="N5" s="14"/>
      <c r="O5" s="27"/>
      <c r="S5" s="31"/>
      <c r="T5" s="13">
        <v>170</v>
      </c>
      <c r="W5" s="31"/>
      <c r="X5" s="13"/>
      <c r="Y5" s="31"/>
      <c r="AA5" s="94"/>
      <c r="AB5" s="15"/>
    </row>
    <row r="6" spans="1:28" x14ac:dyDescent="0.25">
      <c r="A6" s="311"/>
      <c r="B6" s="20">
        <v>45929</v>
      </c>
      <c r="C6" s="82" t="s">
        <v>46</v>
      </c>
      <c r="D6" s="27"/>
      <c r="F6" s="35"/>
      <c r="H6" s="31"/>
      <c r="I6" s="13"/>
      <c r="J6" s="35"/>
      <c r="L6" s="35"/>
      <c r="M6" s="35">
        <v>4000</v>
      </c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45930</v>
      </c>
      <c r="C7" s="82" t="s">
        <v>27</v>
      </c>
      <c r="D7" s="27"/>
      <c r="F7" s="35"/>
      <c r="H7" s="31"/>
      <c r="I7" s="13"/>
      <c r="J7" s="35">
        <v>3500</v>
      </c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45932</v>
      </c>
      <c r="C8" s="82" t="s">
        <v>46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V8">
        <v>600</v>
      </c>
      <c r="W8" s="31"/>
      <c r="X8" s="13"/>
      <c r="Y8" s="31"/>
      <c r="AA8" s="94"/>
      <c r="AB8" s="15"/>
    </row>
    <row r="9" spans="1:28" x14ac:dyDescent="0.25">
      <c r="A9" s="311"/>
      <c r="B9" s="20">
        <v>45933</v>
      </c>
      <c r="C9" s="82" t="s">
        <v>46</v>
      </c>
      <c r="D9" s="27"/>
      <c r="F9" s="35"/>
      <c r="H9" s="31"/>
      <c r="I9" s="13"/>
      <c r="J9" s="35"/>
      <c r="L9" s="35"/>
      <c r="M9" s="35"/>
      <c r="N9" s="14">
        <v>2000</v>
      </c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45934</v>
      </c>
      <c r="C10" s="82" t="s">
        <v>27</v>
      </c>
      <c r="D10" s="27"/>
      <c r="F10" s="35"/>
      <c r="H10" s="31">
        <v>4500</v>
      </c>
      <c r="I10" s="13"/>
      <c r="J10" s="35"/>
      <c r="L10" s="35">
        <v>3500</v>
      </c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82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/>
      <c r="C15" s="14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45928</v>
      </c>
      <c r="C16" s="14" t="s">
        <v>22</v>
      </c>
      <c r="D16" s="27">
        <v>2600</v>
      </c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>
        <v>100</v>
      </c>
      <c r="AA16" s="94"/>
      <c r="AB16" s="15"/>
    </row>
    <row r="17" spans="1:28" x14ac:dyDescent="0.25">
      <c r="A17" s="311"/>
      <c r="B17" s="20">
        <v>45930</v>
      </c>
      <c r="C17" s="14" t="s">
        <v>22</v>
      </c>
      <c r="D17" s="27"/>
      <c r="F17" s="35"/>
      <c r="H17" s="31">
        <v>1000</v>
      </c>
      <c r="I17" s="13"/>
      <c r="J17" s="35">
        <f>1000+120</f>
        <v>1120</v>
      </c>
      <c r="L17" s="35"/>
      <c r="M17" s="35"/>
      <c r="N17" s="14">
        <v>350</v>
      </c>
      <c r="O17" s="27"/>
      <c r="S17" s="31"/>
      <c r="T17" s="13"/>
      <c r="W17" s="31"/>
      <c r="X17" s="13">
        <v>263</v>
      </c>
      <c r="Y17" s="31"/>
      <c r="AA17" s="94"/>
      <c r="AB17" s="15"/>
    </row>
    <row r="18" spans="1:28" x14ac:dyDescent="0.25">
      <c r="A18" s="311"/>
      <c r="B18" s="20">
        <v>45931</v>
      </c>
      <c r="C18" s="14" t="s">
        <v>22</v>
      </c>
      <c r="D18" s="27"/>
      <c r="F18" s="35"/>
      <c r="H18" s="31">
        <v>2000</v>
      </c>
      <c r="I18" s="13"/>
      <c r="J18" s="35"/>
      <c r="L18" s="35"/>
      <c r="M18" s="35">
        <v>1000</v>
      </c>
      <c r="N18" s="14"/>
      <c r="O18" s="27"/>
      <c r="S18" s="31"/>
      <c r="T18" s="13"/>
      <c r="W18" s="31">
        <v>200</v>
      </c>
      <c r="X18" s="13"/>
      <c r="Y18" s="31">
        <v>100</v>
      </c>
      <c r="AA18" s="94"/>
      <c r="AB18" s="15"/>
    </row>
    <row r="19" spans="1:28" x14ac:dyDescent="0.25">
      <c r="A19" s="311"/>
      <c r="B19" s="20">
        <v>45932</v>
      </c>
      <c r="C19" s="14" t="s">
        <v>45</v>
      </c>
      <c r="D19" s="27"/>
      <c r="F19" s="35"/>
      <c r="H19" s="31"/>
      <c r="I19" s="13"/>
      <c r="J19" s="35"/>
      <c r="L19" s="35"/>
      <c r="M19" s="35">
        <v>2000</v>
      </c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45932</v>
      </c>
      <c r="C20" s="14" t="s">
        <v>22</v>
      </c>
      <c r="D20" s="27"/>
      <c r="F20" s="35"/>
      <c r="H20" s="31"/>
      <c r="I20" s="13"/>
      <c r="J20" s="35">
        <v>1000</v>
      </c>
      <c r="L20" s="35"/>
      <c r="M20" s="35"/>
      <c r="N20" s="14"/>
      <c r="O20" s="27"/>
      <c r="R20">
        <v>250</v>
      </c>
      <c r="S20" s="31"/>
      <c r="T20" s="13">
        <v>200</v>
      </c>
      <c r="W20" s="31"/>
      <c r="X20" s="83"/>
      <c r="Y20" s="31">
        <v>50</v>
      </c>
      <c r="AA20" s="94"/>
      <c r="AB20" s="15"/>
    </row>
    <row r="21" spans="1:28" x14ac:dyDescent="0.25">
      <c r="A21" s="311"/>
      <c r="B21" s="20">
        <v>45933</v>
      </c>
      <c r="C21" s="14" t="s">
        <v>22</v>
      </c>
      <c r="D21" s="27">
        <v>1000</v>
      </c>
      <c r="F21" s="35"/>
      <c r="H21" s="31">
        <v>2000</v>
      </c>
      <c r="I21" s="13"/>
      <c r="J21" s="35"/>
      <c r="L21" s="35"/>
      <c r="M21" s="35"/>
      <c r="N21" s="14"/>
      <c r="O21" s="27"/>
      <c r="R21">
        <f>104+550</f>
        <v>654</v>
      </c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>
        <v>45934</v>
      </c>
      <c r="C22" s="14" t="s">
        <v>22</v>
      </c>
      <c r="D22" s="27"/>
      <c r="F22" s="35"/>
      <c r="H22" s="31"/>
      <c r="I22" s="13"/>
      <c r="J22" s="35"/>
      <c r="K22">
        <f>500+130</f>
        <v>630</v>
      </c>
      <c r="L22" s="35"/>
      <c r="M22" s="35">
        <v>1000</v>
      </c>
      <c r="N22" s="14"/>
      <c r="O22" s="27"/>
      <c r="S22" s="31"/>
      <c r="T22" s="13">
        <v>10</v>
      </c>
      <c r="W22" s="31"/>
      <c r="X22" s="13"/>
      <c r="Y22" s="31"/>
      <c r="AA22" s="94"/>
      <c r="AB22" s="15"/>
    </row>
    <row r="23" spans="1:28" x14ac:dyDescent="0.25">
      <c r="A23" s="311"/>
      <c r="B23" s="20">
        <v>45934</v>
      </c>
      <c r="C23" s="14" t="s">
        <v>45</v>
      </c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V23">
        <v>311</v>
      </c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15.75" thickBot="1" x14ac:dyDescent="0.3">
      <c r="A26" s="312"/>
      <c r="B26" s="13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94"/>
      <c r="AB26" s="15"/>
    </row>
    <row r="27" spans="1:28" ht="21.75" thickBot="1" x14ac:dyDescent="0.3">
      <c r="A27" s="21" t="s">
        <v>23</v>
      </c>
      <c r="B27" s="22"/>
      <c r="C27" s="23"/>
      <c r="D27" s="29">
        <f t="shared" ref="D27:AB27" si="0">SUM(D4:D14)-SUM(D15:D26)</f>
        <v>13039</v>
      </c>
      <c r="E27" s="22">
        <f t="shared" si="0"/>
        <v>1500</v>
      </c>
      <c r="F27" s="37">
        <f t="shared" si="0"/>
        <v>0</v>
      </c>
      <c r="G27" s="24">
        <f t="shared" si="0"/>
        <v>0</v>
      </c>
      <c r="H27" s="33">
        <f t="shared" si="0"/>
        <v>7360</v>
      </c>
      <c r="I27" s="22">
        <f t="shared" si="0"/>
        <v>0</v>
      </c>
      <c r="J27" s="37">
        <f t="shared" si="0"/>
        <v>14220</v>
      </c>
      <c r="K27" s="24">
        <f t="shared" si="0"/>
        <v>0</v>
      </c>
      <c r="L27" s="37">
        <f t="shared" si="0"/>
        <v>3666</v>
      </c>
      <c r="M27" s="37">
        <f t="shared" si="0"/>
        <v>6401</v>
      </c>
      <c r="N27" s="23">
        <f t="shared" si="0"/>
        <v>8486</v>
      </c>
      <c r="O27" s="29">
        <f t="shared" si="0"/>
        <v>480</v>
      </c>
      <c r="P27" s="29">
        <f t="shared" si="0"/>
        <v>32</v>
      </c>
      <c r="Q27" s="29">
        <f t="shared" si="0"/>
        <v>0</v>
      </c>
      <c r="R27" s="24">
        <f t="shared" si="0"/>
        <v>1877</v>
      </c>
      <c r="S27" s="33">
        <f t="shared" si="0"/>
        <v>0</v>
      </c>
      <c r="T27" s="22">
        <f t="shared" si="0"/>
        <v>2130</v>
      </c>
      <c r="U27" s="22">
        <f t="shared" si="0"/>
        <v>0</v>
      </c>
      <c r="V27" s="22">
        <f t="shared" si="0"/>
        <v>289</v>
      </c>
      <c r="W27" s="33">
        <f t="shared" si="0"/>
        <v>10</v>
      </c>
      <c r="X27" s="22">
        <f t="shared" si="0"/>
        <v>0</v>
      </c>
      <c r="Y27" s="33">
        <f t="shared" si="0"/>
        <v>2509</v>
      </c>
      <c r="Z27" s="22">
        <f t="shared" si="0"/>
        <v>500</v>
      </c>
      <c r="AA27" s="96">
        <f t="shared" si="0"/>
        <v>0</v>
      </c>
      <c r="AB27" s="25">
        <f t="shared" si="0"/>
        <v>20</v>
      </c>
    </row>
    <row r="29" spans="1:28" x14ac:dyDescent="0.25">
      <c r="D29">
        <f>D27*0.39</f>
        <v>5085.21</v>
      </c>
      <c r="E29">
        <f>+E27*0.41</f>
        <v>615</v>
      </c>
      <c r="F29">
        <f>+F27*0.47</f>
        <v>0</v>
      </c>
      <c r="G29">
        <f>+G27*0.38</f>
        <v>0</v>
      </c>
      <c r="H29">
        <f>+H27*0.47-(160*0.07)</f>
        <v>3448</v>
      </c>
      <c r="I29">
        <f>+I27*0.58</f>
        <v>0</v>
      </c>
      <c r="J29">
        <f>+J27*0.58</f>
        <v>8247.5999999999985</v>
      </c>
      <c r="K29" s="50">
        <f>+K27*0.89</f>
        <v>0</v>
      </c>
      <c r="L29">
        <f>+L27*0.69</f>
        <v>2529.54</v>
      </c>
      <c r="M29">
        <f>+M27*0.7</f>
        <v>4480.7</v>
      </c>
      <c r="N29">
        <f>+N27*0.59+(236*0.01)</f>
        <v>5009.0999999999995</v>
      </c>
      <c r="O29">
        <f>+O27*2.3</f>
        <v>1104</v>
      </c>
      <c r="P29">
        <f>+P27*1.575</f>
        <v>50.4</v>
      </c>
      <c r="Q29">
        <f>Q27*1.8</f>
        <v>0</v>
      </c>
      <c r="R29">
        <f>+R27*1.85</f>
        <v>3472.4500000000003</v>
      </c>
      <c r="S29">
        <f>+S27*1.57</f>
        <v>0</v>
      </c>
      <c r="T29">
        <f>+T27*1.95-(260*0.05)</f>
        <v>4140.5</v>
      </c>
      <c r="U29">
        <f>+U27*1.85</f>
        <v>0</v>
      </c>
      <c r="V29">
        <f>+V27*2.55</f>
        <v>736.94999999999993</v>
      </c>
      <c r="W29">
        <f>+W27*2.05</f>
        <v>20.5</v>
      </c>
      <c r="X29">
        <f>+X27*0.44</f>
        <v>0</v>
      </c>
      <c r="Y29">
        <f>+Y27*0.34</f>
        <v>853.06000000000006</v>
      </c>
      <c r="Z29" s="50">
        <f>+Z27*2.3</f>
        <v>1150</v>
      </c>
      <c r="AA29">
        <f>+AA27*0.58</f>
        <v>0</v>
      </c>
      <c r="AB29">
        <f>+AB27*1.75</f>
        <v>35</v>
      </c>
    </row>
    <row r="30" spans="1:28" x14ac:dyDescent="0.25">
      <c r="AB30" s="39">
        <f>SUM(D29:AB29)</f>
        <v>40978.009999999995</v>
      </c>
    </row>
    <row r="31" spans="1:28" x14ac:dyDescent="0.25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>
        <f>127*1.8</f>
        <v>228.6</v>
      </c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2" spans="1:28" x14ac:dyDescent="0.25">
      <c r="R32">
        <f>423*1.85</f>
        <v>782.55000000000007</v>
      </c>
      <c r="U32">
        <f>330+90</f>
        <v>420</v>
      </c>
    </row>
    <row r="33" spans="3:28" x14ac:dyDescent="0.25">
      <c r="C33" s="39"/>
      <c r="D33" s="39"/>
      <c r="E33" s="39"/>
      <c r="F33" s="39"/>
      <c r="G33" s="39"/>
      <c r="H33" s="39"/>
      <c r="I33" s="39"/>
      <c r="J33" s="39"/>
      <c r="K33" s="39"/>
      <c r="L33" s="39">
        <f>220000*0.037</f>
        <v>8140</v>
      </c>
      <c r="M33" s="39"/>
      <c r="N33" s="39"/>
      <c r="O33" s="39"/>
      <c r="P33" s="39"/>
      <c r="Q33" s="39"/>
      <c r="R33" s="39">
        <f>+R31+R32</f>
        <v>1011.1500000000001</v>
      </c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4" spans="3:28" x14ac:dyDescent="0.25">
      <c r="L34">
        <f>50000*0.032</f>
        <v>1600</v>
      </c>
      <c r="R34">
        <f>R33/550</f>
        <v>1.8384545454545456</v>
      </c>
    </row>
    <row r="35" spans="3:28" x14ac:dyDescent="0.25">
      <c r="L35">
        <f>SUM(L33:L34)</f>
        <v>9740</v>
      </c>
      <c r="AB35" s="84"/>
    </row>
    <row r="38" spans="3:28" x14ac:dyDescent="0.25">
      <c r="C38" s="98"/>
    </row>
  </sheetData>
  <mergeCells count="7">
    <mergeCell ref="X2:Y2"/>
    <mergeCell ref="A4:A14"/>
    <mergeCell ref="A15:A26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4FF3-B0A5-4B30-AA60-BABB45F9E7DD}">
  <dimension ref="A1:AB3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24" sqref="J2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13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28-04-10'!D27</f>
        <v>13039</v>
      </c>
      <c r="E4" s="42">
        <f>'STOCK 28-04-10'!E27</f>
        <v>1500</v>
      </c>
      <c r="F4" s="42">
        <f>'STOCK 28-04-10'!F27</f>
        <v>0</v>
      </c>
      <c r="G4" s="42">
        <f>'STOCK 28-04-10'!G27</f>
        <v>0</v>
      </c>
      <c r="H4" s="42">
        <f>'STOCK 28-04-10'!H27</f>
        <v>7360</v>
      </c>
      <c r="I4" s="42">
        <f>'STOCK 28-04-10'!I27</f>
        <v>0</v>
      </c>
      <c r="J4" s="42">
        <f>'STOCK 28-04-10'!J27</f>
        <v>14220</v>
      </c>
      <c r="K4" s="42">
        <f>'STOCK 28-04-10'!K27</f>
        <v>0</v>
      </c>
      <c r="L4" s="42">
        <f>'STOCK 28-04-10'!L27</f>
        <v>3666</v>
      </c>
      <c r="M4" s="42">
        <f>'STOCK 28-04-10'!M27</f>
        <v>6401</v>
      </c>
      <c r="N4" s="42">
        <f>'STOCK 28-04-10'!N27</f>
        <v>8486</v>
      </c>
      <c r="O4" s="42">
        <f>'STOCK 28-04-10'!O27</f>
        <v>480</v>
      </c>
      <c r="P4" s="42">
        <f>'STOCK 28-04-10'!P27</f>
        <v>32</v>
      </c>
      <c r="Q4" s="42">
        <f>'STOCK 28-04-10'!Q27</f>
        <v>0</v>
      </c>
      <c r="R4" s="42">
        <f>'STOCK 28-04-10'!R27</f>
        <v>1877</v>
      </c>
      <c r="S4" s="42">
        <f>'STOCK 28-04-10'!S27</f>
        <v>0</v>
      </c>
      <c r="T4" s="42">
        <f>'STOCK 28-04-10'!T27</f>
        <v>2130</v>
      </c>
      <c r="U4" s="42">
        <f>'STOCK 28-04-10'!U27</f>
        <v>0</v>
      </c>
      <c r="V4" s="42">
        <f>'STOCK 28-04-10'!V27</f>
        <v>289</v>
      </c>
      <c r="W4" s="42">
        <f>'STOCK 28-04-10'!W27</f>
        <v>10</v>
      </c>
      <c r="X4" s="42">
        <f>'STOCK 28-04-10'!X27</f>
        <v>0</v>
      </c>
      <c r="Y4" s="42">
        <f>'STOCK 28-04-10'!Y27</f>
        <v>2509</v>
      </c>
      <c r="Z4" s="42">
        <f>'STOCK 28-04-10'!Z27</f>
        <v>500</v>
      </c>
      <c r="AA4" s="42">
        <f>'STOCK 28-04-10'!AA27</f>
        <v>0</v>
      </c>
      <c r="AB4" s="42">
        <f>'STOCK 28-04-10'!AB27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45936</v>
      </c>
      <c r="C6" s="82" t="s">
        <v>46</v>
      </c>
      <c r="D6" s="27">
        <v>1000</v>
      </c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/>
      <c r="C7" s="82"/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45938</v>
      </c>
      <c r="C8" s="82" t="s">
        <v>46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U8">
        <v>600</v>
      </c>
      <c r="W8" s="31"/>
      <c r="X8" s="13"/>
      <c r="Y8" s="31"/>
      <c r="AA8" s="94"/>
      <c r="AB8" s="15"/>
    </row>
    <row r="9" spans="1:28" x14ac:dyDescent="0.25">
      <c r="A9" s="311"/>
      <c r="B9" s="20">
        <v>45939</v>
      </c>
      <c r="C9" s="82" t="s">
        <v>46</v>
      </c>
      <c r="D9" s="27"/>
      <c r="F9" s="35"/>
      <c r="H9" s="31"/>
      <c r="I9" s="13"/>
      <c r="J9" s="35"/>
      <c r="L9" s="35"/>
      <c r="M9" s="35"/>
      <c r="N9" s="14"/>
      <c r="O9" s="27">
        <v>200</v>
      </c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45939</v>
      </c>
      <c r="C10" s="82" t="s">
        <v>27</v>
      </c>
      <c r="D10" s="27"/>
      <c r="F10" s="35"/>
      <c r="H10" s="31"/>
      <c r="I10" s="13"/>
      <c r="J10" s="35">
        <v>3000</v>
      </c>
      <c r="L10" s="35"/>
      <c r="M10" s="35"/>
      <c r="N10" s="14"/>
      <c r="O10" s="27"/>
      <c r="R10">
        <v>1200</v>
      </c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45940</v>
      </c>
      <c r="C11" s="82" t="s">
        <v>27</v>
      </c>
      <c r="D11" s="27"/>
      <c r="F11" s="35"/>
      <c r="H11" s="31"/>
      <c r="I11" s="13"/>
      <c r="J11" s="35"/>
      <c r="L11" s="35"/>
      <c r="M11" s="35">
        <v>3000</v>
      </c>
      <c r="N11" s="14"/>
      <c r="O11" s="27"/>
      <c r="S11" s="31"/>
      <c r="T11" s="13">
        <v>1000</v>
      </c>
      <c r="W11" s="31"/>
      <c r="X11" s="13"/>
      <c r="Y11" s="31"/>
      <c r="AA11" s="94"/>
      <c r="AB11" s="15"/>
    </row>
    <row r="12" spans="1:28" x14ac:dyDescent="0.25">
      <c r="A12" s="311"/>
      <c r="B12" s="20">
        <v>45941</v>
      </c>
      <c r="C12" s="82" t="s">
        <v>115</v>
      </c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>
        <v>400</v>
      </c>
      <c r="AA12" s="94"/>
      <c r="AB12" s="15"/>
    </row>
    <row r="13" spans="1:28" x14ac:dyDescent="0.25">
      <c r="A13" s="311"/>
      <c r="B13" s="20">
        <v>45941</v>
      </c>
      <c r="C13" s="82" t="s">
        <v>27</v>
      </c>
      <c r="D13" s="27"/>
      <c r="F13" s="35"/>
      <c r="H13" s="31"/>
      <c r="I13" s="13"/>
      <c r="J13" s="35">
        <v>3500</v>
      </c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>
        <v>45941</v>
      </c>
      <c r="C14" s="17" t="s">
        <v>46</v>
      </c>
      <c r="D14" s="28"/>
      <c r="E14" s="18"/>
      <c r="F14" s="36"/>
      <c r="G14" s="18"/>
      <c r="H14" s="32"/>
      <c r="I14" s="16"/>
      <c r="J14" s="36">
        <v>2500</v>
      </c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/>
      <c r="C15" s="14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45936</v>
      </c>
      <c r="C16" s="14" t="s">
        <v>22</v>
      </c>
      <c r="D16" s="27"/>
      <c r="F16" s="35"/>
      <c r="H16" s="31"/>
      <c r="I16" s="13"/>
      <c r="J16" s="35"/>
      <c r="L16" s="35"/>
      <c r="M16" s="35"/>
      <c r="N16" s="14"/>
      <c r="O16" s="27"/>
      <c r="R16">
        <v>500</v>
      </c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45937</v>
      </c>
      <c r="C17" s="14" t="s">
        <v>22</v>
      </c>
      <c r="D17" s="27"/>
      <c r="F17" s="35"/>
      <c r="H17" s="31">
        <v>2000</v>
      </c>
      <c r="I17" s="13"/>
      <c r="J17" s="35">
        <v>900</v>
      </c>
      <c r="L17" s="35"/>
      <c r="M17" s="35"/>
      <c r="N17" s="14"/>
      <c r="O17" s="27"/>
      <c r="S17" s="31"/>
      <c r="T17" s="13">
        <v>890</v>
      </c>
      <c r="W17" s="31"/>
      <c r="X17" s="13"/>
      <c r="Y17" s="31"/>
      <c r="AA17" s="94"/>
      <c r="AB17" s="15"/>
    </row>
    <row r="18" spans="1:28" x14ac:dyDescent="0.25">
      <c r="A18" s="311"/>
      <c r="B18" s="20">
        <v>45938</v>
      </c>
      <c r="C18" s="14" t="s">
        <v>22</v>
      </c>
      <c r="D18" s="27">
        <v>150</v>
      </c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45939</v>
      </c>
      <c r="C19" s="14" t="s">
        <v>22</v>
      </c>
      <c r="D19" s="27">
        <v>28</v>
      </c>
      <c r="F19" s="35"/>
      <c r="H19" s="31">
        <v>300</v>
      </c>
      <c r="I19" s="13"/>
      <c r="J19" s="35">
        <v>1000</v>
      </c>
      <c r="L19" s="35"/>
      <c r="M19" s="35"/>
      <c r="N19" s="14"/>
      <c r="O19" s="27"/>
      <c r="S19" s="31"/>
      <c r="T19" s="13">
        <f>200+140+200</f>
        <v>540</v>
      </c>
      <c r="W19" s="31"/>
      <c r="X19" s="13"/>
      <c r="Y19" s="31"/>
      <c r="AA19" s="94"/>
      <c r="AB19" s="15"/>
    </row>
    <row r="20" spans="1:28" x14ac:dyDescent="0.25">
      <c r="A20" s="311"/>
      <c r="B20" s="20">
        <v>45940</v>
      </c>
      <c r="C20" s="14" t="s">
        <v>22</v>
      </c>
      <c r="D20" s="27">
        <v>100</v>
      </c>
      <c r="F20" s="35"/>
      <c r="H20" s="31"/>
      <c r="I20" s="13"/>
      <c r="J20" s="35"/>
      <c r="L20" s="35"/>
      <c r="M20" s="35">
        <v>600</v>
      </c>
      <c r="N20" s="14"/>
      <c r="O20" s="27"/>
      <c r="S20" s="31"/>
      <c r="T20" s="13"/>
      <c r="W20" s="31"/>
      <c r="X20" s="83"/>
      <c r="Y20" s="31">
        <v>50</v>
      </c>
      <c r="AA20" s="94"/>
      <c r="AB20" s="15"/>
    </row>
    <row r="21" spans="1:28" x14ac:dyDescent="0.25">
      <c r="A21" s="311"/>
      <c r="B21" s="20">
        <v>45941</v>
      </c>
      <c r="C21" s="14" t="s">
        <v>22</v>
      </c>
      <c r="D21" s="27"/>
      <c r="F21" s="35"/>
      <c r="H21" s="31">
        <v>120</v>
      </c>
      <c r="I21" s="13"/>
      <c r="J21" s="35"/>
      <c r="L21" s="35"/>
      <c r="M21" s="35"/>
      <c r="N21" s="14"/>
      <c r="O21" s="27"/>
      <c r="S21" s="31"/>
      <c r="T21" s="13">
        <f>18+30</f>
        <v>48</v>
      </c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>
        <v>45937</v>
      </c>
      <c r="C24" s="14" t="s">
        <v>45</v>
      </c>
      <c r="D24" s="27"/>
      <c r="F24" s="35"/>
      <c r="H24" s="31"/>
      <c r="I24" s="13"/>
      <c r="J24" s="35">
        <v>8000</v>
      </c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15.75" thickBot="1" x14ac:dyDescent="0.3">
      <c r="A26" s="312"/>
      <c r="B26" s="13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94"/>
      <c r="AB26" s="15"/>
    </row>
    <row r="27" spans="1:28" ht="21.75" thickBot="1" x14ac:dyDescent="0.3">
      <c r="A27" s="21" t="s">
        <v>23</v>
      </c>
      <c r="B27" s="22"/>
      <c r="C27" s="23"/>
      <c r="D27" s="29">
        <f t="shared" ref="D27:AB27" si="0">SUM(D4:D14)-SUM(D15:D26)</f>
        <v>13761</v>
      </c>
      <c r="E27" s="22">
        <f t="shared" si="0"/>
        <v>1500</v>
      </c>
      <c r="F27" s="37">
        <f t="shared" si="0"/>
        <v>0</v>
      </c>
      <c r="G27" s="24">
        <f t="shared" si="0"/>
        <v>0</v>
      </c>
      <c r="H27" s="33">
        <f t="shared" si="0"/>
        <v>4940</v>
      </c>
      <c r="I27" s="22">
        <f t="shared" si="0"/>
        <v>0</v>
      </c>
      <c r="J27" s="37">
        <f t="shared" si="0"/>
        <v>13320</v>
      </c>
      <c r="K27" s="24">
        <f t="shared" si="0"/>
        <v>0</v>
      </c>
      <c r="L27" s="37">
        <f t="shared" si="0"/>
        <v>3666</v>
      </c>
      <c r="M27" s="37">
        <f t="shared" si="0"/>
        <v>8801</v>
      </c>
      <c r="N27" s="23">
        <f t="shared" si="0"/>
        <v>8486</v>
      </c>
      <c r="O27" s="29">
        <f t="shared" si="0"/>
        <v>680</v>
      </c>
      <c r="P27" s="29">
        <f t="shared" si="0"/>
        <v>32</v>
      </c>
      <c r="Q27" s="29">
        <f t="shared" si="0"/>
        <v>0</v>
      </c>
      <c r="R27" s="24">
        <f t="shared" si="0"/>
        <v>2577</v>
      </c>
      <c r="S27" s="33">
        <f t="shared" si="0"/>
        <v>0</v>
      </c>
      <c r="T27" s="22">
        <f t="shared" si="0"/>
        <v>1652</v>
      </c>
      <c r="U27" s="22">
        <f t="shared" si="0"/>
        <v>600</v>
      </c>
      <c r="V27" s="22">
        <f t="shared" si="0"/>
        <v>289</v>
      </c>
      <c r="W27" s="33">
        <f t="shared" si="0"/>
        <v>10</v>
      </c>
      <c r="X27" s="22">
        <f t="shared" si="0"/>
        <v>0</v>
      </c>
      <c r="Y27" s="33">
        <f t="shared" si="0"/>
        <v>2859</v>
      </c>
      <c r="Z27" s="22">
        <f t="shared" si="0"/>
        <v>500</v>
      </c>
      <c r="AA27" s="96">
        <f t="shared" si="0"/>
        <v>0</v>
      </c>
      <c r="AB27" s="25">
        <f t="shared" si="0"/>
        <v>20</v>
      </c>
    </row>
    <row r="29" spans="1:28" x14ac:dyDescent="0.25">
      <c r="D29">
        <f>D27*0.39</f>
        <v>5366.79</v>
      </c>
      <c r="E29">
        <f>+E27*0.41</f>
        <v>615</v>
      </c>
      <c r="F29">
        <f>+F27*0.47</f>
        <v>0</v>
      </c>
      <c r="G29">
        <f>+G27*0.38</f>
        <v>0</v>
      </c>
      <c r="H29">
        <f>+H27*0.47-(160*0.07)</f>
        <v>2310.6</v>
      </c>
      <c r="I29">
        <f>+I27*0.58</f>
        <v>0</v>
      </c>
      <c r="J29">
        <f>+J27*0.58</f>
        <v>7725.5999999999995</v>
      </c>
      <c r="K29" s="50">
        <f>+K27*0.89</f>
        <v>0</v>
      </c>
      <c r="L29">
        <f>+L27*0.69</f>
        <v>2529.54</v>
      </c>
      <c r="M29">
        <f>+M27*0.7</f>
        <v>6160.7</v>
      </c>
      <c r="N29">
        <f>+N27*0.59+(236*0.01)</f>
        <v>5009.0999999999995</v>
      </c>
      <c r="O29">
        <f>+O27*2.3</f>
        <v>1563.9999999999998</v>
      </c>
      <c r="P29">
        <f>+P27*1.575</f>
        <v>50.4</v>
      </c>
      <c r="Q29">
        <f>Q27*1.8</f>
        <v>0</v>
      </c>
      <c r="R29">
        <f>+R27*1.85</f>
        <v>4767.45</v>
      </c>
      <c r="S29">
        <f>+S27*1.57</f>
        <v>0</v>
      </c>
      <c r="T29">
        <f>+T27*1.95</f>
        <v>3221.4</v>
      </c>
      <c r="U29">
        <f>+U27*2.35</f>
        <v>1410</v>
      </c>
      <c r="V29">
        <f>+V27*2.55</f>
        <v>736.94999999999993</v>
      </c>
      <c r="W29">
        <f>+W27*2.05</f>
        <v>20.5</v>
      </c>
      <c r="X29">
        <f>+X27*0.44</f>
        <v>0</v>
      </c>
      <c r="Y29">
        <f>+Y27*0.34</f>
        <v>972.06000000000006</v>
      </c>
      <c r="Z29" s="50">
        <f>+Z27*2.3</f>
        <v>1150</v>
      </c>
      <c r="AA29">
        <f>+AA27*0.58</f>
        <v>0</v>
      </c>
      <c r="AB29">
        <f>+AB27*1.75</f>
        <v>35</v>
      </c>
    </row>
    <row r="30" spans="1:28" x14ac:dyDescent="0.25">
      <c r="AB30" s="39">
        <f>SUM(D29:AB29)</f>
        <v>43645.09</v>
      </c>
    </row>
    <row r="31" spans="1:28" x14ac:dyDescent="0.25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3" spans="3:28" x14ac:dyDescent="0.25"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5" spans="3:28" x14ac:dyDescent="0.25">
      <c r="AB35" s="84"/>
    </row>
    <row r="38" spans="3:28" x14ac:dyDescent="0.25">
      <c r="C38" s="98"/>
    </row>
  </sheetData>
  <mergeCells count="7">
    <mergeCell ref="X2:Y2"/>
    <mergeCell ref="A4:A14"/>
    <mergeCell ref="A15:A26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9BAE-7A70-4FDF-BFD3-1905EC32626E}">
  <dimension ref="A1:AB36"/>
  <sheetViews>
    <sheetView zoomScale="60" zoomScaleNormal="60" workbookViewId="0">
      <pane xSplit="3" ySplit="3" topLeftCell="D13" activePane="bottomRight" state="frozen"/>
      <selection pane="topRight" activeCell="D1" sqref="D1"/>
      <selection pane="bottomLeft" activeCell="A4" sqref="A4"/>
      <selection pane="bottomRight" activeCell="V15" sqref="V1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13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05-11-10'!D27</f>
        <v>13761</v>
      </c>
      <c r="E4" s="42">
        <f>'STOCK 05-11-10'!E27</f>
        <v>1500</v>
      </c>
      <c r="F4" s="42">
        <f>'STOCK 05-11-10'!F27</f>
        <v>0</v>
      </c>
      <c r="G4" s="42">
        <f>'STOCK 05-11-10'!G27</f>
        <v>0</v>
      </c>
      <c r="H4" s="42">
        <f>'STOCK 05-11-10'!H27</f>
        <v>4940</v>
      </c>
      <c r="I4" s="42">
        <f>'STOCK 05-11-10'!I27</f>
        <v>0</v>
      </c>
      <c r="J4" s="42">
        <f>'STOCK 05-11-10'!J27</f>
        <v>13320</v>
      </c>
      <c r="K4" s="42">
        <f>'STOCK 05-11-10'!K27</f>
        <v>0</v>
      </c>
      <c r="L4" s="42">
        <f>'STOCK 05-11-10'!L27</f>
        <v>3666</v>
      </c>
      <c r="M4" s="42">
        <f>'STOCK 05-11-10'!M27</f>
        <v>8801</v>
      </c>
      <c r="N4" s="42">
        <f>'STOCK 05-11-10'!N27</f>
        <v>8486</v>
      </c>
      <c r="O4" s="42">
        <f>'STOCK 05-11-10'!O27</f>
        <v>680</v>
      </c>
      <c r="P4" s="42">
        <f>'STOCK 05-11-10'!P27</f>
        <v>32</v>
      </c>
      <c r="Q4" s="42">
        <f>'STOCK 05-11-10'!Q27</f>
        <v>0</v>
      </c>
      <c r="R4" s="42">
        <f>'STOCK 05-11-10'!R27</f>
        <v>2577</v>
      </c>
      <c r="S4" s="42">
        <f>'STOCK 05-11-10'!S27</f>
        <v>0</v>
      </c>
      <c r="T4" s="42">
        <f>'STOCK 05-11-10'!T27</f>
        <v>1652</v>
      </c>
      <c r="U4" s="42">
        <f>'STOCK 05-11-10'!U27</f>
        <v>600</v>
      </c>
      <c r="V4" s="42">
        <f>'STOCK 05-11-10'!V27</f>
        <v>289</v>
      </c>
      <c r="W4" s="42">
        <f>'STOCK 05-11-10'!W27</f>
        <v>10</v>
      </c>
      <c r="X4" s="42">
        <f>'STOCK 05-11-10'!X27</f>
        <v>0</v>
      </c>
      <c r="Y4" s="42">
        <f>'STOCK 05-11-10'!Y27</f>
        <v>2859</v>
      </c>
      <c r="Z4" s="42">
        <f>'STOCK 05-11-10'!Z27</f>
        <v>500</v>
      </c>
      <c r="AA4" s="42">
        <f>'STOCK 05-11-10'!AA27</f>
        <v>0</v>
      </c>
      <c r="AB4" s="42">
        <f>'STOCK 05-11-10'!AB27</f>
        <v>20</v>
      </c>
    </row>
    <row r="5" spans="1:28" x14ac:dyDescent="0.25">
      <c r="A5" s="311"/>
      <c r="B5" s="20">
        <v>45943</v>
      </c>
      <c r="C5" s="82" t="s">
        <v>46</v>
      </c>
      <c r="D5" s="27"/>
      <c r="F5" s="35"/>
      <c r="H5" s="31"/>
      <c r="I5" s="13"/>
      <c r="J5" s="35"/>
      <c r="L5" s="35"/>
      <c r="M5" s="35">
        <v>4000</v>
      </c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45945</v>
      </c>
      <c r="C6" s="82" t="s">
        <v>27</v>
      </c>
      <c r="D6" s="27"/>
      <c r="F6" s="35"/>
      <c r="H6" s="31"/>
      <c r="I6" s="13"/>
      <c r="J6" s="35">
        <v>1000</v>
      </c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45946</v>
      </c>
      <c r="C7" s="82" t="s">
        <v>27</v>
      </c>
      <c r="D7" s="27"/>
      <c r="F7" s="35"/>
      <c r="H7" s="31"/>
      <c r="I7" s="13"/>
      <c r="J7" s="35"/>
      <c r="L7" s="35"/>
      <c r="M7" s="35"/>
      <c r="N7" s="14"/>
      <c r="O7" s="27"/>
      <c r="R7">
        <v>1200</v>
      </c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45946</v>
      </c>
      <c r="C8" s="82" t="s">
        <v>46</v>
      </c>
      <c r="D8" s="27"/>
      <c r="F8" s="35"/>
      <c r="H8" s="31"/>
      <c r="I8" s="13"/>
      <c r="J8" s="35"/>
      <c r="L8" s="35">
        <v>1000</v>
      </c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45948</v>
      </c>
      <c r="C9" s="82" t="s">
        <v>46</v>
      </c>
      <c r="D9" s="27"/>
      <c r="F9" s="35"/>
      <c r="H9" s="31"/>
      <c r="I9" s="13"/>
      <c r="J9" s="35"/>
      <c r="L9" s="35"/>
      <c r="M9" s="35">
        <v>4000</v>
      </c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45948</v>
      </c>
      <c r="C10" s="82" t="s">
        <v>27</v>
      </c>
      <c r="D10" s="27"/>
      <c r="F10" s="35"/>
      <c r="H10" s="31">
        <v>4500</v>
      </c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36"/>
      <c r="N12" s="17"/>
      <c r="O12" s="28"/>
      <c r="P12" s="1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95"/>
      <c r="AB12" s="19"/>
    </row>
    <row r="13" spans="1:28" x14ac:dyDescent="0.25">
      <c r="A13" s="310" t="s">
        <v>62</v>
      </c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>
        <v>45943</v>
      </c>
      <c r="C14" s="14" t="s">
        <v>22</v>
      </c>
      <c r="D14" s="27">
        <f>300+700</f>
        <v>1000</v>
      </c>
      <c r="F14" s="35"/>
      <c r="H14" s="31"/>
      <c r="I14" s="13"/>
      <c r="J14" s="35"/>
      <c r="L14" s="35"/>
      <c r="M14" s="35">
        <v>400</v>
      </c>
      <c r="N14" s="14">
        <v>500</v>
      </c>
      <c r="O14" s="27"/>
      <c r="S14" s="31"/>
      <c r="T14" s="13"/>
      <c r="W14" s="31"/>
      <c r="X14" s="13"/>
      <c r="Y14" s="31">
        <v>350</v>
      </c>
      <c r="AA14" s="94"/>
      <c r="AB14" s="15"/>
    </row>
    <row r="15" spans="1:28" x14ac:dyDescent="0.25">
      <c r="A15" s="311"/>
      <c r="B15" s="20">
        <v>45944</v>
      </c>
      <c r="C15" s="14" t="s">
        <v>22</v>
      </c>
      <c r="D15" s="27"/>
      <c r="F15" s="35"/>
      <c r="H15" s="31">
        <v>2000</v>
      </c>
      <c r="I15" s="13"/>
      <c r="J15" s="35"/>
      <c r="L15" s="35"/>
      <c r="M15" s="35">
        <v>1000</v>
      </c>
      <c r="N15" s="14">
        <v>30</v>
      </c>
      <c r="O15" s="27"/>
      <c r="R15">
        <f>620+400</f>
        <v>1020</v>
      </c>
      <c r="S15" s="31"/>
      <c r="T15" s="13">
        <v>45</v>
      </c>
      <c r="W15" s="31"/>
      <c r="X15" s="13"/>
      <c r="Y15" s="31"/>
      <c r="AA15" s="94"/>
      <c r="AB15" s="15"/>
    </row>
    <row r="16" spans="1:28" x14ac:dyDescent="0.25">
      <c r="A16" s="311"/>
      <c r="B16" s="20">
        <v>45945</v>
      </c>
      <c r="C16" s="14" t="s">
        <v>22</v>
      </c>
      <c r="D16" s="27">
        <v>3500</v>
      </c>
      <c r="F16" s="35"/>
      <c r="H16" s="31"/>
      <c r="I16" s="13"/>
      <c r="J16" s="35">
        <v>500</v>
      </c>
      <c r="L16" s="35">
        <v>1000</v>
      </c>
      <c r="M16" s="35"/>
      <c r="N16" s="14"/>
      <c r="O16" s="27"/>
      <c r="S16" s="31"/>
      <c r="T16" s="13">
        <v>180</v>
      </c>
      <c r="W16" s="31"/>
      <c r="X16" s="13"/>
      <c r="Y16" s="31"/>
      <c r="AA16" s="94"/>
      <c r="AB16" s="15"/>
    </row>
    <row r="17" spans="1:28" x14ac:dyDescent="0.25">
      <c r="A17" s="311"/>
      <c r="B17" s="20">
        <v>45946</v>
      </c>
      <c r="C17" s="14" t="s">
        <v>22</v>
      </c>
      <c r="D17" s="27"/>
      <c r="F17" s="35"/>
      <c r="H17" s="31">
        <v>1000</v>
      </c>
      <c r="I17" s="13"/>
      <c r="J17" s="35">
        <v>1000</v>
      </c>
      <c r="L17" s="35"/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45947</v>
      </c>
      <c r="C18" s="14" t="s">
        <v>45</v>
      </c>
      <c r="D18" s="27"/>
      <c r="F18" s="35"/>
      <c r="H18" s="31"/>
      <c r="I18" s="13"/>
      <c r="J18" s="35"/>
      <c r="L18" s="35"/>
      <c r="M18" s="35">
        <v>4000</v>
      </c>
      <c r="N18" s="14"/>
      <c r="O18" s="27"/>
      <c r="S18" s="31"/>
      <c r="T18" s="13"/>
      <c r="W18" s="31"/>
      <c r="X18" s="83"/>
      <c r="Y18" s="31"/>
      <c r="AA18" s="94"/>
      <c r="AB18" s="15"/>
    </row>
    <row r="19" spans="1:28" x14ac:dyDescent="0.25">
      <c r="A19" s="311"/>
      <c r="B19" s="20">
        <v>45947</v>
      </c>
      <c r="C19" s="14" t="s">
        <v>22</v>
      </c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>
        <v>1000</v>
      </c>
      <c r="W19" s="31"/>
      <c r="X19" s="13"/>
      <c r="Y19" s="31"/>
      <c r="AA19" s="94"/>
      <c r="AB19" s="15"/>
    </row>
    <row r="20" spans="1:28" x14ac:dyDescent="0.25">
      <c r="A20" s="311"/>
      <c r="B20" s="20">
        <v>45948</v>
      </c>
      <c r="C20" s="14" t="s">
        <v>22</v>
      </c>
      <c r="D20" s="27"/>
      <c r="F20" s="35"/>
      <c r="H20" s="31">
        <v>1300</v>
      </c>
      <c r="I20" s="13"/>
      <c r="J20" s="35"/>
      <c r="L20" s="35"/>
      <c r="M20" s="35"/>
      <c r="N20" s="14"/>
      <c r="O20" s="27"/>
      <c r="S20" s="31"/>
      <c r="T20" s="13">
        <v>280</v>
      </c>
      <c r="W20" s="31"/>
      <c r="X20" s="13"/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SUM(D4:D12)-SUM(D13:D24)</f>
        <v>9261</v>
      </c>
      <c r="E25" s="22">
        <f t="shared" si="0"/>
        <v>1500</v>
      </c>
      <c r="F25" s="37">
        <f t="shared" si="0"/>
        <v>0</v>
      </c>
      <c r="G25" s="24">
        <f t="shared" si="0"/>
        <v>0</v>
      </c>
      <c r="H25" s="33">
        <f t="shared" si="0"/>
        <v>5140</v>
      </c>
      <c r="I25" s="22">
        <f t="shared" si="0"/>
        <v>0</v>
      </c>
      <c r="J25" s="37">
        <f t="shared" si="0"/>
        <v>12820</v>
      </c>
      <c r="K25" s="24">
        <f t="shared" si="0"/>
        <v>0</v>
      </c>
      <c r="L25" s="37">
        <f t="shared" si="0"/>
        <v>3666</v>
      </c>
      <c r="M25" s="37">
        <f t="shared" si="0"/>
        <v>11401</v>
      </c>
      <c r="N25" s="23">
        <f t="shared" si="0"/>
        <v>7956</v>
      </c>
      <c r="O25" s="29">
        <f t="shared" si="0"/>
        <v>680</v>
      </c>
      <c r="P25" s="29">
        <f t="shared" si="0"/>
        <v>32</v>
      </c>
      <c r="Q25" s="29">
        <f t="shared" si="0"/>
        <v>0</v>
      </c>
      <c r="R25" s="24">
        <f t="shared" si="0"/>
        <v>2757</v>
      </c>
      <c r="S25" s="33">
        <f t="shared" si="0"/>
        <v>0</v>
      </c>
      <c r="T25" s="22">
        <f t="shared" si="0"/>
        <v>147</v>
      </c>
      <c r="U25" s="22">
        <f t="shared" si="0"/>
        <v>600</v>
      </c>
      <c r="V25" s="22">
        <f t="shared" si="0"/>
        <v>289</v>
      </c>
      <c r="W25" s="33">
        <f t="shared" si="0"/>
        <v>10</v>
      </c>
      <c r="X25" s="22">
        <f t="shared" si="0"/>
        <v>0</v>
      </c>
      <c r="Y25" s="33">
        <f t="shared" si="0"/>
        <v>2509</v>
      </c>
      <c r="Z25" s="22">
        <f t="shared" si="0"/>
        <v>500</v>
      </c>
      <c r="AA25" s="96">
        <f t="shared" si="0"/>
        <v>0</v>
      </c>
      <c r="AB25" s="25">
        <f t="shared" si="0"/>
        <v>20</v>
      </c>
    </row>
    <row r="27" spans="1:28" x14ac:dyDescent="0.25">
      <c r="D27">
        <f>D25*0.39</f>
        <v>3611.79</v>
      </c>
      <c r="E27">
        <f>+E25*0.41</f>
        <v>615</v>
      </c>
      <c r="F27">
        <f>+F25*0.47</f>
        <v>0</v>
      </c>
      <c r="G27">
        <f>+G25*0.38</f>
        <v>0</v>
      </c>
      <c r="H27">
        <f>+H25*0.47-(160*0.07)</f>
        <v>2404.6</v>
      </c>
      <c r="I27">
        <f>+I25*0.58</f>
        <v>0</v>
      </c>
      <c r="J27">
        <f>+J25*0.58</f>
        <v>7435.5999999999995</v>
      </c>
      <c r="K27" s="50">
        <f>+K25*0.89</f>
        <v>0</v>
      </c>
      <c r="L27">
        <f>+L25*0.69</f>
        <v>2529.54</v>
      </c>
      <c r="M27">
        <f>+M25*0.72-(7401*0.02)</f>
        <v>8060.6999999999989</v>
      </c>
      <c r="N27">
        <f>+N25*0.59</f>
        <v>4694.04</v>
      </c>
      <c r="O27">
        <f>+O25*2.3</f>
        <v>1563.9999999999998</v>
      </c>
      <c r="P27">
        <f>+P25*1.575</f>
        <v>50.4</v>
      </c>
      <c r="Q27">
        <f>Q25*1.8</f>
        <v>0</v>
      </c>
      <c r="R27">
        <f>+R25*1.85</f>
        <v>5100.45</v>
      </c>
      <c r="S27">
        <f>+S25*1.57</f>
        <v>0</v>
      </c>
      <c r="T27">
        <f>+T25*1.95</f>
        <v>286.64999999999998</v>
      </c>
      <c r="U27">
        <f>+U25*2.35</f>
        <v>1410</v>
      </c>
      <c r="V27">
        <f>+V25*2.55</f>
        <v>736.94999999999993</v>
      </c>
      <c r="W27">
        <f>+W25*2.05</f>
        <v>20.5</v>
      </c>
      <c r="X27">
        <f>+X25*0.44</f>
        <v>0</v>
      </c>
      <c r="Y27">
        <f>+Y25*0.34</f>
        <v>853.06000000000006</v>
      </c>
      <c r="Z27" s="50">
        <f>+Z25*2.3</f>
        <v>1150</v>
      </c>
      <c r="AA27">
        <f>+AA25*0.58</f>
        <v>0</v>
      </c>
      <c r="AB27">
        <f>+AB25*1.75</f>
        <v>35</v>
      </c>
    </row>
    <row r="28" spans="1:28" x14ac:dyDescent="0.25">
      <c r="AB28" s="39">
        <f>SUM(D27:AB27)</f>
        <v>40558.279999999992</v>
      </c>
    </row>
    <row r="29" spans="1:28" x14ac:dyDescent="0.25"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1" spans="1:28" x14ac:dyDescent="0.25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3" spans="3:28" x14ac:dyDescent="0.25">
      <c r="AB33" s="84"/>
    </row>
    <row r="36" spans="3:28" x14ac:dyDescent="0.25">
      <c r="C36" s="98"/>
    </row>
  </sheetData>
  <mergeCells count="7">
    <mergeCell ref="X2:Y2"/>
    <mergeCell ref="A4:A12"/>
    <mergeCell ref="A13:A24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1E47-4D6A-4F79-A6A8-B383D35CE274}">
  <dimension ref="A1:AB36"/>
  <sheetViews>
    <sheetView zoomScale="60" zoomScaleNormal="6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Z27" sqref="Z2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13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12-18-10'!D25</f>
        <v>9261</v>
      </c>
      <c r="E4" s="42">
        <f>'STOCK 12-18-10'!E25</f>
        <v>1500</v>
      </c>
      <c r="F4" s="42">
        <f>'STOCK 12-18-10'!F25</f>
        <v>0</v>
      </c>
      <c r="G4" s="42">
        <f>'STOCK 12-18-10'!G25</f>
        <v>0</v>
      </c>
      <c r="H4" s="42">
        <f>'STOCK 12-18-10'!H25</f>
        <v>5140</v>
      </c>
      <c r="I4" s="42">
        <f>'STOCK 12-18-10'!I25</f>
        <v>0</v>
      </c>
      <c r="J4" s="42">
        <f>'STOCK 12-18-10'!J25</f>
        <v>12820</v>
      </c>
      <c r="K4" s="42">
        <f>'STOCK 12-18-10'!K25</f>
        <v>0</v>
      </c>
      <c r="L4" s="42">
        <f>'STOCK 12-18-10'!L25</f>
        <v>3666</v>
      </c>
      <c r="M4" s="42">
        <f>'STOCK 12-18-10'!M25</f>
        <v>11401</v>
      </c>
      <c r="N4" s="42">
        <f>'STOCK 12-18-10'!N25</f>
        <v>7956</v>
      </c>
      <c r="O4" s="42">
        <f>'STOCK 12-18-10'!O25</f>
        <v>680</v>
      </c>
      <c r="P4" s="42">
        <f>'STOCK 12-18-10'!P25</f>
        <v>32</v>
      </c>
      <c r="Q4" s="42">
        <f>'STOCK 12-18-10'!Q25</f>
        <v>0</v>
      </c>
      <c r="R4" s="42">
        <f>'STOCK 12-18-10'!R25</f>
        <v>2757</v>
      </c>
      <c r="S4" s="42">
        <f>'STOCK 12-18-10'!S25</f>
        <v>0</v>
      </c>
      <c r="T4" s="42">
        <f>'STOCK 12-18-10'!T25</f>
        <v>147</v>
      </c>
      <c r="U4" s="42">
        <f>'STOCK 12-18-10'!U25</f>
        <v>600</v>
      </c>
      <c r="V4" s="42">
        <f>'STOCK 12-18-10'!V25</f>
        <v>289</v>
      </c>
      <c r="W4" s="42">
        <f>'STOCK 12-18-10'!W25</f>
        <v>10</v>
      </c>
      <c r="X4" s="42">
        <f>'STOCK 12-18-10'!X25</f>
        <v>0</v>
      </c>
      <c r="Y4" s="42">
        <f>'STOCK 12-18-10'!Y25</f>
        <v>2509</v>
      </c>
      <c r="Z4" s="42">
        <f>'STOCK 12-18-10'!Z25</f>
        <v>500</v>
      </c>
      <c r="AA4" s="42">
        <f>'STOCK 12-18-10'!AA25</f>
        <v>0</v>
      </c>
      <c r="AB4" s="42">
        <f>'STOCK 12-18-10'!AB25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45950</v>
      </c>
      <c r="C6" s="82" t="s">
        <v>46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>
        <v>550</v>
      </c>
      <c r="W6" s="31"/>
      <c r="X6" s="13"/>
      <c r="Y6" s="31"/>
      <c r="AA6" s="94"/>
      <c r="AB6" s="15"/>
    </row>
    <row r="7" spans="1:28" x14ac:dyDescent="0.25">
      <c r="A7" s="311"/>
      <c r="B7" s="20">
        <v>45953</v>
      </c>
      <c r="C7" s="82" t="s">
        <v>46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>
        <f>1300+1000</f>
        <v>2300</v>
      </c>
      <c r="W7" s="31"/>
      <c r="X7" s="13"/>
      <c r="Y7" s="31"/>
      <c r="AA7" s="94"/>
      <c r="AB7" s="15"/>
    </row>
    <row r="8" spans="1:28" x14ac:dyDescent="0.25">
      <c r="A8" s="311"/>
      <c r="B8" s="20">
        <v>45954</v>
      </c>
      <c r="C8" s="82" t="s">
        <v>46</v>
      </c>
      <c r="D8" s="27"/>
      <c r="F8" s="35"/>
      <c r="H8" s="31"/>
      <c r="I8" s="13"/>
      <c r="J8" s="35"/>
      <c r="L8" s="35"/>
      <c r="M8" s="35">
        <v>4000</v>
      </c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45955</v>
      </c>
      <c r="C9" s="82" t="s">
        <v>46</v>
      </c>
      <c r="D9" s="27">
        <v>6000</v>
      </c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36"/>
      <c r="N12" s="17"/>
      <c r="O12" s="28"/>
      <c r="P12" s="1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95"/>
      <c r="AB12" s="19"/>
    </row>
    <row r="13" spans="1:28" x14ac:dyDescent="0.25">
      <c r="A13" s="310" t="s">
        <v>62</v>
      </c>
      <c r="B13" s="20">
        <v>45950</v>
      </c>
      <c r="C13" s="14" t="s">
        <v>22</v>
      </c>
      <c r="D13" s="27"/>
      <c r="F13" s="35"/>
      <c r="H13" s="31">
        <v>2000</v>
      </c>
      <c r="I13" s="13"/>
      <c r="J13" s="35">
        <f>1000+1000+500</f>
        <v>2500</v>
      </c>
      <c r="L13" s="35"/>
      <c r="M13" s="35">
        <v>2900</v>
      </c>
      <c r="N13" s="14"/>
      <c r="O13" s="27"/>
      <c r="R13">
        <f>60+400</f>
        <v>460</v>
      </c>
      <c r="S13" s="31"/>
      <c r="T13" s="13">
        <f>250+300</f>
        <v>550</v>
      </c>
      <c r="W13" s="31"/>
      <c r="X13" s="13"/>
      <c r="Y13" s="31"/>
      <c r="AA13" s="94"/>
      <c r="AB13" s="15"/>
    </row>
    <row r="14" spans="1:28" x14ac:dyDescent="0.25">
      <c r="A14" s="311"/>
      <c r="B14" s="20">
        <v>45950</v>
      </c>
      <c r="C14" s="14" t="s">
        <v>45</v>
      </c>
      <c r="D14" s="27">
        <v>2000</v>
      </c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45951</v>
      </c>
      <c r="C15" s="14" t="s">
        <v>22</v>
      </c>
      <c r="D15" s="27"/>
      <c r="F15" s="35"/>
      <c r="H15" s="31"/>
      <c r="I15" s="13"/>
      <c r="J15" s="35">
        <v>2000</v>
      </c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45952</v>
      </c>
      <c r="C16" s="14" t="s">
        <v>45</v>
      </c>
      <c r="D16" s="27">
        <f>800+500</f>
        <v>1300</v>
      </c>
      <c r="F16" s="35"/>
      <c r="H16" s="31"/>
      <c r="I16" s="13"/>
      <c r="J16" s="35">
        <v>2760</v>
      </c>
      <c r="L16" s="35"/>
      <c r="M16" s="35">
        <v>7000</v>
      </c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45952</v>
      </c>
      <c r="C17" s="14" t="s">
        <v>22</v>
      </c>
      <c r="D17" s="27"/>
      <c r="F17" s="35"/>
      <c r="H17" s="31"/>
      <c r="I17" s="13"/>
      <c r="J17" s="35"/>
      <c r="L17" s="35"/>
      <c r="M17" s="35">
        <v>1500</v>
      </c>
      <c r="N17" s="14">
        <f>200+1000</f>
        <v>1200</v>
      </c>
      <c r="O17" s="27">
        <f>150+10</f>
        <v>160</v>
      </c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45953</v>
      </c>
      <c r="C18" s="14" t="s">
        <v>22</v>
      </c>
      <c r="D18" s="27">
        <f>2000+120</f>
        <v>2120</v>
      </c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45954</v>
      </c>
      <c r="C19" s="14" t="s">
        <v>22</v>
      </c>
      <c r="D19" s="27"/>
      <c r="F19" s="35"/>
      <c r="H19" s="31">
        <v>1000</v>
      </c>
      <c r="I19" s="13"/>
      <c r="J19" s="35"/>
      <c r="L19" s="35"/>
      <c r="M19" s="35"/>
      <c r="N19" s="14">
        <v>1000</v>
      </c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45955</v>
      </c>
      <c r="C20" s="14" t="s">
        <v>22</v>
      </c>
      <c r="D20" s="27">
        <v>500</v>
      </c>
      <c r="F20" s="35"/>
      <c r="H20" s="31"/>
      <c r="I20" s="13"/>
      <c r="J20" s="35">
        <f>60</f>
        <v>60</v>
      </c>
      <c r="L20" s="35"/>
      <c r="M20" s="35">
        <v>1800</v>
      </c>
      <c r="N20" s="14"/>
      <c r="O20" s="27"/>
      <c r="R20">
        <v>95</v>
      </c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SUM(D4:D12)-SUM(D13:D24)</f>
        <v>9341</v>
      </c>
      <c r="E25" s="22">
        <f t="shared" si="0"/>
        <v>1500</v>
      </c>
      <c r="F25" s="37">
        <f t="shared" si="0"/>
        <v>0</v>
      </c>
      <c r="G25" s="24">
        <f t="shared" si="0"/>
        <v>0</v>
      </c>
      <c r="H25" s="33">
        <f t="shared" si="0"/>
        <v>2140</v>
      </c>
      <c r="I25" s="22">
        <f t="shared" si="0"/>
        <v>0</v>
      </c>
      <c r="J25" s="37">
        <f t="shared" si="0"/>
        <v>5500</v>
      </c>
      <c r="K25" s="24">
        <f t="shared" si="0"/>
        <v>0</v>
      </c>
      <c r="L25" s="37">
        <f t="shared" si="0"/>
        <v>3666</v>
      </c>
      <c r="M25" s="37">
        <f t="shared" si="0"/>
        <v>2201</v>
      </c>
      <c r="N25" s="23">
        <f t="shared" si="0"/>
        <v>5756</v>
      </c>
      <c r="O25" s="29">
        <f t="shared" si="0"/>
        <v>520</v>
      </c>
      <c r="P25" s="29">
        <f t="shared" si="0"/>
        <v>32</v>
      </c>
      <c r="Q25" s="29">
        <f t="shared" si="0"/>
        <v>0</v>
      </c>
      <c r="R25" s="24">
        <f t="shared" si="0"/>
        <v>2202</v>
      </c>
      <c r="S25" s="33">
        <f t="shared" si="0"/>
        <v>0</v>
      </c>
      <c r="T25" s="22">
        <f t="shared" si="0"/>
        <v>2447</v>
      </c>
      <c r="U25" s="22">
        <f t="shared" si="0"/>
        <v>600</v>
      </c>
      <c r="V25" s="22">
        <f t="shared" si="0"/>
        <v>289</v>
      </c>
      <c r="W25" s="33">
        <f t="shared" si="0"/>
        <v>10</v>
      </c>
      <c r="X25" s="22">
        <f t="shared" si="0"/>
        <v>0</v>
      </c>
      <c r="Y25" s="33">
        <f t="shared" si="0"/>
        <v>2509</v>
      </c>
      <c r="Z25" s="22">
        <f t="shared" si="0"/>
        <v>500</v>
      </c>
      <c r="AA25" s="96">
        <f t="shared" si="0"/>
        <v>0</v>
      </c>
      <c r="AB25" s="25">
        <f t="shared" si="0"/>
        <v>20</v>
      </c>
    </row>
    <row r="27" spans="1:28" x14ac:dyDescent="0.25">
      <c r="D27">
        <f>D25*0.39</f>
        <v>3642.9900000000002</v>
      </c>
      <c r="E27">
        <f>+E25*0.41</f>
        <v>615</v>
      </c>
      <c r="F27">
        <f>+F25*0.47</f>
        <v>0</v>
      </c>
      <c r="G27">
        <f>+G25*0.38</f>
        <v>0</v>
      </c>
      <c r="H27">
        <f>+H25*0.47-(160*0.07)</f>
        <v>994.59999999999991</v>
      </c>
      <c r="I27">
        <f>+I25*0.58</f>
        <v>0</v>
      </c>
      <c r="J27">
        <f>+J25*0.58</f>
        <v>3190</v>
      </c>
      <c r="K27" s="50">
        <f>+K25*0.89</f>
        <v>0</v>
      </c>
      <c r="L27">
        <f>+L25*0.69</f>
        <v>2529.54</v>
      </c>
      <c r="M27">
        <f>+M25*0.72</f>
        <v>1584.72</v>
      </c>
      <c r="N27">
        <f>+N25*0.59</f>
        <v>3396.04</v>
      </c>
      <c r="O27">
        <f>+O25*2.3</f>
        <v>1196</v>
      </c>
      <c r="P27">
        <f>+P25*1.575</f>
        <v>50.4</v>
      </c>
      <c r="Q27">
        <f>Q25*1.8</f>
        <v>0</v>
      </c>
      <c r="R27">
        <f>+R25*1.85</f>
        <v>4073.7000000000003</v>
      </c>
      <c r="S27">
        <f>+S25*1.57</f>
        <v>0</v>
      </c>
      <c r="T27">
        <f>+T25*1.95</f>
        <v>4771.6499999999996</v>
      </c>
      <c r="U27">
        <f>+U25*2.35</f>
        <v>1410</v>
      </c>
      <c r="V27">
        <f>+V25*2.55</f>
        <v>736.94999999999993</v>
      </c>
      <c r="W27">
        <f>+W25*2.05</f>
        <v>20.5</v>
      </c>
      <c r="X27">
        <f>+X25*0.44</f>
        <v>0</v>
      </c>
      <c r="Y27">
        <f>+Y25*0.34</f>
        <v>853.06000000000006</v>
      </c>
      <c r="Z27" s="50">
        <f>+Z25*2.3</f>
        <v>1150</v>
      </c>
      <c r="AA27">
        <f>+AA25*0.58</f>
        <v>0</v>
      </c>
      <c r="AB27">
        <f>+AB25*1.75</f>
        <v>35</v>
      </c>
    </row>
    <row r="28" spans="1:28" x14ac:dyDescent="0.25">
      <c r="AB28" s="39">
        <f>SUM(D27:AB27)</f>
        <v>30250.15</v>
      </c>
    </row>
    <row r="29" spans="1:28" x14ac:dyDescent="0.25"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0" spans="1:28" x14ac:dyDescent="0.25">
      <c r="M30">
        <f>4501*0.7</f>
        <v>3150.7</v>
      </c>
      <c r="R30">
        <f>2.3-1.85</f>
        <v>0.44999999999999973</v>
      </c>
    </row>
    <row r="31" spans="1:28" x14ac:dyDescent="0.25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>
        <f>2499*0.72</f>
        <v>1799.28</v>
      </c>
      <c r="N31" s="39"/>
      <c r="O31" s="39"/>
      <c r="P31" s="39"/>
      <c r="Q31" s="39"/>
      <c r="R31" s="39">
        <f>+R30*350</f>
        <v>157.49999999999991</v>
      </c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2" spans="1:28" x14ac:dyDescent="0.25">
      <c r="M32">
        <f>+M30+M31</f>
        <v>4949.9799999999996</v>
      </c>
    </row>
    <row r="33" spans="3:28" x14ac:dyDescent="0.25">
      <c r="M33">
        <f>M32/7000</f>
        <v>0.70713999999999999</v>
      </c>
      <c r="AB33" s="84"/>
    </row>
    <row r="36" spans="3:28" x14ac:dyDescent="0.25">
      <c r="C36" s="98"/>
    </row>
  </sheetData>
  <mergeCells count="7">
    <mergeCell ref="X2:Y2"/>
    <mergeCell ref="A4:A12"/>
    <mergeCell ref="A13:A24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C190-1D3C-448B-824F-10BE33BCC051}">
  <dimension ref="A1:AB37"/>
  <sheetViews>
    <sheetView zoomScale="60" zoomScaleNormal="60" workbookViewId="0">
      <pane xSplit="3" ySplit="3" topLeftCell="D22" activePane="bottomRight" state="frozen"/>
      <selection pane="topRight" activeCell="D1" sqref="D1"/>
      <selection pane="bottomLeft" activeCell="A4" sqref="A4"/>
      <selection pane="bottomRight" activeCell="B21" sqref="A21:XFD21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19-25-10'!D25</f>
        <v>9341</v>
      </c>
      <c r="E4" s="42">
        <f>'STOCK 19-25-10'!E25</f>
        <v>1500</v>
      </c>
      <c r="F4" s="42">
        <f>'STOCK 19-25-10'!F25</f>
        <v>0</v>
      </c>
      <c r="G4" s="42">
        <f>'STOCK 19-25-10'!G25</f>
        <v>0</v>
      </c>
      <c r="H4" s="42">
        <f>'STOCK 19-25-10'!H25</f>
        <v>2140</v>
      </c>
      <c r="I4" s="42">
        <f>'STOCK 19-25-10'!I25</f>
        <v>0</v>
      </c>
      <c r="J4" s="42">
        <f>'STOCK 19-25-10'!J25</f>
        <v>5500</v>
      </c>
      <c r="K4" s="42">
        <f>'STOCK 19-25-10'!K25</f>
        <v>0</v>
      </c>
      <c r="L4" s="42">
        <f>'STOCK 19-25-10'!L25</f>
        <v>3666</v>
      </c>
      <c r="M4" s="42">
        <f>'STOCK 19-25-10'!M25</f>
        <v>2201</v>
      </c>
      <c r="N4" s="42">
        <f>'STOCK 19-25-10'!N25</f>
        <v>5756</v>
      </c>
      <c r="O4" s="42">
        <f>'STOCK 19-25-10'!O25</f>
        <v>520</v>
      </c>
      <c r="P4" s="42">
        <f>'STOCK 19-25-10'!P25</f>
        <v>32</v>
      </c>
      <c r="Q4" s="42">
        <f>'STOCK 19-25-10'!Q25</f>
        <v>0</v>
      </c>
      <c r="R4" s="42">
        <f>'STOCK 19-25-10'!R25</f>
        <v>2202</v>
      </c>
      <c r="S4" s="42">
        <f>'STOCK 19-25-10'!S25</f>
        <v>0</v>
      </c>
      <c r="T4" s="42">
        <f>'STOCK 19-25-10'!T25</f>
        <v>2447</v>
      </c>
      <c r="U4" s="42">
        <f>'STOCK 19-25-10'!U25</f>
        <v>600</v>
      </c>
      <c r="V4" s="42">
        <f>'STOCK 19-25-10'!V25</f>
        <v>289</v>
      </c>
      <c r="W4" s="42">
        <f>'STOCK 19-25-10'!W25</f>
        <v>10</v>
      </c>
      <c r="X4" s="42">
        <f>'STOCK 19-25-10'!X25</f>
        <v>0</v>
      </c>
      <c r="Y4" s="42">
        <f>'STOCK 19-25-10'!Y25</f>
        <v>2509</v>
      </c>
      <c r="Z4" s="42">
        <f>'STOCK 19-25-10'!Z25</f>
        <v>500</v>
      </c>
      <c r="AA4" s="42">
        <f>'STOCK 19-25-10'!AA25</f>
        <v>0</v>
      </c>
      <c r="AB4" s="42">
        <f>'STOCK 19-25-10'!AB25</f>
        <v>20</v>
      </c>
    </row>
    <row r="5" spans="1:28" x14ac:dyDescent="0.25">
      <c r="A5" s="311"/>
      <c r="B5" s="20">
        <v>45957</v>
      </c>
      <c r="C5" s="82" t="s">
        <v>27</v>
      </c>
      <c r="D5" s="27">
        <v>4500</v>
      </c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45957</v>
      </c>
      <c r="C6" s="82" t="s">
        <v>100</v>
      </c>
      <c r="D6" s="27">
        <v>2500</v>
      </c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45958</v>
      </c>
      <c r="C7" s="82" t="s">
        <v>27</v>
      </c>
      <c r="D7" s="27"/>
      <c r="F7" s="35"/>
      <c r="H7" s="31"/>
      <c r="I7" s="13"/>
      <c r="J7" s="35"/>
      <c r="L7" s="35"/>
      <c r="M7" s="35">
        <v>3500</v>
      </c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45958</v>
      </c>
      <c r="C8" s="82" t="s">
        <v>46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Z8">
        <v>200</v>
      </c>
      <c r="AA8" s="94"/>
      <c r="AB8" s="15"/>
    </row>
    <row r="9" spans="1:28" x14ac:dyDescent="0.25">
      <c r="A9" s="311"/>
      <c r="B9" s="20">
        <v>45959</v>
      </c>
      <c r="C9" s="82" t="s">
        <v>46</v>
      </c>
      <c r="D9" s="27">
        <v>1000</v>
      </c>
      <c r="F9" s="35"/>
      <c r="H9" s="31"/>
      <c r="I9" s="13"/>
      <c r="J9" s="35"/>
      <c r="L9" s="35"/>
      <c r="M9" s="35">
        <v>3500</v>
      </c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45961</v>
      </c>
      <c r="C10" s="82" t="s">
        <v>46</v>
      </c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Z10">
        <v>300</v>
      </c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 t="s">
        <v>93</v>
      </c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>
        <v>835</v>
      </c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45956</v>
      </c>
      <c r="C15" s="14" t="s">
        <v>22</v>
      </c>
      <c r="D15" s="27"/>
      <c r="F15" s="35"/>
      <c r="H15" s="31"/>
      <c r="I15" s="13"/>
      <c r="J15" s="35">
        <f>75+1500</f>
        <v>1575</v>
      </c>
      <c r="L15" s="35"/>
      <c r="M15" s="35"/>
      <c r="N15" s="14"/>
      <c r="O15" s="27"/>
      <c r="S15" s="31"/>
      <c r="T15" s="13"/>
      <c r="W15" s="31"/>
      <c r="X15" s="13"/>
      <c r="Y15" s="31"/>
      <c r="Z15">
        <v>80</v>
      </c>
      <c r="AA15" s="94"/>
      <c r="AB15" s="15"/>
    </row>
    <row r="16" spans="1:28" x14ac:dyDescent="0.25">
      <c r="A16" s="311"/>
      <c r="B16" s="20">
        <v>45957</v>
      </c>
      <c r="C16" s="14" t="s">
        <v>22</v>
      </c>
      <c r="D16" s="27">
        <v>100</v>
      </c>
      <c r="F16" s="35"/>
      <c r="H16" s="31"/>
      <c r="I16" s="13"/>
      <c r="J16" s="35"/>
      <c r="L16" s="35">
        <v>250</v>
      </c>
      <c r="M16" s="35"/>
      <c r="N16" s="14"/>
      <c r="O16" s="27"/>
      <c r="S16" s="31"/>
      <c r="T16" s="13">
        <v>50</v>
      </c>
      <c r="W16" s="31"/>
      <c r="X16" s="13"/>
      <c r="Y16" s="31">
        <v>70</v>
      </c>
      <c r="Z16">
        <f>420-32</f>
        <v>388</v>
      </c>
      <c r="AA16" s="94"/>
      <c r="AB16" s="15"/>
    </row>
    <row r="17" spans="1:28" x14ac:dyDescent="0.25">
      <c r="A17" s="311"/>
      <c r="B17" s="20">
        <v>45958</v>
      </c>
      <c r="C17" s="14" t="s">
        <v>22</v>
      </c>
      <c r="D17" s="27">
        <v>500</v>
      </c>
      <c r="F17" s="35"/>
      <c r="H17" s="31"/>
      <c r="I17" s="13"/>
      <c r="J17" s="35">
        <f>2000+1500</f>
        <v>3500</v>
      </c>
      <c r="L17" s="35"/>
      <c r="M17" s="35"/>
      <c r="N17" s="14">
        <v>1000</v>
      </c>
      <c r="O17" s="27"/>
      <c r="S17" s="31"/>
      <c r="T17" s="13"/>
      <c r="W17" s="31"/>
      <c r="X17" s="13"/>
      <c r="Y17" s="31">
        <v>200</v>
      </c>
      <c r="AA17" s="94"/>
      <c r="AB17" s="15"/>
    </row>
    <row r="18" spans="1:28" x14ac:dyDescent="0.25">
      <c r="A18" s="311"/>
      <c r="B18" s="20">
        <v>45959</v>
      </c>
      <c r="C18" s="14" t="s">
        <v>22</v>
      </c>
      <c r="D18" s="27">
        <v>1000</v>
      </c>
      <c r="F18" s="35"/>
      <c r="H18" s="31"/>
      <c r="I18" s="13"/>
      <c r="J18" s="35"/>
      <c r="L18" s="35"/>
      <c r="M18" s="35">
        <f>250+40</f>
        <v>290</v>
      </c>
      <c r="N18" s="14">
        <v>500</v>
      </c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45960</v>
      </c>
      <c r="C19" s="14" t="s">
        <v>22</v>
      </c>
      <c r="D19" s="27">
        <v>500</v>
      </c>
      <c r="F19" s="35"/>
      <c r="H19" s="31"/>
      <c r="I19" s="13"/>
      <c r="J19" s="35">
        <v>400</v>
      </c>
      <c r="L19" s="35"/>
      <c r="M19" s="35">
        <v>250</v>
      </c>
      <c r="N19" s="14">
        <v>700</v>
      </c>
      <c r="O19" s="27"/>
      <c r="S19" s="31"/>
      <c r="T19" s="13">
        <v>127</v>
      </c>
      <c r="W19" s="31"/>
      <c r="X19" s="13"/>
      <c r="Y19" s="31"/>
      <c r="AA19" s="94"/>
      <c r="AB19" s="15"/>
    </row>
    <row r="20" spans="1:28" x14ac:dyDescent="0.25">
      <c r="A20" s="311"/>
      <c r="B20" s="20">
        <v>45961</v>
      </c>
      <c r="C20" s="14" t="s">
        <v>22</v>
      </c>
      <c r="D20" s="27"/>
      <c r="F20" s="35"/>
      <c r="H20" s="31"/>
      <c r="I20" s="13"/>
      <c r="J20" s="35"/>
      <c r="L20" s="35">
        <v>55</v>
      </c>
      <c r="M20" s="35"/>
      <c r="N20" s="14">
        <v>1000</v>
      </c>
      <c r="O20" s="27">
        <v>520</v>
      </c>
      <c r="S20" s="31"/>
      <c r="T20" s="13"/>
      <c r="W20" s="31"/>
      <c r="X20" s="13"/>
      <c r="Y20" s="31">
        <v>50</v>
      </c>
      <c r="AA20" s="94"/>
      <c r="AB20" s="15"/>
    </row>
    <row r="21" spans="1:28" x14ac:dyDescent="0.25">
      <c r="A21" s="311"/>
      <c r="B21" s="20">
        <v>45962</v>
      </c>
      <c r="C21" s="14" t="s">
        <v>22</v>
      </c>
      <c r="D21" s="27">
        <v>150</v>
      </c>
      <c r="F21" s="35"/>
      <c r="H21" s="31"/>
      <c r="I21" s="13"/>
      <c r="J21" s="35"/>
      <c r="L21" s="35"/>
      <c r="M21" s="35"/>
      <c r="N21" s="14"/>
      <c r="O21" s="27"/>
      <c r="R21">
        <v>230</v>
      </c>
      <c r="S21" s="31"/>
      <c r="T21" s="13">
        <v>95</v>
      </c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SUM(D4:D13)-SUM(D14:D25)</f>
        <v>15091</v>
      </c>
      <c r="E26" s="22">
        <f t="shared" si="0"/>
        <v>1500</v>
      </c>
      <c r="F26" s="37">
        <f t="shared" si="0"/>
        <v>0</v>
      </c>
      <c r="G26" s="24">
        <f t="shared" si="0"/>
        <v>0</v>
      </c>
      <c r="H26" s="33">
        <f t="shared" si="0"/>
        <v>2140</v>
      </c>
      <c r="I26" s="22">
        <f t="shared" si="0"/>
        <v>0</v>
      </c>
      <c r="J26" s="37">
        <f t="shared" si="0"/>
        <v>25</v>
      </c>
      <c r="K26" s="24">
        <f t="shared" si="0"/>
        <v>0</v>
      </c>
      <c r="L26" s="37">
        <f t="shared" si="0"/>
        <v>3361</v>
      </c>
      <c r="M26" s="37">
        <f t="shared" si="0"/>
        <v>8661</v>
      </c>
      <c r="N26" s="23">
        <f t="shared" si="0"/>
        <v>2556</v>
      </c>
      <c r="O26" s="29">
        <f t="shared" si="0"/>
        <v>0</v>
      </c>
      <c r="P26" s="29">
        <f t="shared" si="0"/>
        <v>32</v>
      </c>
      <c r="Q26" s="29">
        <f t="shared" si="0"/>
        <v>0</v>
      </c>
      <c r="R26" s="24">
        <f t="shared" si="0"/>
        <v>1972</v>
      </c>
      <c r="S26" s="33">
        <f t="shared" si="0"/>
        <v>0</v>
      </c>
      <c r="T26" s="22">
        <f t="shared" si="0"/>
        <v>2175</v>
      </c>
      <c r="U26" s="22">
        <f t="shared" si="0"/>
        <v>600</v>
      </c>
      <c r="V26" s="22">
        <f t="shared" si="0"/>
        <v>289</v>
      </c>
      <c r="W26" s="33">
        <f t="shared" si="0"/>
        <v>10</v>
      </c>
      <c r="X26" s="22">
        <f t="shared" si="0"/>
        <v>0</v>
      </c>
      <c r="Y26" s="33">
        <f t="shared" si="0"/>
        <v>3024</v>
      </c>
      <c r="Z26" s="22">
        <f t="shared" si="0"/>
        <v>532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D26*0.39</f>
        <v>5885.49</v>
      </c>
      <c r="E28">
        <f>+E26*0.41</f>
        <v>615</v>
      </c>
      <c r="F28">
        <f>+F26*0.47</f>
        <v>0</v>
      </c>
      <c r="G28">
        <f>+G26*0.38</f>
        <v>0</v>
      </c>
      <c r="H28">
        <f>+H26*0.47-(160*0.07)</f>
        <v>994.59999999999991</v>
      </c>
      <c r="I28">
        <f>+I26*0.58</f>
        <v>0</v>
      </c>
      <c r="J28">
        <f>+J26*0.58</f>
        <v>14.499999999999998</v>
      </c>
      <c r="K28" s="50">
        <f>+K26*0.89</f>
        <v>0</v>
      </c>
      <c r="L28">
        <f>+L26*0.69</f>
        <v>2319.0899999999997</v>
      </c>
      <c r="M28">
        <f>+M26*0.72</f>
        <v>6235.92</v>
      </c>
      <c r="N28">
        <f>+N26*0.59</f>
        <v>1508.04</v>
      </c>
      <c r="O28">
        <f>+O26*2.3</f>
        <v>0</v>
      </c>
      <c r="P28">
        <f>+P26*1.575</f>
        <v>50.4</v>
      </c>
      <c r="Q28">
        <f>Q26*1.8</f>
        <v>0</v>
      </c>
      <c r="R28">
        <f>+R26*1.85</f>
        <v>3648.2000000000003</v>
      </c>
      <c r="S28">
        <f>+S26*1.57</f>
        <v>0</v>
      </c>
      <c r="T28">
        <f>+T26*1.95</f>
        <v>4241.25</v>
      </c>
      <c r="U28">
        <f>+U26*2.35</f>
        <v>1410</v>
      </c>
      <c r="V28">
        <f>+V26*2.55</f>
        <v>736.94999999999993</v>
      </c>
      <c r="W28">
        <f>+W26*2.05</f>
        <v>20.5</v>
      </c>
      <c r="X28">
        <f>+X26*0.44</f>
        <v>0</v>
      </c>
      <c r="Y28">
        <f>+Y26*0.34</f>
        <v>1028.1600000000001</v>
      </c>
      <c r="Z28" s="50">
        <f>+Z26*2.25+(32*0.05)</f>
        <v>1198.5999999999999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29941.7</v>
      </c>
    </row>
    <row r="30" spans="1:28" x14ac:dyDescent="0.25">
      <c r="C30" s="39"/>
      <c r="D30" s="39">
        <v>14668</v>
      </c>
      <c r="E30" s="39">
        <v>1500</v>
      </c>
      <c r="F30" s="39"/>
      <c r="G30" s="39"/>
      <c r="H30" s="39">
        <v>1678</v>
      </c>
      <c r="I30" s="39"/>
      <c r="J30" s="39">
        <v>0</v>
      </c>
      <c r="K30" s="39"/>
      <c r="L30" s="39">
        <v>3306</v>
      </c>
      <c r="M30" s="39">
        <v>8730</v>
      </c>
      <c r="N30" s="39">
        <v>2896</v>
      </c>
      <c r="O30" s="39"/>
      <c r="P30" s="39"/>
      <c r="Q30" s="39"/>
      <c r="R30" s="39">
        <v>1860</v>
      </c>
      <c r="S30" s="39"/>
      <c r="T30" s="39">
        <v>2169</v>
      </c>
      <c r="U30" s="39">
        <v>600</v>
      </c>
      <c r="V30" s="39">
        <v>289</v>
      </c>
      <c r="W30" s="39">
        <v>0</v>
      </c>
      <c r="X30" s="39"/>
      <c r="Y30" s="39">
        <v>3024</v>
      </c>
      <c r="Z30" s="39">
        <v>532</v>
      </c>
      <c r="AA30" s="39"/>
      <c r="AB30" s="39">
        <v>20</v>
      </c>
    </row>
    <row r="32" spans="1:28" x14ac:dyDescent="0.25">
      <c r="C32" s="39" t="s">
        <v>43</v>
      </c>
      <c r="D32" s="101">
        <f>D30-D26</f>
        <v>-423</v>
      </c>
      <c r="E32" s="101">
        <f t="shared" ref="E32:AB32" si="1">E30-E26</f>
        <v>0</v>
      </c>
      <c r="F32" s="101">
        <f t="shared" si="1"/>
        <v>0</v>
      </c>
      <c r="G32" s="101">
        <f t="shared" si="1"/>
        <v>0</v>
      </c>
      <c r="H32" s="101">
        <f t="shared" si="1"/>
        <v>-462</v>
      </c>
      <c r="I32" s="101">
        <f t="shared" si="1"/>
        <v>0</v>
      </c>
      <c r="J32" s="101">
        <f>J30-J26</f>
        <v>-25</v>
      </c>
      <c r="K32" s="101">
        <f t="shared" si="1"/>
        <v>0</v>
      </c>
      <c r="L32" s="101">
        <f t="shared" si="1"/>
        <v>-55</v>
      </c>
      <c r="M32" s="101">
        <f t="shared" si="1"/>
        <v>69</v>
      </c>
      <c r="N32" s="101">
        <f t="shared" si="1"/>
        <v>340</v>
      </c>
      <c r="O32" s="101">
        <f t="shared" si="1"/>
        <v>0</v>
      </c>
      <c r="P32" s="101">
        <f t="shared" si="1"/>
        <v>-32</v>
      </c>
      <c r="Q32" s="101">
        <f t="shared" si="1"/>
        <v>0</v>
      </c>
      <c r="R32" s="101">
        <f t="shared" si="1"/>
        <v>-112</v>
      </c>
      <c r="S32" s="101">
        <f t="shared" si="1"/>
        <v>0</v>
      </c>
      <c r="T32" s="101">
        <f t="shared" si="1"/>
        <v>-6</v>
      </c>
      <c r="U32" s="101">
        <f t="shared" si="1"/>
        <v>0</v>
      </c>
      <c r="V32" s="101">
        <f t="shared" si="1"/>
        <v>0</v>
      </c>
      <c r="W32" s="101">
        <f t="shared" si="1"/>
        <v>-10</v>
      </c>
      <c r="X32" s="101">
        <f t="shared" si="1"/>
        <v>0</v>
      </c>
      <c r="Y32" s="101">
        <f t="shared" si="1"/>
        <v>0</v>
      </c>
      <c r="Z32" s="101">
        <f t="shared" si="1"/>
        <v>0</v>
      </c>
      <c r="AA32" s="101">
        <f t="shared" si="1"/>
        <v>0</v>
      </c>
      <c r="AB32" s="101">
        <f t="shared" si="1"/>
        <v>0</v>
      </c>
    </row>
    <row r="33" spans="3:28" x14ac:dyDescent="0.25">
      <c r="D33">
        <v>0.39</v>
      </c>
      <c r="H33">
        <v>0.47</v>
      </c>
      <c r="J33">
        <v>0.57999999999999996</v>
      </c>
      <c r="L33">
        <v>0.69</v>
      </c>
      <c r="M33">
        <v>0.72</v>
      </c>
      <c r="N33">
        <v>0.59</v>
      </c>
      <c r="P33">
        <v>1.575</v>
      </c>
      <c r="R33">
        <v>1.85</v>
      </c>
      <c r="T33">
        <v>1.95</v>
      </c>
      <c r="W33">
        <v>2.0499999999999998</v>
      </c>
    </row>
    <row r="34" spans="3:28" x14ac:dyDescent="0.25">
      <c r="AB34" s="84"/>
    </row>
    <row r="35" spans="3:28" x14ac:dyDescent="0.25">
      <c r="C35" s="52" t="s">
        <v>117</v>
      </c>
      <c r="D35" s="52">
        <f>D32*D33</f>
        <v>-164.97</v>
      </c>
      <c r="E35" s="52">
        <f t="shared" ref="E35:AB35" si="2">E32*E33</f>
        <v>0</v>
      </c>
      <c r="F35" s="52">
        <f t="shared" si="2"/>
        <v>0</v>
      </c>
      <c r="G35" s="52">
        <f t="shared" si="2"/>
        <v>0</v>
      </c>
      <c r="H35" s="52">
        <f t="shared" si="2"/>
        <v>-217.14</v>
      </c>
      <c r="I35" s="52">
        <f t="shared" si="2"/>
        <v>0</v>
      </c>
      <c r="J35" s="52">
        <f t="shared" si="2"/>
        <v>-14.499999999999998</v>
      </c>
      <c r="K35" s="52">
        <f t="shared" si="2"/>
        <v>0</v>
      </c>
      <c r="L35" s="52">
        <f t="shared" si="2"/>
        <v>-37.949999999999996</v>
      </c>
      <c r="M35" s="52">
        <f t="shared" si="2"/>
        <v>49.68</v>
      </c>
      <c r="N35" s="52">
        <f t="shared" si="2"/>
        <v>200.6</v>
      </c>
      <c r="O35" s="52">
        <f t="shared" si="2"/>
        <v>0</v>
      </c>
      <c r="P35" s="52">
        <f t="shared" si="2"/>
        <v>-50.4</v>
      </c>
      <c r="Q35" s="52">
        <f t="shared" si="2"/>
        <v>0</v>
      </c>
      <c r="R35" s="52">
        <f t="shared" si="2"/>
        <v>-207.20000000000002</v>
      </c>
      <c r="S35" s="52">
        <f t="shared" si="2"/>
        <v>0</v>
      </c>
      <c r="T35" s="52">
        <f t="shared" si="2"/>
        <v>-11.7</v>
      </c>
      <c r="U35" s="52">
        <f t="shared" si="2"/>
        <v>0</v>
      </c>
      <c r="V35" s="52">
        <f t="shared" si="2"/>
        <v>0</v>
      </c>
      <c r="W35" s="52">
        <f t="shared" si="2"/>
        <v>-20.5</v>
      </c>
      <c r="X35" s="52">
        <f t="shared" si="2"/>
        <v>0</v>
      </c>
      <c r="Y35" s="52">
        <f t="shared" si="2"/>
        <v>0</v>
      </c>
      <c r="Z35" s="52">
        <f t="shared" si="2"/>
        <v>0</v>
      </c>
      <c r="AA35" s="52">
        <f t="shared" si="2"/>
        <v>0</v>
      </c>
      <c r="AB35" s="52">
        <f t="shared" si="2"/>
        <v>0</v>
      </c>
    </row>
    <row r="36" spans="3:28" x14ac:dyDescent="0.25">
      <c r="AB36" s="52">
        <f>SUM(D35:AB35)</f>
        <v>-474.08</v>
      </c>
    </row>
    <row r="37" spans="3:28" x14ac:dyDescent="0.25">
      <c r="C37" s="98"/>
      <c r="X37">
        <v>1839</v>
      </c>
    </row>
  </sheetData>
  <mergeCells count="7">
    <mergeCell ref="X2:Y2"/>
    <mergeCell ref="A4:A13"/>
    <mergeCell ref="A14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F953-D027-4B93-A484-9D121FFA3FAA}">
  <dimension ref="A1:AB33"/>
  <sheetViews>
    <sheetView zoomScale="60" zoomScaleNormal="60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D32" sqref="D32:F41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26-01-11'!D30</f>
        <v>14668</v>
      </c>
      <c r="E4" s="42">
        <f>'STOCK 26-01-11'!E30</f>
        <v>1500</v>
      </c>
      <c r="F4" s="42">
        <f>'STOCK 26-01-11'!F30</f>
        <v>0</v>
      </c>
      <c r="G4" s="42">
        <f>'STOCK 26-01-11'!G30</f>
        <v>0</v>
      </c>
      <c r="H4" s="42">
        <f>'STOCK 26-01-11'!H30</f>
        <v>1678</v>
      </c>
      <c r="I4" s="42">
        <f>'STOCK 26-01-11'!I30</f>
        <v>0</v>
      </c>
      <c r="J4" s="42">
        <f>'STOCK 26-01-11'!J30</f>
        <v>0</v>
      </c>
      <c r="K4" s="42">
        <f>'STOCK 26-01-11'!K30</f>
        <v>0</v>
      </c>
      <c r="L4" s="42">
        <f>'STOCK 26-01-11'!L30</f>
        <v>3306</v>
      </c>
      <c r="M4" s="42">
        <f>'STOCK 26-01-11'!M30</f>
        <v>8730</v>
      </c>
      <c r="N4" s="42">
        <f>'STOCK 26-01-11'!N30</f>
        <v>2896</v>
      </c>
      <c r="O4" s="42">
        <f>'STOCK 26-01-11'!O30</f>
        <v>0</v>
      </c>
      <c r="P4" s="42">
        <f>'STOCK 26-01-11'!P30</f>
        <v>0</v>
      </c>
      <c r="Q4" s="42">
        <f>'STOCK 26-01-11'!Q30</f>
        <v>0</v>
      </c>
      <c r="R4" s="42">
        <f>'STOCK 26-01-11'!R30</f>
        <v>1860</v>
      </c>
      <c r="S4" s="42">
        <f>'STOCK 26-01-11'!S30</f>
        <v>0</v>
      </c>
      <c r="T4" s="42">
        <f>'STOCK 26-01-11'!T30</f>
        <v>2169</v>
      </c>
      <c r="U4" s="42">
        <f>'STOCK 26-01-11'!U30</f>
        <v>600</v>
      </c>
      <c r="V4" s="42">
        <f>'STOCK 26-01-11'!V30</f>
        <v>289</v>
      </c>
      <c r="W4" s="42">
        <f>'STOCK 26-01-11'!W30</f>
        <v>0</v>
      </c>
      <c r="X4" s="42">
        <f>'STOCK 26-01-11'!X30</f>
        <v>0</v>
      </c>
      <c r="Y4" s="42">
        <f>'STOCK 26-01-11'!Y30</f>
        <v>3024</v>
      </c>
      <c r="Z4" s="42">
        <f>'STOCK 26-01-11'!Z30</f>
        <v>532</v>
      </c>
      <c r="AA4" s="42">
        <f>'STOCK 26-01-11'!AA30</f>
        <v>0</v>
      </c>
      <c r="AB4" s="42">
        <f>'STOCK 26-01-11'!AB30</f>
        <v>20</v>
      </c>
    </row>
    <row r="5" spans="1:28" x14ac:dyDescent="0.25">
      <c r="A5" s="311"/>
      <c r="B5" s="20">
        <v>45964</v>
      </c>
      <c r="C5" s="82" t="s">
        <v>27</v>
      </c>
      <c r="D5" s="27"/>
      <c r="F5" s="35"/>
      <c r="H5" s="31"/>
      <c r="I5" s="13"/>
      <c r="J5" s="35">
        <v>3000</v>
      </c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45965</v>
      </c>
      <c r="C6" s="82" t="s">
        <v>46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>
        <v>280</v>
      </c>
      <c r="W6" s="31"/>
      <c r="X6" s="13"/>
      <c r="Y6" s="31"/>
      <c r="AA6" s="94"/>
      <c r="AB6" s="15"/>
    </row>
    <row r="7" spans="1:28" x14ac:dyDescent="0.25">
      <c r="A7" s="311"/>
      <c r="B7" s="20">
        <v>45965</v>
      </c>
      <c r="C7" s="82" t="s">
        <v>27</v>
      </c>
      <c r="D7" s="27"/>
      <c r="F7" s="35"/>
      <c r="H7" s="31"/>
      <c r="I7" s="13"/>
      <c r="J7" s="35">
        <v>3000</v>
      </c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45967</v>
      </c>
      <c r="C8" s="82" t="s">
        <v>27</v>
      </c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Z8">
        <v>500</v>
      </c>
      <c r="AA8" s="94"/>
      <c r="AB8" s="15"/>
    </row>
    <row r="9" spans="1:28" x14ac:dyDescent="0.25">
      <c r="A9" s="311"/>
      <c r="B9" s="20">
        <v>45967</v>
      </c>
      <c r="C9" s="82" t="s">
        <v>46</v>
      </c>
      <c r="D9" s="27">
        <v>3000</v>
      </c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45968</v>
      </c>
      <c r="C10" s="82" t="s">
        <v>27</v>
      </c>
      <c r="D10" s="27"/>
      <c r="F10" s="35"/>
      <c r="H10" s="31"/>
      <c r="I10" s="13"/>
      <c r="J10" s="35">
        <v>3000</v>
      </c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45969</v>
      </c>
      <c r="C11" s="82" t="s">
        <v>46</v>
      </c>
      <c r="D11" s="27"/>
      <c r="F11" s="35"/>
      <c r="H11" s="31"/>
      <c r="I11" s="13"/>
      <c r="J11" s="35"/>
      <c r="K11">
        <v>4000</v>
      </c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45963</v>
      </c>
      <c r="C15" s="14" t="s">
        <v>22</v>
      </c>
      <c r="D15" s="27">
        <v>60</v>
      </c>
      <c r="F15" s="35"/>
      <c r="H15" s="31"/>
      <c r="I15" s="13"/>
      <c r="J15" s="35"/>
      <c r="L15" s="35"/>
      <c r="M15" s="35"/>
      <c r="N15" s="14">
        <v>86</v>
      </c>
      <c r="O15" s="27"/>
      <c r="S15" s="31"/>
      <c r="T15" s="13"/>
      <c r="W15" s="31"/>
      <c r="X15" s="13"/>
      <c r="Y15" s="31">
        <v>75</v>
      </c>
      <c r="AA15" s="94"/>
      <c r="AB15" s="15"/>
    </row>
    <row r="16" spans="1:28" x14ac:dyDescent="0.25">
      <c r="A16" s="311"/>
      <c r="B16" s="20">
        <v>45964</v>
      </c>
      <c r="C16" s="14" t="s">
        <v>22</v>
      </c>
      <c r="D16" s="27">
        <f>1000+220</f>
        <v>1220</v>
      </c>
      <c r="F16" s="35"/>
      <c r="H16" s="31">
        <v>1000</v>
      </c>
      <c r="I16" s="13"/>
      <c r="J16" s="35">
        <v>1500</v>
      </c>
      <c r="L16" s="35">
        <v>150</v>
      </c>
      <c r="M16" s="35">
        <v>50</v>
      </c>
      <c r="N16" s="14">
        <f>500+400</f>
        <v>900</v>
      </c>
      <c r="O16" s="27"/>
      <c r="S16" s="31"/>
      <c r="T16" s="13"/>
      <c r="W16" s="31"/>
      <c r="X16" s="13"/>
      <c r="Y16" s="31">
        <v>500</v>
      </c>
      <c r="Z16">
        <v>240</v>
      </c>
      <c r="AA16" s="94"/>
      <c r="AB16" s="15"/>
    </row>
    <row r="17" spans="1:28" x14ac:dyDescent="0.25">
      <c r="A17" s="311"/>
      <c r="B17" s="20">
        <v>45965</v>
      </c>
      <c r="C17" s="14" t="s">
        <v>22</v>
      </c>
      <c r="D17" s="27">
        <v>500</v>
      </c>
      <c r="F17" s="35"/>
      <c r="H17" s="31"/>
      <c r="I17" s="13"/>
      <c r="J17" s="35"/>
      <c r="L17" s="35"/>
      <c r="M17" s="35">
        <f>1000+2500</f>
        <v>3500</v>
      </c>
      <c r="N17" s="14"/>
      <c r="O17" s="27"/>
      <c r="R17">
        <v>10</v>
      </c>
      <c r="S17" s="31"/>
      <c r="T17" s="13"/>
      <c r="U17">
        <v>250</v>
      </c>
      <c r="W17" s="31"/>
      <c r="X17" s="13"/>
      <c r="Y17" s="31"/>
      <c r="AA17" s="94"/>
      <c r="AB17" s="15"/>
    </row>
    <row r="18" spans="1:28" x14ac:dyDescent="0.25">
      <c r="A18" s="311"/>
      <c r="B18" s="20">
        <v>45966</v>
      </c>
      <c r="C18" s="14" t="s">
        <v>22</v>
      </c>
      <c r="D18" s="27">
        <v>1500</v>
      </c>
      <c r="F18" s="35"/>
      <c r="H18" s="31"/>
      <c r="I18" s="13"/>
      <c r="J18" s="35">
        <v>1000</v>
      </c>
      <c r="L18" s="35">
        <v>500</v>
      </c>
      <c r="M18" s="35"/>
      <c r="N18" s="14"/>
      <c r="O18" s="27"/>
      <c r="R18">
        <v>700</v>
      </c>
      <c r="S18" s="31"/>
      <c r="T18" s="13">
        <v>750</v>
      </c>
      <c r="W18" s="31"/>
      <c r="X18" s="13"/>
      <c r="Y18" s="31"/>
      <c r="AA18" s="94"/>
      <c r="AB18" s="15"/>
    </row>
    <row r="19" spans="1:28" x14ac:dyDescent="0.25">
      <c r="A19" s="311"/>
      <c r="B19" s="20">
        <v>45967</v>
      </c>
      <c r="C19" s="14" t="s">
        <v>22</v>
      </c>
      <c r="D19" s="27"/>
      <c r="F19" s="35"/>
      <c r="H19" s="31"/>
      <c r="I19" s="13"/>
      <c r="J19" s="35">
        <v>30</v>
      </c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45968</v>
      </c>
      <c r="C20" s="14" t="s">
        <v>22</v>
      </c>
      <c r="D20" s="27">
        <v>1000</v>
      </c>
      <c r="F20" s="35"/>
      <c r="H20" s="31">
        <v>200</v>
      </c>
      <c r="I20" s="13"/>
      <c r="J20" s="35"/>
      <c r="L20" s="35"/>
      <c r="M20" s="35">
        <v>500</v>
      </c>
      <c r="N20" s="14"/>
      <c r="O20" s="27"/>
      <c r="R20">
        <v>400</v>
      </c>
      <c r="S20" s="31"/>
      <c r="T20" s="13"/>
      <c r="W20" s="31"/>
      <c r="X20" s="13"/>
      <c r="Y20" s="31">
        <v>500</v>
      </c>
      <c r="AA20" s="94"/>
      <c r="AB20" s="15"/>
    </row>
    <row r="21" spans="1:28" x14ac:dyDescent="0.25">
      <c r="A21" s="311"/>
      <c r="B21" s="20">
        <v>45969</v>
      </c>
      <c r="C21" s="14" t="s">
        <v>22</v>
      </c>
      <c r="D21" s="27">
        <f>1000+2800</f>
        <v>3800</v>
      </c>
      <c r="F21" s="35"/>
      <c r="H21" s="31"/>
      <c r="I21" s="13"/>
      <c r="J21" s="35">
        <v>1000</v>
      </c>
      <c r="L21" s="35"/>
      <c r="M21" s="35"/>
      <c r="N21" s="14"/>
      <c r="O21" s="27"/>
      <c r="R21">
        <v>500</v>
      </c>
      <c r="S21" s="31"/>
      <c r="T21" s="13">
        <f>9+115</f>
        <v>124</v>
      </c>
      <c r="W21" s="31"/>
      <c r="X21" s="13"/>
      <c r="Y21" s="31">
        <v>100</v>
      </c>
      <c r="Z21">
        <f>130+40+60</f>
        <v>230</v>
      </c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SUM(D4:D13)-SUM(D14:D25)</f>
        <v>9588</v>
      </c>
      <c r="E26" s="22">
        <f t="shared" si="0"/>
        <v>1500</v>
      </c>
      <c r="F26" s="37">
        <f t="shared" si="0"/>
        <v>0</v>
      </c>
      <c r="G26" s="24">
        <f t="shared" si="0"/>
        <v>0</v>
      </c>
      <c r="H26" s="33">
        <f t="shared" si="0"/>
        <v>478</v>
      </c>
      <c r="I26" s="22">
        <f t="shared" si="0"/>
        <v>0</v>
      </c>
      <c r="J26" s="37">
        <f t="shared" si="0"/>
        <v>5470</v>
      </c>
      <c r="K26" s="24">
        <f t="shared" si="0"/>
        <v>4000</v>
      </c>
      <c r="L26" s="37">
        <f t="shared" si="0"/>
        <v>2656</v>
      </c>
      <c r="M26" s="37">
        <f t="shared" si="0"/>
        <v>4680</v>
      </c>
      <c r="N26" s="23">
        <f t="shared" si="0"/>
        <v>1910</v>
      </c>
      <c r="O26" s="29">
        <f t="shared" si="0"/>
        <v>0</v>
      </c>
      <c r="P26" s="29">
        <f t="shared" si="0"/>
        <v>0</v>
      </c>
      <c r="Q26" s="29">
        <f t="shared" si="0"/>
        <v>0</v>
      </c>
      <c r="R26" s="24">
        <f t="shared" si="0"/>
        <v>250</v>
      </c>
      <c r="S26" s="33">
        <f t="shared" si="0"/>
        <v>0</v>
      </c>
      <c r="T26" s="22">
        <f t="shared" si="0"/>
        <v>1575</v>
      </c>
      <c r="U26" s="22">
        <f t="shared" si="0"/>
        <v>350</v>
      </c>
      <c r="V26" s="22">
        <f t="shared" si="0"/>
        <v>289</v>
      </c>
      <c r="W26" s="33">
        <f t="shared" si="0"/>
        <v>0</v>
      </c>
      <c r="X26" s="22">
        <f t="shared" si="0"/>
        <v>0</v>
      </c>
      <c r="Y26" s="33">
        <f t="shared" si="0"/>
        <v>1849</v>
      </c>
      <c r="Z26" s="22">
        <f t="shared" si="0"/>
        <v>562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D26*0.41-(6588*0.02)</f>
        <v>3799.3199999999997</v>
      </c>
      <c r="E28">
        <f>+E26*0.41</f>
        <v>615</v>
      </c>
      <c r="F28">
        <f>+F26*0.47</f>
        <v>0</v>
      </c>
      <c r="G28">
        <f>+G26*0.38</f>
        <v>0</v>
      </c>
      <c r="H28">
        <f>+H26*0.47-(160*0.07)</f>
        <v>213.46</v>
      </c>
      <c r="I28">
        <f>+I26*0.58</f>
        <v>0</v>
      </c>
      <c r="J28">
        <f>+J26*0.6</f>
        <v>3282</v>
      </c>
      <c r="K28" s="50">
        <f>+K26*0.93</f>
        <v>3720</v>
      </c>
      <c r="L28">
        <f>+L26*0.69</f>
        <v>1832.6399999999999</v>
      </c>
      <c r="M28">
        <f>+M26*0.72</f>
        <v>3369.6</v>
      </c>
      <c r="N28">
        <f>+N26*0.59</f>
        <v>1126.8999999999999</v>
      </c>
      <c r="O28">
        <f>+O26*2.3</f>
        <v>0</v>
      </c>
      <c r="P28">
        <f>+P26*1.575</f>
        <v>0</v>
      </c>
      <c r="Q28">
        <f>Q26*1.8</f>
        <v>0</v>
      </c>
      <c r="R28">
        <f>+R26*1.85</f>
        <v>462.5</v>
      </c>
      <c r="S28">
        <f>+S26*1.57</f>
        <v>0</v>
      </c>
      <c r="T28">
        <f>+T26*1.95+(280*0.05)</f>
        <v>3085.25</v>
      </c>
      <c r="U28">
        <f>+U26*2.35</f>
        <v>822.5</v>
      </c>
      <c r="V28">
        <f>+V26*2.55</f>
        <v>736.94999999999993</v>
      </c>
      <c r="W28">
        <f>+W26*2.05</f>
        <v>0</v>
      </c>
      <c r="X28">
        <f>+X26*0.44</f>
        <v>0</v>
      </c>
      <c r="Y28">
        <f>+Y26*0.34</f>
        <v>628.66000000000008</v>
      </c>
      <c r="Z28" s="50">
        <f>+Z26*2.275+(32*0.025)</f>
        <v>1279.3499999999999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25009.129999999997</v>
      </c>
    </row>
    <row r="30" spans="1:28" x14ac:dyDescent="0.25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>
        <f>500*2.3</f>
        <v>1150</v>
      </c>
      <c r="AA30" s="39"/>
      <c r="AB30" s="39"/>
    </row>
    <row r="31" spans="1:28" x14ac:dyDescent="0.25">
      <c r="Z31">
        <f>500*2.25</f>
        <v>1125</v>
      </c>
    </row>
    <row r="32" spans="1:28" x14ac:dyDescent="0.25">
      <c r="C32" s="98"/>
      <c r="Z32">
        <f>+Z30+Z31</f>
        <v>2275</v>
      </c>
    </row>
    <row r="33" spans="26:26" x14ac:dyDescent="0.25">
      <c r="Z33">
        <f>+Z32/1000</f>
        <v>2.2749999999999999</v>
      </c>
    </row>
  </sheetData>
  <mergeCells count="7">
    <mergeCell ref="X2:Y2"/>
    <mergeCell ref="A4:A13"/>
    <mergeCell ref="A14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F66B-792A-48A9-BEF7-2B8443E9CC7A}">
  <dimension ref="A1:AB33"/>
  <sheetViews>
    <sheetView zoomScale="60" zoomScaleNormal="60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Z54" sqref="Z5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02-08-11'!D26</f>
        <v>9588</v>
      </c>
      <c r="E4" s="42">
        <f>'STOCK 02-08-11'!E26</f>
        <v>1500</v>
      </c>
      <c r="F4" s="42">
        <f>'STOCK 02-08-11'!F26</f>
        <v>0</v>
      </c>
      <c r="G4" s="42">
        <f>'STOCK 02-08-11'!G26</f>
        <v>0</v>
      </c>
      <c r="H4" s="42">
        <f>'STOCK 02-08-11'!H26</f>
        <v>478</v>
      </c>
      <c r="I4" s="42">
        <f>'STOCK 02-08-11'!I26</f>
        <v>0</v>
      </c>
      <c r="J4" s="42">
        <f>'STOCK 02-08-11'!J26</f>
        <v>5470</v>
      </c>
      <c r="K4" s="42">
        <f>'STOCK 02-08-11'!K26</f>
        <v>4000</v>
      </c>
      <c r="L4" s="42">
        <f>'STOCK 02-08-11'!L26</f>
        <v>2656</v>
      </c>
      <c r="M4" s="42">
        <f>'STOCK 02-08-11'!M26</f>
        <v>4680</v>
      </c>
      <c r="N4" s="42">
        <f>'STOCK 02-08-11'!N26</f>
        <v>1910</v>
      </c>
      <c r="O4" s="42">
        <f>'STOCK 02-08-11'!O26</f>
        <v>0</v>
      </c>
      <c r="P4" s="42">
        <f>'STOCK 02-08-11'!P26</f>
        <v>0</v>
      </c>
      <c r="Q4" s="42">
        <f>'STOCK 02-08-11'!Q26</f>
        <v>0</v>
      </c>
      <c r="R4" s="42">
        <f>'STOCK 02-08-11'!R26</f>
        <v>250</v>
      </c>
      <c r="S4" s="42">
        <f>'STOCK 02-08-11'!S26</f>
        <v>0</v>
      </c>
      <c r="T4" s="42">
        <f>'STOCK 02-08-11'!T26</f>
        <v>1575</v>
      </c>
      <c r="U4" s="42">
        <f>'STOCK 02-08-11'!U26</f>
        <v>350</v>
      </c>
      <c r="V4" s="42">
        <f>'STOCK 02-08-11'!V26</f>
        <v>289</v>
      </c>
      <c r="W4" s="42">
        <f>'STOCK 02-08-11'!W26</f>
        <v>0</v>
      </c>
      <c r="X4" s="42">
        <f>'STOCK 02-08-11'!X26</f>
        <v>0</v>
      </c>
      <c r="Y4" s="42">
        <f>'STOCK 02-08-11'!Y26</f>
        <v>1849</v>
      </c>
      <c r="Z4" s="42">
        <f>'STOCK 02-08-11'!Z26</f>
        <v>562</v>
      </c>
      <c r="AA4" s="42">
        <f>'STOCK 02-08-11'!AA26</f>
        <v>0</v>
      </c>
      <c r="AB4" s="42">
        <f>'STOCK 02-08-11'!AB26</f>
        <v>20</v>
      </c>
    </row>
    <row r="5" spans="1:28" x14ac:dyDescent="0.25">
      <c r="A5" s="311"/>
      <c r="B5" s="20">
        <v>45971</v>
      </c>
      <c r="C5" s="82" t="s">
        <v>46</v>
      </c>
      <c r="D5" s="27">
        <v>6000</v>
      </c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45971</v>
      </c>
      <c r="C6" s="82" t="s">
        <v>27</v>
      </c>
      <c r="D6" s="27"/>
      <c r="F6" s="35"/>
      <c r="H6" s="31"/>
      <c r="I6" s="13"/>
      <c r="J6" s="35"/>
      <c r="L6" s="35"/>
      <c r="M6" s="35">
        <v>3500</v>
      </c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45973</v>
      </c>
      <c r="C7" s="82" t="s">
        <v>46</v>
      </c>
      <c r="D7" s="27"/>
      <c r="F7" s="35"/>
      <c r="H7" s="31"/>
      <c r="I7" s="13"/>
      <c r="J7" s="35"/>
      <c r="L7" s="35"/>
      <c r="M7" s="35">
        <v>4000</v>
      </c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45973</v>
      </c>
      <c r="C8" s="82" t="s">
        <v>27</v>
      </c>
      <c r="D8" s="27"/>
      <c r="F8" s="35"/>
      <c r="H8" s="31"/>
      <c r="I8" s="13"/>
      <c r="J8" s="35"/>
      <c r="L8" s="35"/>
      <c r="M8" s="35"/>
      <c r="N8" s="14"/>
      <c r="O8" s="27"/>
      <c r="R8">
        <v>1200</v>
      </c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45975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S9" s="31"/>
      <c r="T9" s="13">
        <v>1000</v>
      </c>
      <c r="W9" s="31"/>
      <c r="X9" s="13"/>
      <c r="Y9" s="31"/>
      <c r="AA9" s="94"/>
      <c r="AB9" s="15"/>
    </row>
    <row r="10" spans="1:28" x14ac:dyDescent="0.25">
      <c r="A10" s="311"/>
      <c r="B10" s="20">
        <v>45976</v>
      </c>
      <c r="C10" s="82" t="s">
        <v>46</v>
      </c>
      <c r="D10" s="27"/>
      <c r="F10" s="35"/>
      <c r="H10" s="31"/>
      <c r="I10" s="13"/>
      <c r="J10" s="35"/>
      <c r="K10">
        <v>2000</v>
      </c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45970</v>
      </c>
      <c r="C15" s="14" t="s">
        <v>22</v>
      </c>
      <c r="D15" s="27"/>
      <c r="F15" s="35"/>
      <c r="H15" s="31"/>
      <c r="I15" s="13"/>
      <c r="J15" s="35"/>
      <c r="L15" s="35"/>
      <c r="M15" s="35">
        <v>1000</v>
      </c>
      <c r="N15" s="14"/>
      <c r="O15" s="27"/>
      <c r="S15" s="31"/>
      <c r="T15" s="13"/>
      <c r="W15" s="31"/>
      <c r="X15" s="13"/>
      <c r="Y15" s="31">
        <v>50</v>
      </c>
      <c r="AA15" s="94"/>
      <c r="AB15" s="15"/>
    </row>
    <row r="16" spans="1:28" x14ac:dyDescent="0.25">
      <c r="A16" s="311"/>
      <c r="B16" s="20">
        <v>45971</v>
      </c>
      <c r="C16" s="14" t="s">
        <v>22</v>
      </c>
      <c r="D16" s="27">
        <f>150+1000+440</f>
        <v>1590</v>
      </c>
      <c r="F16" s="35"/>
      <c r="H16" s="31"/>
      <c r="I16" s="13"/>
      <c r="J16" s="35">
        <v>500</v>
      </c>
      <c r="L16" s="35">
        <v>600</v>
      </c>
      <c r="M16" s="35">
        <v>2000</v>
      </c>
      <c r="N16" s="14"/>
      <c r="O16" s="27"/>
      <c r="S16" s="31"/>
      <c r="T16" s="13"/>
      <c r="W16" s="31"/>
      <c r="X16" s="13"/>
      <c r="Y16" s="31">
        <v>100</v>
      </c>
      <c r="AA16" s="94"/>
      <c r="AB16" s="15"/>
    </row>
    <row r="17" spans="1:28" x14ac:dyDescent="0.25">
      <c r="A17" s="311"/>
      <c r="B17" s="20">
        <v>45972</v>
      </c>
      <c r="C17" s="14" t="s">
        <v>22</v>
      </c>
      <c r="D17" s="27"/>
      <c r="F17" s="35"/>
      <c r="H17" s="31"/>
      <c r="I17" s="13"/>
      <c r="J17" s="35">
        <v>2000</v>
      </c>
      <c r="L17" s="35"/>
      <c r="M17" s="35"/>
      <c r="N17" s="14"/>
      <c r="O17" s="27"/>
      <c r="S17" s="31"/>
      <c r="T17" s="13">
        <v>400</v>
      </c>
      <c r="W17" s="31"/>
      <c r="X17" s="13"/>
      <c r="Y17" s="31"/>
      <c r="AA17" s="94"/>
      <c r="AB17" s="15"/>
    </row>
    <row r="18" spans="1:28" x14ac:dyDescent="0.25">
      <c r="A18" s="311"/>
      <c r="B18" s="20">
        <v>45973</v>
      </c>
      <c r="C18" s="14" t="s">
        <v>22</v>
      </c>
      <c r="D18" s="27"/>
      <c r="F18" s="35"/>
      <c r="H18" s="31">
        <v>300</v>
      </c>
      <c r="I18" s="13"/>
      <c r="J18" s="35"/>
      <c r="L18" s="35"/>
      <c r="M18" s="35">
        <v>2000</v>
      </c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45974</v>
      </c>
      <c r="C19" s="14" t="s">
        <v>22</v>
      </c>
      <c r="D19" s="27">
        <v>2700</v>
      </c>
      <c r="F19" s="35"/>
      <c r="H19" s="31"/>
      <c r="I19" s="13"/>
      <c r="J19" s="35">
        <v>250</v>
      </c>
      <c r="L19" s="35"/>
      <c r="M19" s="35"/>
      <c r="N19" s="14">
        <v>700</v>
      </c>
      <c r="O19" s="27"/>
      <c r="R19">
        <v>225</v>
      </c>
      <c r="S19" s="31"/>
      <c r="T19" s="13">
        <v>500</v>
      </c>
      <c r="W19" s="31"/>
      <c r="X19" s="13"/>
      <c r="Y19" s="31"/>
      <c r="AA19" s="94"/>
      <c r="AB19" s="15"/>
    </row>
    <row r="20" spans="1:28" x14ac:dyDescent="0.25">
      <c r="A20" s="311"/>
      <c r="B20" s="20">
        <v>45975</v>
      </c>
      <c r="C20" s="14" t="s">
        <v>22</v>
      </c>
      <c r="D20" s="27"/>
      <c r="F20" s="35"/>
      <c r="H20" s="31"/>
      <c r="I20" s="13"/>
      <c r="J20" s="35"/>
      <c r="L20" s="35"/>
      <c r="M20" s="35"/>
      <c r="N20" s="14">
        <v>500</v>
      </c>
      <c r="O20" s="27"/>
      <c r="S20" s="31"/>
      <c r="T20" s="13"/>
      <c r="W20" s="31"/>
      <c r="X20" s="13"/>
      <c r="Y20" s="31">
        <f>50+30</f>
        <v>80</v>
      </c>
      <c r="AA20" s="94"/>
      <c r="AB20" s="15"/>
    </row>
    <row r="21" spans="1:28" x14ac:dyDescent="0.25">
      <c r="A21" s="311"/>
      <c r="B21" s="20">
        <v>45976</v>
      </c>
      <c r="C21" s="14" t="s">
        <v>22</v>
      </c>
      <c r="D21" s="27">
        <v>24</v>
      </c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SUM(D4:D13)-SUM(D14:D25)</f>
        <v>11274</v>
      </c>
      <c r="E26" s="22">
        <f t="shared" si="0"/>
        <v>1500</v>
      </c>
      <c r="F26" s="37">
        <f t="shared" si="0"/>
        <v>0</v>
      </c>
      <c r="G26" s="24">
        <f t="shared" si="0"/>
        <v>0</v>
      </c>
      <c r="H26" s="33">
        <f t="shared" si="0"/>
        <v>178</v>
      </c>
      <c r="I26" s="22">
        <f t="shared" si="0"/>
        <v>0</v>
      </c>
      <c r="J26" s="37">
        <f t="shared" si="0"/>
        <v>2720</v>
      </c>
      <c r="K26" s="24">
        <f t="shared" si="0"/>
        <v>6000</v>
      </c>
      <c r="L26" s="37">
        <f t="shared" si="0"/>
        <v>2056</v>
      </c>
      <c r="M26" s="37">
        <f t="shared" si="0"/>
        <v>7180</v>
      </c>
      <c r="N26" s="23">
        <f t="shared" si="0"/>
        <v>710</v>
      </c>
      <c r="O26" s="29">
        <f t="shared" si="0"/>
        <v>0</v>
      </c>
      <c r="P26" s="29">
        <f t="shared" si="0"/>
        <v>0</v>
      </c>
      <c r="Q26" s="29">
        <f t="shared" si="0"/>
        <v>0</v>
      </c>
      <c r="R26" s="24">
        <f t="shared" si="0"/>
        <v>1225</v>
      </c>
      <c r="S26" s="33">
        <f t="shared" si="0"/>
        <v>0</v>
      </c>
      <c r="T26" s="22">
        <f t="shared" si="0"/>
        <v>1675</v>
      </c>
      <c r="U26" s="22">
        <f t="shared" si="0"/>
        <v>350</v>
      </c>
      <c r="V26" s="22">
        <f t="shared" si="0"/>
        <v>289</v>
      </c>
      <c r="W26" s="33">
        <f t="shared" si="0"/>
        <v>0</v>
      </c>
      <c r="X26" s="22">
        <f t="shared" si="0"/>
        <v>0</v>
      </c>
      <c r="Y26" s="33">
        <f t="shared" si="0"/>
        <v>1619</v>
      </c>
      <c r="Z26" s="22">
        <f t="shared" si="0"/>
        <v>562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D26*0.41-(2274*0.02)</f>
        <v>4576.8600000000006</v>
      </c>
      <c r="E28">
        <f>+E26*0.41</f>
        <v>615</v>
      </c>
      <c r="F28">
        <f>+F26*0.47</f>
        <v>0</v>
      </c>
      <c r="G28">
        <f>+G26*0.38</f>
        <v>0</v>
      </c>
      <c r="H28">
        <f>+H26*0.47-(160*0.07)</f>
        <v>72.459999999999994</v>
      </c>
      <c r="I28">
        <f>+I26*0.58</f>
        <v>0</v>
      </c>
      <c r="J28">
        <f>+J26*0.6</f>
        <v>1632</v>
      </c>
      <c r="K28" s="50">
        <f>+K26*0.93</f>
        <v>5580</v>
      </c>
      <c r="L28">
        <f>+L26*0.69</f>
        <v>1418.6399999999999</v>
      </c>
      <c r="M28">
        <f>+M26*0.74-(1680*0.02)</f>
        <v>5279.5999999999995</v>
      </c>
      <c r="N28">
        <f>+N26*0.59</f>
        <v>418.9</v>
      </c>
      <c r="O28">
        <f>+O26*2.3</f>
        <v>0</v>
      </c>
      <c r="P28">
        <f>+P26*1.575</f>
        <v>0</v>
      </c>
      <c r="Q28">
        <f>Q26*1.8</f>
        <v>0</v>
      </c>
      <c r="R28">
        <f>+R26*1.9-(25*0.05)</f>
        <v>2326.25</v>
      </c>
      <c r="S28">
        <f>+S26*1.57</f>
        <v>0</v>
      </c>
      <c r="T28">
        <f>+T26*2-(395*0.05)</f>
        <v>3330.25</v>
      </c>
      <c r="U28">
        <f>+U26*2.35</f>
        <v>822.5</v>
      </c>
      <c r="V28">
        <f>+V26*2.55</f>
        <v>736.94999999999993</v>
      </c>
      <c r="W28">
        <f>+W26*2.05</f>
        <v>0</v>
      </c>
      <c r="X28">
        <f>+X26*0.44</f>
        <v>0</v>
      </c>
      <c r="Y28">
        <f>+Y26*0.34</f>
        <v>550.46</v>
      </c>
      <c r="Z28" s="50">
        <f>+Z26*2.275+(32*0.025)</f>
        <v>1279.3499999999999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28674.219999999998</v>
      </c>
    </row>
    <row r="30" spans="1:28" x14ac:dyDescent="0.25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2" spans="1:28" x14ac:dyDescent="0.25">
      <c r="C32" s="98"/>
      <c r="T32">
        <f>22+18+26+20</f>
        <v>86</v>
      </c>
    </row>
    <row r="33" spans="20:20" x14ac:dyDescent="0.25">
      <c r="T33">
        <f>+T32*35</f>
        <v>3010</v>
      </c>
    </row>
  </sheetData>
  <mergeCells count="7">
    <mergeCell ref="X2:Y2"/>
    <mergeCell ref="A4:A13"/>
    <mergeCell ref="A14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A072-70AE-4842-AA3D-9CBF0113059E}">
  <dimension ref="A1:AB39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2" sqref="D32:G43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09-15-11'!D26</f>
        <v>11274</v>
      </c>
      <c r="E4" s="42">
        <f>'STOCK 09-15-11'!E26</f>
        <v>1500</v>
      </c>
      <c r="F4" s="42">
        <f>'STOCK 09-15-11'!F26</f>
        <v>0</v>
      </c>
      <c r="G4" s="42">
        <f>'STOCK 09-15-11'!G26</f>
        <v>0</v>
      </c>
      <c r="H4" s="42">
        <f>'STOCK 09-15-11'!H26</f>
        <v>178</v>
      </c>
      <c r="I4" s="42">
        <f>'STOCK 09-15-11'!I26</f>
        <v>0</v>
      </c>
      <c r="J4" s="42">
        <f>'STOCK 09-15-11'!J26</f>
        <v>2720</v>
      </c>
      <c r="K4" s="42">
        <f>'STOCK 09-15-11'!K26</f>
        <v>6000</v>
      </c>
      <c r="L4" s="42">
        <f>'STOCK 09-15-11'!L26</f>
        <v>2056</v>
      </c>
      <c r="M4" s="42">
        <f>'STOCK 09-15-11'!M26</f>
        <v>7180</v>
      </c>
      <c r="N4" s="42">
        <f>'STOCK 09-15-11'!N26</f>
        <v>710</v>
      </c>
      <c r="O4" s="42">
        <f>'STOCK 09-15-11'!O26</f>
        <v>0</v>
      </c>
      <c r="P4" s="42">
        <f>'STOCK 09-15-11'!P26</f>
        <v>0</v>
      </c>
      <c r="Q4" s="42">
        <f>'STOCK 09-15-11'!Q26</f>
        <v>0</v>
      </c>
      <c r="R4" s="42">
        <f>'STOCK 09-15-11'!R26</f>
        <v>1225</v>
      </c>
      <c r="S4" s="42">
        <f>'STOCK 09-15-11'!S26</f>
        <v>0</v>
      </c>
      <c r="T4" s="42">
        <f>'STOCK 09-15-11'!T26</f>
        <v>1675</v>
      </c>
      <c r="U4" s="42">
        <f>'STOCK 09-15-11'!U26</f>
        <v>350</v>
      </c>
      <c r="V4" s="42">
        <f>'STOCK 09-15-11'!V26</f>
        <v>289</v>
      </c>
      <c r="W4" s="42">
        <f>'STOCK 09-15-11'!W26</f>
        <v>0</v>
      </c>
      <c r="X4" s="42">
        <f>'STOCK 09-15-11'!X26</f>
        <v>0</v>
      </c>
      <c r="Y4" s="42">
        <f>'STOCK 09-15-11'!Y26</f>
        <v>1619</v>
      </c>
      <c r="Z4" s="42">
        <f>'STOCK 09-15-11'!Z26</f>
        <v>562</v>
      </c>
      <c r="AA4" s="42">
        <f>'STOCK 09-15-11'!AA26</f>
        <v>0</v>
      </c>
      <c r="AB4" s="42">
        <f>'STOCK 09-15-11'!AB26</f>
        <v>20</v>
      </c>
    </row>
    <row r="5" spans="1:28" x14ac:dyDescent="0.25">
      <c r="A5" s="311"/>
      <c r="B5" s="20">
        <v>45978</v>
      </c>
      <c r="C5" s="82" t="s">
        <v>27</v>
      </c>
      <c r="D5" s="27"/>
      <c r="F5" s="35"/>
      <c r="H5" s="31"/>
      <c r="I5" s="13"/>
      <c r="J5" s="35"/>
      <c r="L5" s="35"/>
      <c r="M5" s="35"/>
      <c r="N5" s="14"/>
      <c r="O5" s="27"/>
      <c r="Q5">
        <v>1200</v>
      </c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45980</v>
      </c>
      <c r="C6" s="82" t="s">
        <v>27</v>
      </c>
      <c r="D6" s="27"/>
      <c r="F6" s="35"/>
      <c r="H6" s="31"/>
      <c r="I6" s="13"/>
      <c r="J6" s="35"/>
      <c r="L6" s="35"/>
      <c r="M6" s="35"/>
      <c r="N6" s="14">
        <v>3000</v>
      </c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45981</v>
      </c>
      <c r="C7" s="82" t="s">
        <v>27</v>
      </c>
      <c r="D7" s="27"/>
      <c r="F7" s="35"/>
      <c r="H7" s="31"/>
      <c r="I7" s="13"/>
      <c r="J7" s="35"/>
      <c r="L7" s="35"/>
      <c r="M7" s="35"/>
      <c r="N7" s="14"/>
      <c r="O7" s="27"/>
      <c r="R7">
        <v>1200</v>
      </c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45981</v>
      </c>
      <c r="C8" s="82" t="s">
        <v>46</v>
      </c>
      <c r="D8" s="27"/>
      <c r="F8" s="35"/>
      <c r="H8" s="31"/>
      <c r="I8" s="13"/>
      <c r="J8" s="35"/>
      <c r="L8" s="35"/>
      <c r="M8" s="35">
        <v>1000</v>
      </c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45977</v>
      </c>
      <c r="C15" s="14" t="s">
        <v>22</v>
      </c>
      <c r="D15" s="27">
        <v>100</v>
      </c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45978</v>
      </c>
      <c r="C16" s="14" t="s">
        <v>22</v>
      </c>
      <c r="D16" s="27">
        <v>300</v>
      </c>
      <c r="F16" s="35"/>
      <c r="H16" s="31"/>
      <c r="I16" s="13"/>
      <c r="J16" s="35"/>
      <c r="K16">
        <v>2</v>
      </c>
      <c r="L16" s="35"/>
      <c r="M16" s="35">
        <f>1000+350</f>
        <v>1350</v>
      </c>
      <c r="N16" s="14">
        <f>100+590</f>
        <v>690</v>
      </c>
      <c r="O16" s="27"/>
      <c r="S16" s="31"/>
      <c r="T16" s="13"/>
      <c r="W16" s="31"/>
      <c r="X16" s="13"/>
      <c r="Y16" s="31">
        <v>100</v>
      </c>
      <c r="Z16">
        <v>250</v>
      </c>
      <c r="AA16" s="94"/>
      <c r="AB16" s="15"/>
    </row>
    <row r="17" spans="1:28" x14ac:dyDescent="0.25">
      <c r="A17" s="311"/>
      <c r="B17" s="20">
        <v>45979</v>
      </c>
      <c r="C17" s="14" t="s">
        <v>22</v>
      </c>
      <c r="D17" s="27"/>
      <c r="F17" s="35"/>
      <c r="H17" s="31"/>
      <c r="I17" s="13"/>
      <c r="J17" s="35"/>
      <c r="L17" s="35"/>
      <c r="M17" s="35"/>
      <c r="N17" s="14"/>
      <c r="O17" s="27"/>
      <c r="Q17">
        <v>100</v>
      </c>
      <c r="R17">
        <v>180</v>
      </c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45980</v>
      </c>
      <c r="C18" s="14" t="s">
        <v>22</v>
      </c>
      <c r="D18" s="27">
        <v>1000</v>
      </c>
      <c r="E18">
        <v>1000</v>
      </c>
      <c r="F18" s="35"/>
      <c r="H18" s="31"/>
      <c r="I18" s="13"/>
      <c r="J18" s="35"/>
      <c r="L18" s="35"/>
      <c r="M18" s="35"/>
      <c r="N18" s="14"/>
      <c r="O18" s="27"/>
      <c r="Q18">
        <v>160</v>
      </c>
      <c r="R18">
        <v>650</v>
      </c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45981</v>
      </c>
      <c r="C19" s="14" t="s">
        <v>22</v>
      </c>
      <c r="D19" s="27"/>
      <c r="F19" s="35"/>
      <c r="H19" s="31"/>
      <c r="I19" s="13"/>
      <c r="J19" s="35">
        <f>250+250</f>
        <v>500</v>
      </c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45982</v>
      </c>
      <c r="C20" s="14" t="s">
        <v>22</v>
      </c>
      <c r="D20" s="27"/>
      <c r="F20" s="35"/>
      <c r="H20" s="31"/>
      <c r="I20" s="13"/>
      <c r="J20" s="35">
        <v>500</v>
      </c>
      <c r="L20" s="35"/>
      <c r="M20" s="35">
        <v>162</v>
      </c>
      <c r="N20" s="14">
        <f>500+530</f>
        <v>1030</v>
      </c>
      <c r="O20" s="27"/>
      <c r="S20" s="31"/>
      <c r="T20" s="13"/>
      <c r="V20">
        <v>95</v>
      </c>
      <c r="W20" s="31"/>
      <c r="X20" s="13"/>
      <c r="Y20" s="31"/>
      <c r="AA20" s="94"/>
      <c r="AB20" s="15"/>
    </row>
    <row r="21" spans="1:28" x14ac:dyDescent="0.25">
      <c r="A21" s="311"/>
      <c r="B21" s="20">
        <v>45983</v>
      </c>
      <c r="C21" s="14" t="s">
        <v>22</v>
      </c>
      <c r="D21" s="27">
        <f>250+200+400</f>
        <v>850</v>
      </c>
      <c r="F21" s="35"/>
      <c r="H21" s="31"/>
      <c r="I21" s="13"/>
      <c r="J21" s="35"/>
      <c r="L21" s="35">
        <v>500</v>
      </c>
      <c r="M21" s="35"/>
      <c r="N21" s="14">
        <v>1400</v>
      </c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SUM(D4:D13)-SUM(D14:D25)</f>
        <v>9024</v>
      </c>
      <c r="E26" s="22">
        <f t="shared" si="0"/>
        <v>500</v>
      </c>
      <c r="F26" s="37">
        <f t="shared" si="0"/>
        <v>0</v>
      </c>
      <c r="G26" s="24">
        <f t="shared" si="0"/>
        <v>0</v>
      </c>
      <c r="H26" s="33">
        <f t="shared" si="0"/>
        <v>178</v>
      </c>
      <c r="I26" s="22">
        <f t="shared" si="0"/>
        <v>0</v>
      </c>
      <c r="J26" s="37">
        <f t="shared" si="0"/>
        <v>1720</v>
      </c>
      <c r="K26" s="24">
        <f t="shared" si="0"/>
        <v>5998</v>
      </c>
      <c r="L26" s="37">
        <f t="shared" si="0"/>
        <v>1556</v>
      </c>
      <c r="M26" s="37">
        <f t="shared" si="0"/>
        <v>6668</v>
      </c>
      <c r="N26" s="23">
        <f t="shared" si="0"/>
        <v>590</v>
      </c>
      <c r="O26" s="29">
        <f t="shared" si="0"/>
        <v>0</v>
      </c>
      <c r="P26" s="29">
        <f t="shared" si="0"/>
        <v>0</v>
      </c>
      <c r="Q26" s="29">
        <f t="shared" si="0"/>
        <v>940</v>
      </c>
      <c r="R26" s="24">
        <f t="shared" si="0"/>
        <v>1595</v>
      </c>
      <c r="S26" s="33">
        <f t="shared" si="0"/>
        <v>0</v>
      </c>
      <c r="T26" s="22">
        <f t="shared" si="0"/>
        <v>1675</v>
      </c>
      <c r="U26" s="22">
        <f t="shared" si="0"/>
        <v>350</v>
      </c>
      <c r="V26" s="22">
        <f t="shared" si="0"/>
        <v>194</v>
      </c>
      <c r="W26" s="33">
        <f t="shared" si="0"/>
        <v>0</v>
      </c>
      <c r="X26" s="22">
        <f t="shared" si="0"/>
        <v>0</v>
      </c>
      <c r="Y26" s="33">
        <f t="shared" si="0"/>
        <v>1519</v>
      </c>
      <c r="Z26" s="22">
        <f t="shared" si="0"/>
        <v>312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D26*0.41-(24*0.02)</f>
        <v>3699.3599999999997</v>
      </c>
      <c r="E28">
        <f>+E26*0.41</f>
        <v>205</v>
      </c>
      <c r="F28">
        <f>+F26*0.47</f>
        <v>0</v>
      </c>
      <c r="G28">
        <f>+G26*0.38</f>
        <v>0</v>
      </c>
      <c r="H28">
        <f>+H26*0.47-(160*0.07)</f>
        <v>72.459999999999994</v>
      </c>
      <c r="I28">
        <f>+I26*0.58</f>
        <v>0</v>
      </c>
      <c r="J28">
        <f>+J26*0.6</f>
        <v>1032</v>
      </c>
      <c r="K28" s="50">
        <f>+K26*0.93</f>
        <v>5578.14</v>
      </c>
      <c r="L28">
        <f>+L26*0.69</f>
        <v>1073.6399999999999</v>
      </c>
      <c r="M28">
        <f>+M26*0.74-(168*0.02)</f>
        <v>4930.96</v>
      </c>
      <c r="N28">
        <f>+N26*0.61</f>
        <v>359.9</v>
      </c>
      <c r="O28">
        <f>+O26*2.3</f>
        <v>0</v>
      </c>
      <c r="P28">
        <f>+P26*1.575</f>
        <v>0</v>
      </c>
      <c r="Q28">
        <f>Q26*1.95</f>
        <v>1833</v>
      </c>
      <c r="R28">
        <f>+R26*1.9</f>
        <v>3030.5</v>
      </c>
      <c r="S28">
        <f>+S26*1.57</f>
        <v>0</v>
      </c>
      <c r="T28">
        <f>+T26*2-(395*0.05)</f>
        <v>3330.25</v>
      </c>
      <c r="U28">
        <f>+U26*2.35</f>
        <v>822.5</v>
      </c>
      <c r="V28">
        <f>+V26*2.55</f>
        <v>494.7</v>
      </c>
      <c r="W28">
        <f>+W26*2.05</f>
        <v>0</v>
      </c>
      <c r="X28">
        <f>+X26*0.44</f>
        <v>0</v>
      </c>
      <c r="Y28">
        <f>+Y26*0.34</f>
        <v>516.46</v>
      </c>
      <c r="Z28" s="50">
        <f>+Z26*2.275+(32*0.025)</f>
        <v>710.59999999999991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27724.469999999998</v>
      </c>
    </row>
    <row r="30" spans="1:28" x14ac:dyDescent="0.25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>
        <f>20*0.59</f>
        <v>11.799999999999999</v>
      </c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x14ac:dyDescent="0.25">
      <c r="N31">
        <f>480*0.61</f>
        <v>292.8</v>
      </c>
    </row>
    <row r="32" spans="1:28" x14ac:dyDescent="0.25">
      <c r="C32" s="98"/>
      <c r="N32">
        <f>+N30+N31</f>
        <v>304.60000000000002</v>
      </c>
      <c r="R32">
        <f>25*1.85</f>
        <v>46.25</v>
      </c>
    </row>
    <row r="33" spans="14:18" x14ac:dyDescent="0.25">
      <c r="N33">
        <f>N32/500</f>
        <v>0.60920000000000007</v>
      </c>
      <c r="R33">
        <f>155*1.9</f>
        <v>294.5</v>
      </c>
    </row>
    <row r="34" spans="14:18" x14ac:dyDescent="0.25">
      <c r="R34">
        <f>R33+R32</f>
        <v>340.75</v>
      </c>
    </row>
    <row r="35" spans="14:18" x14ac:dyDescent="0.25">
      <c r="R35">
        <f>+R34/180</f>
        <v>1.8930555555555555</v>
      </c>
    </row>
    <row r="36" spans="14:18" x14ac:dyDescent="0.25">
      <c r="N36">
        <f>800*28</f>
        <v>22400</v>
      </c>
    </row>
    <row r="37" spans="14:18" x14ac:dyDescent="0.25">
      <c r="N37">
        <f>800*32.1</f>
        <v>25680</v>
      </c>
    </row>
    <row r="38" spans="14:18" x14ac:dyDescent="0.25">
      <c r="N38">
        <f>+N37+N36</f>
        <v>48080</v>
      </c>
    </row>
    <row r="39" spans="14:18" x14ac:dyDescent="0.25">
      <c r="N39">
        <f>+N38*0.003</f>
        <v>144.24</v>
      </c>
    </row>
  </sheetData>
  <mergeCells count="7">
    <mergeCell ref="X2:Y2"/>
    <mergeCell ref="A4:A13"/>
    <mergeCell ref="A14:A25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ECFF-24AC-42F5-9DFE-16208936B493}">
  <dimension ref="A1:AB44"/>
  <sheetViews>
    <sheetView zoomScale="60" zoomScaleNormal="60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B25" sqref="A25:XFD2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16-22-11'!D26</f>
        <v>9024</v>
      </c>
      <c r="E4" s="42">
        <f>'STOCK 16-22-11'!E26</f>
        <v>500</v>
      </c>
      <c r="F4" s="42">
        <f>'STOCK 16-22-11'!F26</f>
        <v>0</v>
      </c>
      <c r="G4" s="42">
        <f>'STOCK 16-22-11'!G26</f>
        <v>0</v>
      </c>
      <c r="H4" s="42">
        <f>'STOCK 16-22-11'!H26</f>
        <v>178</v>
      </c>
      <c r="I4" s="42">
        <f>'STOCK 16-22-11'!I26</f>
        <v>0</v>
      </c>
      <c r="J4" s="42">
        <f>'STOCK 16-22-11'!J26</f>
        <v>1720</v>
      </c>
      <c r="K4" s="42">
        <f>'STOCK 16-22-11'!K26</f>
        <v>5998</v>
      </c>
      <c r="L4" s="42">
        <f>'STOCK 16-22-11'!L26</f>
        <v>1556</v>
      </c>
      <c r="M4" s="42">
        <f>'STOCK 16-22-11'!M26</f>
        <v>6668</v>
      </c>
      <c r="N4" s="42">
        <f>'STOCK 16-22-11'!N26</f>
        <v>590</v>
      </c>
      <c r="O4" s="42">
        <f>'STOCK 16-22-11'!O26</f>
        <v>0</v>
      </c>
      <c r="P4" s="42">
        <f>'STOCK 16-22-11'!P26</f>
        <v>0</v>
      </c>
      <c r="Q4" s="42">
        <f>'STOCK 16-22-11'!Q26</f>
        <v>940</v>
      </c>
      <c r="R4" s="42">
        <f>'STOCK 16-22-11'!R26</f>
        <v>1595</v>
      </c>
      <c r="S4" s="42">
        <f>'STOCK 16-22-11'!S26</f>
        <v>0</v>
      </c>
      <c r="T4" s="42">
        <f>'STOCK 16-22-11'!T26</f>
        <v>1675</v>
      </c>
      <c r="U4" s="42">
        <f>'STOCK 16-22-11'!U26</f>
        <v>350</v>
      </c>
      <c r="V4" s="42">
        <f>'STOCK 16-22-11'!V26</f>
        <v>194</v>
      </c>
      <c r="W4" s="42">
        <f>'STOCK 16-22-11'!W26</f>
        <v>0</v>
      </c>
      <c r="X4" s="42">
        <f>'STOCK 16-22-11'!X26</f>
        <v>0</v>
      </c>
      <c r="Y4" s="42">
        <f>'STOCK 16-22-11'!Y26</f>
        <v>1519</v>
      </c>
      <c r="Z4" s="42">
        <f>'STOCK 16-22-11'!Z26</f>
        <v>312</v>
      </c>
      <c r="AA4" s="42">
        <f>'STOCK 16-22-11'!AA26</f>
        <v>0</v>
      </c>
      <c r="AB4" s="42">
        <f>'STOCK 16-22-11'!AB26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45985</v>
      </c>
      <c r="C6" s="82" t="s">
        <v>46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>
        <v>520</v>
      </c>
      <c r="W6" s="31"/>
      <c r="X6" s="13"/>
      <c r="Y6" s="31"/>
      <c r="AA6" s="94"/>
      <c r="AB6" s="15"/>
    </row>
    <row r="7" spans="1:28" x14ac:dyDescent="0.25">
      <c r="A7" s="311"/>
      <c r="B7" s="20">
        <v>45986</v>
      </c>
      <c r="C7" s="82" t="s">
        <v>46</v>
      </c>
      <c r="D7" s="27"/>
      <c r="F7" s="35"/>
      <c r="H7" s="31"/>
      <c r="I7" s="13"/>
      <c r="J7" s="35"/>
      <c r="K7">
        <v>2000</v>
      </c>
      <c r="L7" s="35"/>
      <c r="M7" s="35">
        <v>4000</v>
      </c>
      <c r="N7" s="14"/>
      <c r="O7" s="27"/>
      <c r="S7" s="31"/>
      <c r="T7" s="13"/>
      <c r="V7">
        <v>100</v>
      </c>
      <c r="W7" s="31"/>
      <c r="X7" s="13"/>
      <c r="Y7" s="31"/>
      <c r="AA7" s="94"/>
      <c r="AB7" s="15"/>
    </row>
    <row r="8" spans="1:28" x14ac:dyDescent="0.25">
      <c r="A8" s="311"/>
      <c r="B8" s="20">
        <v>45986</v>
      </c>
      <c r="C8" s="82" t="s">
        <v>27</v>
      </c>
      <c r="D8" s="27"/>
      <c r="F8" s="35"/>
      <c r="H8" s="31"/>
      <c r="I8" s="13"/>
      <c r="J8" s="35"/>
      <c r="L8" s="35"/>
      <c r="M8" s="35">
        <v>500</v>
      </c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45987</v>
      </c>
      <c r="C9" s="82" t="s">
        <v>46</v>
      </c>
      <c r="D9" s="27"/>
      <c r="F9" s="35"/>
      <c r="H9" s="31"/>
      <c r="I9" s="13"/>
      <c r="J9" s="35"/>
      <c r="L9" s="35"/>
      <c r="M9" s="35"/>
      <c r="N9" s="14">
        <v>1000</v>
      </c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45987</v>
      </c>
      <c r="C10" s="82" t="s">
        <v>27</v>
      </c>
      <c r="D10" s="27"/>
      <c r="F10" s="35"/>
      <c r="H10" s="31">
        <v>4000</v>
      </c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45988</v>
      </c>
      <c r="C11" s="82" t="s">
        <v>46</v>
      </c>
      <c r="D11" s="27"/>
      <c r="F11" s="35"/>
      <c r="H11" s="31"/>
      <c r="I11" s="13"/>
      <c r="J11" s="35"/>
      <c r="L11" s="35"/>
      <c r="M11" s="35">
        <v>1000</v>
      </c>
      <c r="N11" s="14"/>
      <c r="O11" s="27"/>
      <c r="R11">
        <v>1500</v>
      </c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>
        <v>45988</v>
      </c>
      <c r="C12" s="82" t="s">
        <v>27</v>
      </c>
      <c r="D12" s="27"/>
      <c r="F12" s="35"/>
      <c r="H12" s="31"/>
      <c r="I12" s="13"/>
      <c r="J12" s="35"/>
      <c r="L12" s="35">
        <v>3000</v>
      </c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>
        <v>45989</v>
      </c>
      <c r="C13" s="82" t="s">
        <v>46</v>
      </c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>
        <v>600</v>
      </c>
      <c r="W13" s="31"/>
      <c r="X13" s="13"/>
      <c r="Y13" s="31"/>
      <c r="AA13" s="94"/>
      <c r="AB13" s="15"/>
    </row>
    <row r="14" spans="1:28" x14ac:dyDescent="0.25">
      <c r="A14" s="311"/>
      <c r="B14" s="20"/>
      <c r="C14" s="82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/>
      <c r="C15" s="82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ht="15.75" thickBot="1" x14ac:dyDescent="0.3">
      <c r="A16" s="312"/>
      <c r="B16" s="72"/>
      <c r="C16" s="17"/>
      <c r="D16" s="28"/>
      <c r="E16" s="18"/>
      <c r="F16" s="36"/>
      <c r="G16" s="18"/>
      <c r="H16" s="32"/>
      <c r="I16" s="16"/>
      <c r="J16" s="36"/>
      <c r="K16" s="18"/>
      <c r="L16" s="36"/>
      <c r="M16" s="36"/>
      <c r="N16" s="17"/>
      <c r="O16" s="28"/>
      <c r="P16" s="18"/>
      <c r="Q16" s="18"/>
      <c r="R16" s="18"/>
      <c r="S16" s="32"/>
      <c r="T16" s="16"/>
      <c r="U16" s="18"/>
      <c r="V16" s="18"/>
      <c r="W16" s="32"/>
      <c r="X16" s="16"/>
      <c r="Y16" s="32"/>
      <c r="Z16" s="18"/>
      <c r="AA16" s="95"/>
      <c r="AB16" s="19"/>
    </row>
    <row r="17" spans="1:28" x14ac:dyDescent="0.25">
      <c r="A17" s="310" t="s">
        <v>62</v>
      </c>
      <c r="B17" s="20">
        <v>45984</v>
      </c>
      <c r="C17" s="14" t="s">
        <v>22</v>
      </c>
      <c r="D17" s="27"/>
      <c r="F17" s="35"/>
      <c r="H17" s="31"/>
      <c r="I17" s="13"/>
      <c r="J17" s="35"/>
      <c r="L17" s="35"/>
      <c r="M17" s="35">
        <v>500</v>
      </c>
      <c r="N17" s="14"/>
      <c r="O17" s="27"/>
      <c r="S17" s="31"/>
      <c r="T17" s="13"/>
      <c r="W17" s="31"/>
      <c r="X17" s="13"/>
      <c r="Y17" s="31">
        <v>50</v>
      </c>
      <c r="AA17" s="94"/>
      <c r="AB17" s="15"/>
    </row>
    <row r="18" spans="1:28" x14ac:dyDescent="0.25">
      <c r="A18" s="311"/>
      <c r="B18" s="20">
        <v>45985</v>
      </c>
      <c r="C18" s="14" t="s">
        <v>45</v>
      </c>
      <c r="D18" s="27"/>
      <c r="F18" s="35"/>
      <c r="H18" s="31"/>
      <c r="I18" s="13"/>
      <c r="J18" s="35"/>
      <c r="L18" s="35"/>
      <c r="M18" s="35">
        <v>2000</v>
      </c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45681</v>
      </c>
      <c r="C19" s="14" t="s">
        <v>22</v>
      </c>
      <c r="D19" s="27"/>
      <c r="F19" s="35"/>
      <c r="H19" s="31"/>
      <c r="I19" s="13"/>
      <c r="J19" s="35"/>
      <c r="K19">
        <v>300</v>
      </c>
      <c r="L19" s="35"/>
      <c r="M19" s="35">
        <v>1000</v>
      </c>
      <c r="N19" s="14"/>
      <c r="O19" s="27"/>
      <c r="S19" s="31"/>
      <c r="T19" s="13"/>
      <c r="W19" s="31"/>
      <c r="X19" s="13"/>
      <c r="Y19" s="31"/>
      <c r="Z19">
        <v>30</v>
      </c>
      <c r="AA19" s="94"/>
      <c r="AB19" s="15"/>
    </row>
    <row r="20" spans="1:28" x14ac:dyDescent="0.25">
      <c r="A20" s="311"/>
      <c r="B20" s="20">
        <v>45682</v>
      </c>
      <c r="C20" s="14" t="s">
        <v>22</v>
      </c>
      <c r="D20" s="27">
        <f>3000+20</f>
        <v>3020</v>
      </c>
      <c r="F20" s="35"/>
      <c r="H20" s="31"/>
      <c r="I20" s="13"/>
      <c r="J20" s="35">
        <v>400</v>
      </c>
      <c r="L20" s="35"/>
      <c r="M20" s="35"/>
      <c r="N20" s="14">
        <v>500</v>
      </c>
      <c r="O20" s="27"/>
      <c r="S20" s="31"/>
      <c r="T20" s="13">
        <v>75</v>
      </c>
      <c r="W20" s="31"/>
      <c r="X20" s="13"/>
      <c r="Y20" s="31"/>
      <c r="AA20" s="94"/>
      <c r="AB20" s="15"/>
    </row>
    <row r="21" spans="1:28" x14ac:dyDescent="0.25">
      <c r="A21" s="311"/>
      <c r="B21" s="20">
        <v>45683</v>
      </c>
      <c r="C21" s="14" t="s">
        <v>22</v>
      </c>
      <c r="D21" s="27">
        <f>1000+200</f>
        <v>1200</v>
      </c>
      <c r="F21" s="35"/>
      <c r="H21" s="31"/>
      <c r="I21" s="13"/>
      <c r="J21" s="35">
        <v>200</v>
      </c>
      <c r="L21" s="35"/>
      <c r="M21" s="35"/>
      <c r="N21" s="14"/>
      <c r="O21" s="27"/>
      <c r="Q21">
        <v>100</v>
      </c>
      <c r="R21">
        <v>400</v>
      </c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>
        <v>45988</v>
      </c>
      <c r="C22" s="14" t="s">
        <v>45</v>
      </c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>
        <v>700</v>
      </c>
      <c r="W22" s="31"/>
      <c r="X22" s="13"/>
      <c r="Y22" s="31"/>
      <c r="AA22" s="94"/>
      <c r="AB22" s="15"/>
    </row>
    <row r="23" spans="1:28" x14ac:dyDescent="0.25">
      <c r="A23" s="311"/>
      <c r="B23" s="20">
        <v>45988</v>
      </c>
      <c r="C23" s="14" t="s">
        <v>22</v>
      </c>
      <c r="D23" s="27">
        <v>200</v>
      </c>
      <c r="F23" s="35"/>
      <c r="H23" s="31"/>
      <c r="I23" s="13"/>
      <c r="J23" s="35"/>
      <c r="L23" s="35">
        <v>250</v>
      </c>
      <c r="M23" s="35">
        <f>235+600</f>
        <v>835</v>
      </c>
      <c r="N23" s="14"/>
      <c r="O23" s="27"/>
      <c r="R23">
        <v>1160</v>
      </c>
      <c r="S23" s="31"/>
      <c r="T23" s="13">
        <v>100</v>
      </c>
      <c r="W23" s="31"/>
      <c r="X23" s="13"/>
      <c r="Y23" s="31"/>
      <c r="AA23" s="94"/>
      <c r="AB23" s="15"/>
    </row>
    <row r="24" spans="1:28" x14ac:dyDescent="0.25">
      <c r="A24" s="311"/>
      <c r="B24" s="20">
        <v>45989</v>
      </c>
      <c r="C24" s="14" t="s">
        <v>22</v>
      </c>
      <c r="D24" s="27">
        <v>60</v>
      </c>
      <c r="F24" s="35"/>
      <c r="H24" s="31"/>
      <c r="I24" s="13"/>
      <c r="J24" s="35"/>
      <c r="L24" s="35"/>
      <c r="M24" s="35"/>
      <c r="N24" s="14">
        <v>1000</v>
      </c>
      <c r="O24" s="27"/>
      <c r="S24" s="31"/>
      <c r="T24" s="13"/>
      <c r="W24" s="31"/>
      <c r="X24" s="13"/>
      <c r="Y24" s="31">
        <v>1000</v>
      </c>
      <c r="AA24" s="94"/>
      <c r="AB24" s="15"/>
    </row>
    <row r="25" spans="1:28" x14ac:dyDescent="0.25">
      <c r="A25" s="311"/>
      <c r="B25" s="20">
        <v>45990</v>
      </c>
      <c r="C25" s="14" t="s">
        <v>22</v>
      </c>
      <c r="D25" s="27"/>
      <c r="F25" s="35"/>
      <c r="H25" s="31">
        <v>1000</v>
      </c>
      <c r="I25" s="13"/>
      <c r="J25" s="35">
        <v>1070</v>
      </c>
      <c r="L25" s="35"/>
      <c r="M25" s="35"/>
      <c r="N25" s="14"/>
      <c r="O25" s="27"/>
      <c r="Q25">
        <f>350+400+100-10</f>
        <v>840</v>
      </c>
      <c r="R25">
        <v>10</v>
      </c>
      <c r="S25" s="31"/>
      <c r="T25" s="13"/>
      <c r="W25" s="31"/>
      <c r="X25" s="13"/>
      <c r="Y25" s="31"/>
      <c r="AA25" s="94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94"/>
      <c r="AB26" s="15"/>
    </row>
    <row r="27" spans="1:28" x14ac:dyDescent="0.25">
      <c r="A27" s="311"/>
      <c r="B27" s="20"/>
      <c r="C27" s="14"/>
      <c r="D27" s="27"/>
      <c r="F27" s="35"/>
      <c r="H27" s="31"/>
      <c r="I27" s="13"/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94"/>
      <c r="AB27" s="15"/>
    </row>
    <row r="28" spans="1:28" ht="15.75" thickBot="1" x14ac:dyDescent="0.3">
      <c r="A28" s="312"/>
      <c r="B28" s="13"/>
      <c r="C28" s="14"/>
      <c r="D28" s="27"/>
      <c r="F28" s="35"/>
      <c r="H28" s="31"/>
      <c r="I28" s="13"/>
      <c r="J28" s="35"/>
      <c r="L28" s="35"/>
      <c r="M28" s="35"/>
      <c r="N28" s="14"/>
      <c r="O28" s="27"/>
      <c r="S28" s="31"/>
      <c r="T28" s="13"/>
      <c r="W28" s="31"/>
      <c r="X28" s="13"/>
      <c r="Y28" s="31"/>
      <c r="AA28" s="94"/>
      <c r="AB28" s="15"/>
    </row>
    <row r="29" spans="1:28" ht="21.75" thickBot="1" x14ac:dyDescent="0.3">
      <c r="A29" s="21" t="s">
        <v>23</v>
      </c>
      <c r="B29" s="22"/>
      <c r="C29" s="23"/>
      <c r="D29" s="29">
        <f t="shared" ref="D29:AB29" si="0">SUM(D4:D16)-SUM(D17:D28)</f>
        <v>4544</v>
      </c>
      <c r="E29" s="22">
        <f t="shared" si="0"/>
        <v>500</v>
      </c>
      <c r="F29" s="37">
        <f t="shared" si="0"/>
        <v>0</v>
      </c>
      <c r="G29" s="24">
        <f t="shared" si="0"/>
        <v>0</v>
      </c>
      <c r="H29" s="33">
        <f t="shared" si="0"/>
        <v>3178</v>
      </c>
      <c r="I29" s="22">
        <f t="shared" si="0"/>
        <v>0</v>
      </c>
      <c r="J29" s="37">
        <f t="shared" si="0"/>
        <v>50</v>
      </c>
      <c r="K29" s="24">
        <f t="shared" si="0"/>
        <v>7698</v>
      </c>
      <c r="L29" s="37">
        <f t="shared" si="0"/>
        <v>4306</v>
      </c>
      <c r="M29" s="37">
        <f t="shared" si="0"/>
        <v>7833</v>
      </c>
      <c r="N29" s="23">
        <f t="shared" si="0"/>
        <v>90</v>
      </c>
      <c r="O29" s="29">
        <f t="shared" si="0"/>
        <v>0</v>
      </c>
      <c r="P29" s="29">
        <f t="shared" si="0"/>
        <v>0</v>
      </c>
      <c r="Q29" s="29">
        <f t="shared" si="0"/>
        <v>0</v>
      </c>
      <c r="R29" s="24">
        <f t="shared" si="0"/>
        <v>1525</v>
      </c>
      <c r="S29" s="33">
        <f t="shared" si="0"/>
        <v>0</v>
      </c>
      <c r="T29" s="22">
        <f t="shared" si="0"/>
        <v>1920</v>
      </c>
      <c r="U29" s="22">
        <f t="shared" si="0"/>
        <v>350</v>
      </c>
      <c r="V29" s="22">
        <f t="shared" si="0"/>
        <v>294</v>
      </c>
      <c r="W29" s="33">
        <f t="shared" si="0"/>
        <v>0</v>
      </c>
      <c r="X29" s="22">
        <f t="shared" si="0"/>
        <v>0</v>
      </c>
      <c r="Y29" s="33">
        <f t="shared" si="0"/>
        <v>469</v>
      </c>
      <c r="Z29" s="22">
        <f t="shared" si="0"/>
        <v>282</v>
      </c>
      <c r="AA29" s="96">
        <f t="shared" si="0"/>
        <v>0</v>
      </c>
      <c r="AB29" s="25">
        <f t="shared" si="0"/>
        <v>20</v>
      </c>
    </row>
    <row r="31" spans="1:28" x14ac:dyDescent="0.25">
      <c r="D31">
        <f>D29*0.41</f>
        <v>1863.04</v>
      </c>
      <c r="E31">
        <f>+E29*0.41</f>
        <v>205</v>
      </c>
      <c r="F31">
        <f>+F29*0.47</f>
        <v>0</v>
      </c>
      <c r="G31">
        <f>+G29*0.38</f>
        <v>0</v>
      </c>
      <c r="H31">
        <f>+H29*0.47-(160*0.07)</f>
        <v>1482.4599999999998</v>
      </c>
      <c r="I31">
        <f>+I29*0.58</f>
        <v>0</v>
      </c>
      <c r="J31">
        <f>+J29*0.6</f>
        <v>30</v>
      </c>
      <c r="K31" s="50">
        <f>+K29*0.93</f>
        <v>7159.14</v>
      </c>
      <c r="L31">
        <f>+L29*0.69</f>
        <v>2971.14</v>
      </c>
      <c r="M31">
        <f>+M29*0.74</f>
        <v>5796.42</v>
      </c>
      <c r="N31">
        <f>+N29*0.61</f>
        <v>54.9</v>
      </c>
      <c r="O31">
        <f>+O29*2.3</f>
        <v>0</v>
      </c>
      <c r="P31">
        <f>+P29*1.575</f>
        <v>0</v>
      </c>
      <c r="Q31">
        <f>Q29*1.95</f>
        <v>0</v>
      </c>
      <c r="R31">
        <f>+R29*2-(25*0.1)</f>
        <v>3047.5</v>
      </c>
      <c r="S31">
        <f>+S29*1.57</f>
        <v>0</v>
      </c>
      <c r="T31">
        <f>+T29*2.04</f>
        <v>3916.8</v>
      </c>
      <c r="U31">
        <f>+U29*2.35</f>
        <v>822.5</v>
      </c>
      <c r="V31">
        <f>+V29*2.55</f>
        <v>749.69999999999993</v>
      </c>
      <c r="W31">
        <f>+W29*2.05</f>
        <v>0</v>
      </c>
      <c r="X31">
        <f>+X29*0.44</f>
        <v>0</v>
      </c>
      <c r="Y31">
        <f>+Y29*0.34</f>
        <v>159.46</v>
      </c>
      <c r="Z31" s="50">
        <f>+Z29*2.275+(32*0.025)</f>
        <v>642.34999999999991</v>
      </c>
      <c r="AA31">
        <f>+AA29*0.58</f>
        <v>0</v>
      </c>
      <c r="AB31">
        <f>+AB29*1.75</f>
        <v>35</v>
      </c>
    </row>
    <row r="32" spans="1:28" x14ac:dyDescent="0.25">
      <c r="AB32" s="39">
        <f>SUM(D31:AB31)</f>
        <v>28935.409999999996</v>
      </c>
    </row>
    <row r="33" spans="3:28" x14ac:dyDescent="0.25"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5" spans="3:28" x14ac:dyDescent="0.25">
      <c r="C35" s="98"/>
      <c r="I35">
        <f>1030+300+200+400</f>
        <v>1930</v>
      </c>
    </row>
    <row r="36" spans="3:28" x14ac:dyDescent="0.25">
      <c r="I36">
        <v>7200</v>
      </c>
    </row>
    <row r="37" spans="3:28" x14ac:dyDescent="0.25">
      <c r="I37">
        <v>33280</v>
      </c>
    </row>
    <row r="38" spans="3:28" x14ac:dyDescent="0.25">
      <c r="I38">
        <v>5000</v>
      </c>
    </row>
    <row r="39" spans="3:28" x14ac:dyDescent="0.25">
      <c r="I39">
        <v>1300</v>
      </c>
    </row>
    <row r="40" spans="3:28" x14ac:dyDescent="0.25">
      <c r="I40">
        <v>-10870</v>
      </c>
    </row>
    <row r="42" spans="3:28" x14ac:dyDescent="0.25">
      <c r="I42">
        <f>SUM(I35:I41)</f>
        <v>37840</v>
      </c>
    </row>
    <row r="43" spans="3:28" x14ac:dyDescent="0.25">
      <c r="I43">
        <f>250+100+370</f>
        <v>720</v>
      </c>
    </row>
    <row r="44" spans="3:28" x14ac:dyDescent="0.25">
      <c r="I44">
        <f>+I42-I43</f>
        <v>37120</v>
      </c>
    </row>
  </sheetData>
  <mergeCells count="7">
    <mergeCell ref="X2:Y2"/>
    <mergeCell ref="A4:A16"/>
    <mergeCell ref="A17:A28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0B23-BB84-486C-A7FD-B6B6B2BDD198}">
  <dimension ref="A1:AB35"/>
  <sheetViews>
    <sheetView zoomScale="60" zoomScaleNormal="60" workbookViewId="0">
      <pane xSplit="3" ySplit="3" topLeftCell="D19" activePane="bottomRight" state="frozen"/>
      <selection pane="topRight" activeCell="D1" sqref="D1"/>
      <selection pane="bottomLeft" activeCell="A4" sqref="A4"/>
      <selection pane="bottomRight" activeCell="I35" sqref="I35:M46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13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23-29-11'!D29</f>
        <v>4544</v>
      </c>
      <c r="E4" s="42">
        <f>'STOCK 23-29-11'!E29</f>
        <v>500</v>
      </c>
      <c r="F4" s="42">
        <f>'STOCK 23-29-11'!F29</f>
        <v>0</v>
      </c>
      <c r="G4" s="42">
        <f>'STOCK 23-29-11'!G29</f>
        <v>0</v>
      </c>
      <c r="H4" s="42">
        <f>'STOCK 23-29-11'!H29</f>
        <v>3178</v>
      </c>
      <c r="I4" s="42">
        <f>'STOCK 23-29-11'!I29</f>
        <v>0</v>
      </c>
      <c r="J4" s="42">
        <f>'STOCK 23-29-11'!J29</f>
        <v>50</v>
      </c>
      <c r="K4" s="42">
        <f>'STOCK 23-29-11'!K29</f>
        <v>7698</v>
      </c>
      <c r="L4" s="42">
        <f>'STOCK 23-29-11'!L29</f>
        <v>4306</v>
      </c>
      <c r="M4" s="42">
        <f>'STOCK 23-29-11'!M29</f>
        <v>7833</v>
      </c>
      <c r="N4" s="42">
        <f>'STOCK 23-29-11'!N29</f>
        <v>90</v>
      </c>
      <c r="O4" s="42">
        <f>'STOCK 23-29-11'!O29</f>
        <v>0</v>
      </c>
      <c r="P4" s="42">
        <f>'STOCK 23-29-11'!P29</f>
        <v>0</v>
      </c>
      <c r="Q4" s="42">
        <f>'STOCK 23-29-11'!Q29</f>
        <v>0</v>
      </c>
      <c r="R4" s="42">
        <f>'STOCK 23-29-11'!R29</f>
        <v>1525</v>
      </c>
      <c r="S4" s="42">
        <f>'STOCK 23-29-11'!S29</f>
        <v>0</v>
      </c>
      <c r="T4" s="42">
        <f>'STOCK 23-29-11'!T29</f>
        <v>1920</v>
      </c>
      <c r="U4" s="42">
        <f>'STOCK 23-29-11'!U29</f>
        <v>350</v>
      </c>
      <c r="V4" s="42">
        <f>'STOCK 23-29-11'!V29</f>
        <v>294</v>
      </c>
      <c r="W4" s="42">
        <f>'STOCK 23-29-11'!W29</f>
        <v>0</v>
      </c>
      <c r="X4" s="42">
        <f>'STOCK 23-29-11'!X29</f>
        <v>0</v>
      </c>
      <c r="Y4" s="42">
        <f>'STOCK 23-29-11'!Y29</f>
        <v>469</v>
      </c>
      <c r="Z4" s="42">
        <f>'STOCK 23-29-11'!Z29</f>
        <v>282</v>
      </c>
      <c r="AA4" s="42">
        <f>'STOCK 23-29-11'!AA29</f>
        <v>0</v>
      </c>
      <c r="AB4" s="42">
        <f>'STOCK 23-29-11'!AB29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45992</v>
      </c>
      <c r="C6" s="82" t="s">
        <v>46</v>
      </c>
      <c r="D6" s="27"/>
      <c r="F6" s="35"/>
      <c r="H6" s="31"/>
      <c r="I6" s="13"/>
      <c r="J6" s="35"/>
      <c r="L6" s="35"/>
      <c r="M6" s="35"/>
      <c r="N6" s="14">
        <v>2000</v>
      </c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45994</v>
      </c>
      <c r="C7" s="82" t="s">
        <v>46</v>
      </c>
      <c r="D7" s="27"/>
      <c r="F7" s="35"/>
      <c r="H7" s="31"/>
      <c r="I7" s="13"/>
      <c r="J7" s="35"/>
      <c r="L7" s="35"/>
      <c r="M7" s="35"/>
      <c r="N7" s="14">
        <v>1000</v>
      </c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45995</v>
      </c>
      <c r="C8" s="82" t="s">
        <v>46</v>
      </c>
      <c r="D8" s="27">
        <v>2000</v>
      </c>
      <c r="F8" s="35"/>
      <c r="H8" s="31"/>
      <c r="I8" s="13"/>
      <c r="J8" s="35"/>
      <c r="L8" s="35"/>
      <c r="M8" s="35"/>
      <c r="N8" s="14">
        <v>2500</v>
      </c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45995</v>
      </c>
      <c r="C9" s="82" t="s">
        <v>27</v>
      </c>
      <c r="D9" s="27"/>
      <c r="F9" s="35"/>
      <c r="H9" s="31"/>
      <c r="I9" s="13"/>
      <c r="J9" s="35">
        <v>6000</v>
      </c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45996</v>
      </c>
      <c r="C10" s="82" t="s">
        <v>27</v>
      </c>
      <c r="D10" s="27"/>
      <c r="F10" s="35"/>
      <c r="H10" s="31"/>
      <c r="I10" s="13"/>
      <c r="J10" s="35"/>
      <c r="L10" s="35"/>
      <c r="M10" s="35">
        <v>3500</v>
      </c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45997</v>
      </c>
      <c r="C11" s="82" t="s">
        <v>27</v>
      </c>
      <c r="D11" s="27"/>
      <c r="F11" s="35"/>
      <c r="H11" s="31"/>
      <c r="I11" s="13"/>
      <c r="J11" s="35"/>
      <c r="L11" s="35"/>
      <c r="M11" s="35"/>
      <c r="N11" s="14">
        <v>3000</v>
      </c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82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/>
      <c r="C14" s="82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/>
      <c r="C15" s="82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ht="15.75" thickBot="1" x14ac:dyDescent="0.3">
      <c r="A16" s="312"/>
      <c r="B16" s="72"/>
      <c r="C16" s="17"/>
      <c r="D16" s="28"/>
      <c r="E16" s="18"/>
      <c r="F16" s="36"/>
      <c r="G16" s="18"/>
      <c r="H16" s="32"/>
      <c r="I16" s="16"/>
      <c r="J16" s="36"/>
      <c r="K16" s="18"/>
      <c r="L16" s="36"/>
      <c r="M16" s="36"/>
      <c r="N16" s="17"/>
      <c r="O16" s="28"/>
      <c r="P16" s="18"/>
      <c r="Q16" s="18"/>
      <c r="R16" s="18"/>
      <c r="S16" s="32"/>
      <c r="T16" s="16"/>
      <c r="U16" s="18"/>
      <c r="V16" s="18"/>
      <c r="W16" s="32"/>
      <c r="X16" s="16"/>
      <c r="Y16" s="32"/>
      <c r="Z16" s="18"/>
      <c r="AA16" s="95"/>
      <c r="AB16" s="19"/>
    </row>
    <row r="17" spans="1:28" x14ac:dyDescent="0.25">
      <c r="A17" s="310" t="s">
        <v>62</v>
      </c>
      <c r="B17" s="20"/>
      <c r="C17" s="14"/>
      <c r="D17" s="27"/>
      <c r="F17" s="35"/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45992</v>
      </c>
      <c r="C18" s="14" t="s">
        <v>22</v>
      </c>
      <c r="D18" s="27">
        <v>1000</v>
      </c>
      <c r="F18" s="35"/>
      <c r="H18" s="31"/>
      <c r="I18" s="13"/>
      <c r="J18" s="35"/>
      <c r="L18" s="35">
        <f>5+400</f>
        <v>405</v>
      </c>
      <c r="M18" s="35">
        <v>2000</v>
      </c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45993</v>
      </c>
      <c r="C19" s="14" t="s">
        <v>22</v>
      </c>
      <c r="D19" s="27">
        <f>2000+250</f>
        <v>2250</v>
      </c>
      <c r="F19" s="35"/>
      <c r="H19" s="31">
        <v>1000</v>
      </c>
      <c r="I19" s="13"/>
      <c r="J19" s="35"/>
      <c r="L19" s="35"/>
      <c r="M19" s="35">
        <v>1400</v>
      </c>
      <c r="N19" s="14">
        <v>1000</v>
      </c>
      <c r="O19" s="27"/>
      <c r="S19" s="31"/>
      <c r="T19" s="13"/>
      <c r="U19">
        <v>56</v>
      </c>
      <c r="V19">
        <v>294</v>
      </c>
      <c r="W19" s="31"/>
      <c r="X19" s="13"/>
      <c r="Y19" s="31">
        <v>469</v>
      </c>
      <c r="AA19" s="94"/>
      <c r="AB19" s="15"/>
    </row>
    <row r="20" spans="1:28" x14ac:dyDescent="0.25">
      <c r="A20" s="311"/>
      <c r="B20" s="20">
        <v>45994</v>
      </c>
      <c r="C20" s="14" t="s">
        <v>22</v>
      </c>
      <c r="D20" s="27"/>
      <c r="F20" s="35"/>
      <c r="H20" s="31"/>
      <c r="I20" s="13"/>
      <c r="J20" s="35"/>
      <c r="L20" s="35"/>
      <c r="M20" s="35"/>
      <c r="N20" s="14"/>
      <c r="O20" s="27"/>
      <c r="R20">
        <f>400+450</f>
        <v>850</v>
      </c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45995</v>
      </c>
      <c r="C21" s="14" t="s">
        <v>22</v>
      </c>
      <c r="D21" s="27">
        <v>1500</v>
      </c>
      <c r="F21" s="35"/>
      <c r="H21" s="31">
        <v>300</v>
      </c>
      <c r="I21" s="13"/>
      <c r="J21" s="35"/>
      <c r="L21" s="35"/>
      <c r="M21" s="35">
        <v>2000</v>
      </c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>
        <v>45996</v>
      </c>
      <c r="C22" s="14" t="s">
        <v>22</v>
      </c>
      <c r="D22" s="27"/>
      <c r="F22" s="35"/>
      <c r="H22" s="31"/>
      <c r="I22" s="13"/>
      <c r="J22" s="35"/>
      <c r="K22">
        <v>1000</v>
      </c>
      <c r="L22" s="35">
        <v>500</v>
      </c>
      <c r="M22" s="35"/>
      <c r="N22" s="14"/>
      <c r="O22" s="27"/>
      <c r="R22">
        <v>300</v>
      </c>
      <c r="S22" s="31"/>
      <c r="T22" s="83"/>
      <c r="W22" s="31"/>
      <c r="X22" s="13"/>
      <c r="Y22" s="31"/>
      <c r="AA22" s="94"/>
      <c r="AB22" s="15"/>
    </row>
    <row r="23" spans="1:28" x14ac:dyDescent="0.25">
      <c r="A23" s="311"/>
      <c r="B23" s="20">
        <v>45997</v>
      </c>
      <c r="C23" s="14" t="s">
        <v>22</v>
      </c>
      <c r="D23" s="27"/>
      <c r="F23" s="35"/>
      <c r="H23" s="31"/>
      <c r="I23" s="13"/>
      <c r="J23" s="35"/>
      <c r="L23" s="35"/>
      <c r="M23" s="35"/>
      <c r="N23" s="14">
        <v>1500</v>
      </c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x14ac:dyDescent="0.25">
      <c r="A26" s="311"/>
      <c r="B26" s="20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94"/>
      <c r="AB26" s="15"/>
    </row>
    <row r="27" spans="1:28" x14ac:dyDescent="0.25">
      <c r="A27" s="311"/>
      <c r="B27" s="20"/>
      <c r="C27" s="14"/>
      <c r="D27" s="27"/>
      <c r="F27" s="35"/>
      <c r="H27" s="31"/>
      <c r="I27" s="13"/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94"/>
      <c r="AB27" s="15"/>
    </row>
    <row r="28" spans="1:28" ht="15.75" thickBot="1" x14ac:dyDescent="0.3">
      <c r="A28" s="312"/>
      <c r="B28" s="13"/>
      <c r="C28" s="14"/>
      <c r="D28" s="27"/>
      <c r="F28" s="35"/>
      <c r="H28" s="31"/>
      <c r="I28" s="13"/>
      <c r="J28" s="35"/>
      <c r="L28" s="35"/>
      <c r="M28" s="35"/>
      <c r="N28" s="14"/>
      <c r="O28" s="27"/>
      <c r="S28" s="31"/>
      <c r="T28" s="13"/>
      <c r="W28" s="31"/>
      <c r="X28" s="13"/>
      <c r="Y28" s="31"/>
      <c r="AA28" s="94"/>
      <c r="AB28" s="15"/>
    </row>
    <row r="29" spans="1:28" ht="21.75" thickBot="1" x14ac:dyDescent="0.3">
      <c r="A29" s="21" t="s">
        <v>23</v>
      </c>
      <c r="B29" s="22"/>
      <c r="C29" s="23"/>
      <c r="D29" s="29">
        <f t="shared" ref="D29:AB29" si="0">SUM(D4:D16)-SUM(D17:D28)</f>
        <v>1794</v>
      </c>
      <c r="E29" s="22">
        <f t="shared" si="0"/>
        <v>500</v>
      </c>
      <c r="F29" s="37">
        <f t="shared" si="0"/>
        <v>0</v>
      </c>
      <c r="G29" s="24">
        <f t="shared" si="0"/>
        <v>0</v>
      </c>
      <c r="H29" s="33">
        <f t="shared" si="0"/>
        <v>1878</v>
      </c>
      <c r="I29" s="22">
        <f t="shared" si="0"/>
        <v>0</v>
      </c>
      <c r="J29" s="37">
        <f t="shared" si="0"/>
        <v>6050</v>
      </c>
      <c r="K29" s="24">
        <f t="shared" si="0"/>
        <v>6698</v>
      </c>
      <c r="L29" s="37">
        <f t="shared" si="0"/>
        <v>3401</v>
      </c>
      <c r="M29" s="37">
        <f t="shared" si="0"/>
        <v>5933</v>
      </c>
      <c r="N29" s="23">
        <f t="shared" si="0"/>
        <v>6090</v>
      </c>
      <c r="O29" s="29">
        <f t="shared" si="0"/>
        <v>0</v>
      </c>
      <c r="P29" s="29">
        <f t="shared" si="0"/>
        <v>0</v>
      </c>
      <c r="Q29" s="29">
        <f t="shared" si="0"/>
        <v>0</v>
      </c>
      <c r="R29" s="24">
        <f t="shared" si="0"/>
        <v>375</v>
      </c>
      <c r="S29" s="33">
        <f t="shared" si="0"/>
        <v>0</v>
      </c>
      <c r="T29" s="22">
        <f t="shared" si="0"/>
        <v>1920</v>
      </c>
      <c r="U29" s="22">
        <f t="shared" si="0"/>
        <v>294</v>
      </c>
      <c r="V29" s="22">
        <f t="shared" si="0"/>
        <v>0</v>
      </c>
      <c r="W29" s="33">
        <f t="shared" si="0"/>
        <v>0</v>
      </c>
      <c r="X29" s="22">
        <f t="shared" si="0"/>
        <v>0</v>
      </c>
      <c r="Y29" s="33">
        <f t="shared" si="0"/>
        <v>0</v>
      </c>
      <c r="Z29" s="22">
        <f t="shared" si="0"/>
        <v>282</v>
      </c>
      <c r="AA29" s="96">
        <f t="shared" si="0"/>
        <v>0</v>
      </c>
      <c r="AB29" s="25">
        <f t="shared" si="0"/>
        <v>20</v>
      </c>
    </row>
    <row r="31" spans="1:28" x14ac:dyDescent="0.25">
      <c r="D31">
        <f>D29*0.41</f>
        <v>735.54</v>
      </c>
      <c r="E31">
        <f>+E29*0.41</f>
        <v>205</v>
      </c>
      <c r="F31">
        <f>+F29*0.47</f>
        <v>0</v>
      </c>
      <c r="G31">
        <f>+G29*0.38</f>
        <v>0</v>
      </c>
      <c r="H31">
        <f>+H29*0.47-(160*0.07)</f>
        <v>871.45999999999992</v>
      </c>
      <c r="I31">
        <f>+I29*0.58</f>
        <v>0</v>
      </c>
      <c r="J31">
        <f>+J29*0.63-(50*0.03)</f>
        <v>3810</v>
      </c>
      <c r="K31" s="50">
        <f>+K29*0.93</f>
        <v>6229.14</v>
      </c>
      <c r="L31">
        <f>+L29*0.69</f>
        <v>2346.6899999999996</v>
      </c>
      <c r="M31">
        <f>+M29*0.74</f>
        <v>4390.42</v>
      </c>
      <c r="N31">
        <f>+N29*0.61</f>
        <v>3714.9</v>
      </c>
      <c r="O31">
        <f>+O29*2.3</f>
        <v>0</v>
      </c>
      <c r="P31">
        <f>+P29*1.575</f>
        <v>0</v>
      </c>
      <c r="Q31">
        <f>Q29*1.95</f>
        <v>0</v>
      </c>
      <c r="R31">
        <f>+R29*2</f>
        <v>750</v>
      </c>
      <c r="S31">
        <f>+S29*1.57</f>
        <v>0</v>
      </c>
      <c r="T31">
        <f>+T29*2.04</f>
        <v>3916.8</v>
      </c>
      <c r="U31">
        <f>+U29*2.35</f>
        <v>690.9</v>
      </c>
      <c r="V31">
        <f>+V29*2.55</f>
        <v>0</v>
      </c>
      <c r="W31">
        <f>+W29*2.05</f>
        <v>0</v>
      </c>
      <c r="X31">
        <f>+X29*0.44</f>
        <v>0</v>
      </c>
      <c r="Y31">
        <f>+Y29*0.34</f>
        <v>0</v>
      </c>
      <c r="Z31" s="50">
        <f>+Z29*2.275+(32*0.025)</f>
        <v>642.34999999999991</v>
      </c>
      <c r="AA31">
        <f>+AA29*0.58</f>
        <v>0</v>
      </c>
      <c r="AB31">
        <f>+AB29*1.75</f>
        <v>35</v>
      </c>
    </row>
    <row r="32" spans="1:28" x14ac:dyDescent="0.25">
      <c r="AB32" s="39">
        <f>SUM(D31:AB31)</f>
        <v>28338.2</v>
      </c>
    </row>
    <row r="33" spans="3:28" x14ac:dyDescent="0.25"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5" spans="3:28" x14ac:dyDescent="0.25">
      <c r="C35" s="98"/>
    </row>
  </sheetData>
  <mergeCells count="7">
    <mergeCell ref="X2:Y2"/>
    <mergeCell ref="A4:A16"/>
    <mergeCell ref="A17:A28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89BA-7E39-47BD-8CD3-5576B639B1E1}">
  <dimension ref="A1:AB33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8" sqref="R18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01-06-11'!D29</f>
        <v>1794</v>
      </c>
      <c r="E4" s="42">
        <f>'STOCK 01-06-11'!E29</f>
        <v>500</v>
      </c>
      <c r="F4" s="42">
        <f>'STOCK 01-06-11'!F29</f>
        <v>0</v>
      </c>
      <c r="G4" s="42">
        <f>'STOCK 01-06-11'!G29</f>
        <v>0</v>
      </c>
      <c r="H4" s="42">
        <f>'STOCK 01-06-11'!H29</f>
        <v>1878</v>
      </c>
      <c r="I4" s="42">
        <f>'STOCK 01-06-11'!I29</f>
        <v>0</v>
      </c>
      <c r="J4" s="42">
        <f>'STOCK 01-06-11'!J29</f>
        <v>6050</v>
      </c>
      <c r="K4" s="42">
        <f>'STOCK 01-06-11'!K29</f>
        <v>6698</v>
      </c>
      <c r="L4" s="42">
        <f>'STOCK 01-06-11'!L29</f>
        <v>3401</v>
      </c>
      <c r="M4" s="42">
        <f>'STOCK 01-06-11'!M29</f>
        <v>5933</v>
      </c>
      <c r="N4" s="42">
        <f>'STOCK 01-06-11'!N29</f>
        <v>6090</v>
      </c>
      <c r="O4" s="42">
        <f>'STOCK 01-06-11'!O29</f>
        <v>0</v>
      </c>
      <c r="P4" s="42">
        <f>'STOCK 01-06-11'!P29</f>
        <v>0</v>
      </c>
      <c r="Q4" s="42">
        <f>'STOCK 01-06-11'!Q29</f>
        <v>0</v>
      </c>
      <c r="R4" s="42">
        <f>'STOCK 01-06-11'!R29</f>
        <v>375</v>
      </c>
      <c r="S4" s="42">
        <f>'STOCK 01-06-11'!S29</f>
        <v>0</v>
      </c>
      <c r="T4" s="42">
        <f>'STOCK 01-06-11'!T29</f>
        <v>1920</v>
      </c>
      <c r="U4" s="42">
        <f>'STOCK 01-06-11'!U29</f>
        <v>294</v>
      </c>
      <c r="V4" s="42">
        <f>'STOCK 01-06-11'!V29</f>
        <v>0</v>
      </c>
      <c r="W4" s="42">
        <f>'STOCK 01-06-11'!W29</f>
        <v>0</v>
      </c>
      <c r="X4" s="42">
        <f>'STOCK 01-06-11'!X29</f>
        <v>0</v>
      </c>
      <c r="Y4" s="42">
        <f>'STOCK 01-06-11'!Y29</f>
        <v>0</v>
      </c>
      <c r="Z4" s="42">
        <f>'STOCK 01-06-11'!Z29</f>
        <v>282</v>
      </c>
      <c r="AA4" s="42">
        <f>'STOCK 01-06-11'!AA29</f>
        <v>0</v>
      </c>
      <c r="AB4" s="42">
        <f>'STOCK 01-06-11'!AB29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46000</v>
      </c>
      <c r="C6" s="82" t="s">
        <v>46</v>
      </c>
      <c r="D6" s="27"/>
      <c r="F6" s="35"/>
      <c r="H6" s="31"/>
      <c r="I6" s="13"/>
      <c r="J6" s="35"/>
      <c r="L6" s="35"/>
      <c r="M6" s="35"/>
      <c r="N6" s="14"/>
      <c r="O6" s="27"/>
      <c r="P6">
        <v>600</v>
      </c>
      <c r="S6" s="31"/>
      <c r="T6" s="13"/>
      <c r="W6" s="31">
        <v>600</v>
      </c>
      <c r="X6" s="13"/>
      <c r="Y6" s="31"/>
      <c r="AA6" s="94"/>
      <c r="AB6" s="15"/>
    </row>
    <row r="7" spans="1:28" x14ac:dyDescent="0.25">
      <c r="A7" s="311"/>
      <c r="B7" s="20">
        <v>46000</v>
      </c>
      <c r="C7" s="82" t="s">
        <v>27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>
        <v>1000</v>
      </c>
      <c r="W7" s="31"/>
      <c r="X7" s="13"/>
      <c r="Y7" s="31"/>
      <c r="AA7" s="94"/>
      <c r="AB7" s="15"/>
    </row>
    <row r="8" spans="1:28" x14ac:dyDescent="0.25">
      <c r="A8" s="311"/>
      <c r="B8" s="20">
        <v>46002</v>
      </c>
      <c r="C8" s="82" t="s">
        <v>46</v>
      </c>
      <c r="D8" s="27">
        <v>2000</v>
      </c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46002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R9">
        <v>1200</v>
      </c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46003</v>
      </c>
      <c r="C10" s="82" t="s">
        <v>27</v>
      </c>
      <c r="D10" s="27"/>
      <c r="F10" s="35">
        <v>4500</v>
      </c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82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/>
      <c r="C14" s="82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ht="15.75" thickBot="1" x14ac:dyDescent="0.3">
      <c r="A15" s="312"/>
      <c r="B15" s="72"/>
      <c r="C15" s="17"/>
      <c r="D15" s="28"/>
      <c r="E15" s="18"/>
      <c r="F15" s="36"/>
      <c r="G15" s="18"/>
      <c r="H15" s="32"/>
      <c r="I15" s="16"/>
      <c r="J15" s="36"/>
      <c r="K15" s="18"/>
      <c r="L15" s="36"/>
      <c r="M15" s="36"/>
      <c r="N15" s="17"/>
      <c r="O15" s="28"/>
      <c r="P15" s="18"/>
      <c r="Q15" s="18"/>
      <c r="R15" s="18"/>
      <c r="S15" s="32"/>
      <c r="T15" s="16"/>
      <c r="U15" s="18"/>
      <c r="V15" s="18"/>
      <c r="W15" s="32"/>
      <c r="X15" s="16"/>
      <c r="Y15" s="32"/>
      <c r="Z15" s="18"/>
      <c r="AA15" s="95"/>
      <c r="AB15" s="19"/>
    </row>
    <row r="16" spans="1:28" x14ac:dyDescent="0.25">
      <c r="A16" s="310" t="s">
        <v>62</v>
      </c>
      <c r="B16" s="20">
        <v>45999</v>
      </c>
      <c r="C16" s="14" t="s">
        <v>79</v>
      </c>
      <c r="D16" s="27">
        <v>500</v>
      </c>
      <c r="F16" s="35"/>
      <c r="H16" s="31">
        <v>400</v>
      </c>
      <c r="I16" s="13"/>
      <c r="J16" s="35"/>
      <c r="K16">
        <v>1000</v>
      </c>
      <c r="L16" s="35"/>
      <c r="M16" s="35">
        <v>3000</v>
      </c>
      <c r="N16" s="14">
        <v>2500</v>
      </c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45999</v>
      </c>
      <c r="C17" s="14" t="s">
        <v>38</v>
      </c>
      <c r="D17" s="27"/>
      <c r="F17" s="35"/>
      <c r="H17" s="31"/>
      <c r="I17" s="13"/>
      <c r="J17" s="35"/>
      <c r="L17" s="35"/>
      <c r="M17" s="35"/>
      <c r="N17" s="14"/>
      <c r="O17" s="27"/>
      <c r="S17" s="31"/>
      <c r="T17" s="13">
        <v>1920</v>
      </c>
      <c r="U17">
        <v>90</v>
      </c>
      <c r="W17" s="31"/>
      <c r="X17" s="13"/>
      <c r="Y17" s="31"/>
      <c r="AA17" s="94"/>
      <c r="AB17" s="15"/>
    </row>
    <row r="18" spans="1:28" x14ac:dyDescent="0.25">
      <c r="A18" s="311"/>
      <c r="B18" s="20">
        <v>46000</v>
      </c>
      <c r="C18" s="14" t="s">
        <v>79</v>
      </c>
      <c r="D18" s="27">
        <f>1000+2000</f>
        <v>3000</v>
      </c>
      <c r="F18" s="35"/>
      <c r="H18" s="31"/>
      <c r="I18" s="13"/>
      <c r="J18" s="35"/>
      <c r="L18" s="35"/>
      <c r="M18" s="35"/>
      <c r="N18" s="14"/>
      <c r="O18" s="27"/>
      <c r="R18">
        <v>250</v>
      </c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46001</v>
      </c>
      <c r="C19" s="14" t="s">
        <v>79</v>
      </c>
      <c r="D19" s="27"/>
      <c r="F19" s="35"/>
      <c r="H19" s="31"/>
      <c r="I19" s="13"/>
      <c r="J19" s="35"/>
      <c r="K19">
        <v>500</v>
      </c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46002</v>
      </c>
      <c r="C20" s="14" t="s">
        <v>79</v>
      </c>
      <c r="D20" s="27">
        <v>100</v>
      </c>
      <c r="F20" s="35"/>
      <c r="H20" s="31"/>
      <c r="I20" s="13"/>
      <c r="J20" s="35">
        <v>590</v>
      </c>
      <c r="L20" s="35"/>
      <c r="M20" s="35">
        <v>1000</v>
      </c>
      <c r="N20" s="14">
        <v>3410</v>
      </c>
      <c r="O20" s="27"/>
      <c r="R20">
        <v>50</v>
      </c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46003</v>
      </c>
      <c r="C21" s="14" t="s">
        <v>79</v>
      </c>
      <c r="D21" s="27"/>
      <c r="F21" s="35"/>
      <c r="H21" s="31"/>
      <c r="I21" s="13"/>
      <c r="J21" s="35">
        <v>1000</v>
      </c>
      <c r="L21" s="35"/>
      <c r="M21" s="35">
        <v>240</v>
      </c>
      <c r="N21" s="14">
        <f>100+80</f>
        <v>180</v>
      </c>
      <c r="O21" s="27"/>
      <c r="S21" s="31"/>
      <c r="T21" s="13">
        <f>240+410</f>
        <v>650</v>
      </c>
      <c r="W21" s="31"/>
      <c r="X21" s="13"/>
      <c r="Y21" s="31"/>
      <c r="AA21" s="94"/>
      <c r="AB21" s="15"/>
    </row>
    <row r="22" spans="1:28" x14ac:dyDescent="0.25">
      <c r="A22" s="311"/>
      <c r="B22" s="20">
        <v>46004</v>
      </c>
      <c r="C22" s="14" t="s">
        <v>79</v>
      </c>
      <c r="D22" s="27">
        <f>20+150</f>
        <v>170</v>
      </c>
      <c r="F22" s="35">
        <v>200</v>
      </c>
      <c r="H22" s="31"/>
      <c r="I22" s="13"/>
      <c r="J22" s="35">
        <v>60</v>
      </c>
      <c r="L22" s="35">
        <v>2000</v>
      </c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x14ac:dyDescent="0.25">
      <c r="A25" s="311"/>
      <c r="B25" s="20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15.75" thickBot="1" x14ac:dyDescent="0.3">
      <c r="A26" s="312"/>
      <c r="B26" s="13"/>
      <c r="C26" s="14"/>
      <c r="D26" s="27"/>
      <c r="F26" s="35"/>
      <c r="H26" s="31"/>
      <c r="I26" s="13"/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94"/>
      <c r="AB26" s="15"/>
    </row>
    <row r="27" spans="1:28" ht="21.75" thickBot="1" x14ac:dyDescent="0.3">
      <c r="A27" s="21" t="s">
        <v>23</v>
      </c>
      <c r="B27" s="22"/>
      <c r="C27" s="23"/>
      <c r="D27" s="29">
        <f t="shared" ref="D27:AB27" si="0">SUM(D4:D15)-SUM(D16:D26)</f>
        <v>24</v>
      </c>
      <c r="E27" s="22">
        <f t="shared" si="0"/>
        <v>500</v>
      </c>
      <c r="F27" s="37">
        <f t="shared" si="0"/>
        <v>4300</v>
      </c>
      <c r="G27" s="24">
        <f t="shared" si="0"/>
        <v>0</v>
      </c>
      <c r="H27" s="33">
        <f t="shared" si="0"/>
        <v>1478</v>
      </c>
      <c r="I27" s="22">
        <f t="shared" si="0"/>
        <v>0</v>
      </c>
      <c r="J27" s="37">
        <f t="shared" si="0"/>
        <v>4400</v>
      </c>
      <c r="K27" s="24">
        <f t="shared" si="0"/>
        <v>5198</v>
      </c>
      <c r="L27" s="37">
        <f t="shared" si="0"/>
        <v>1401</v>
      </c>
      <c r="M27" s="37">
        <f t="shared" si="0"/>
        <v>1693</v>
      </c>
      <c r="N27" s="23">
        <f t="shared" si="0"/>
        <v>0</v>
      </c>
      <c r="O27" s="29">
        <f t="shared" si="0"/>
        <v>0</v>
      </c>
      <c r="P27" s="29">
        <f t="shared" si="0"/>
        <v>600</v>
      </c>
      <c r="Q27" s="29">
        <f t="shared" si="0"/>
        <v>0</v>
      </c>
      <c r="R27" s="24">
        <f t="shared" si="0"/>
        <v>1275</v>
      </c>
      <c r="S27" s="33">
        <f t="shared" si="0"/>
        <v>0</v>
      </c>
      <c r="T27" s="22">
        <f t="shared" si="0"/>
        <v>350</v>
      </c>
      <c r="U27" s="22">
        <f t="shared" si="0"/>
        <v>204</v>
      </c>
      <c r="V27" s="22">
        <f t="shared" si="0"/>
        <v>0</v>
      </c>
      <c r="W27" s="33">
        <f t="shared" si="0"/>
        <v>600</v>
      </c>
      <c r="X27" s="22">
        <f t="shared" si="0"/>
        <v>0</v>
      </c>
      <c r="Y27" s="33">
        <f t="shared" si="0"/>
        <v>0</v>
      </c>
      <c r="Z27" s="22">
        <f t="shared" si="0"/>
        <v>282</v>
      </c>
      <c r="AA27" s="96">
        <f t="shared" si="0"/>
        <v>0</v>
      </c>
      <c r="AB27" s="25">
        <f t="shared" si="0"/>
        <v>20</v>
      </c>
    </row>
    <row r="29" spans="1:28" x14ac:dyDescent="0.25">
      <c r="D29">
        <f>D27*0.41</f>
        <v>9.84</v>
      </c>
      <c r="E29">
        <f>+E27*0.41</f>
        <v>205</v>
      </c>
      <c r="F29">
        <f>+F27*0.52</f>
        <v>2236</v>
      </c>
      <c r="G29">
        <f>+G27*0.38</f>
        <v>0</v>
      </c>
      <c r="H29">
        <f>+H27*0.47-(160*0.07)</f>
        <v>683.45999999999992</v>
      </c>
      <c r="I29">
        <f>+I27*0.58</f>
        <v>0</v>
      </c>
      <c r="J29">
        <f>+J27*0.63</f>
        <v>2772</v>
      </c>
      <c r="K29" s="50">
        <f>+K27*0.93</f>
        <v>4834.1400000000003</v>
      </c>
      <c r="L29">
        <f>+L27*0.69</f>
        <v>966.68999999999994</v>
      </c>
      <c r="M29">
        <f>+M27*0.74</f>
        <v>1252.82</v>
      </c>
      <c r="N29">
        <f>+N27*0.61</f>
        <v>0</v>
      </c>
      <c r="O29">
        <f>+O27*2.3</f>
        <v>0</v>
      </c>
      <c r="P29">
        <f>+P27*2.1</f>
        <v>1260</v>
      </c>
      <c r="Q29">
        <f>Q27*1.95</f>
        <v>0</v>
      </c>
      <c r="R29">
        <f>+R27*2</f>
        <v>2550</v>
      </c>
      <c r="S29">
        <f>+S27*1.57</f>
        <v>0</v>
      </c>
      <c r="T29">
        <f>+T27*2.1</f>
        <v>735</v>
      </c>
      <c r="U29">
        <f>+U27*2.35</f>
        <v>479.40000000000003</v>
      </c>
      <c r="V29">
        <f>+V27*2.55</f>
        <v>0</v>
      </c>
      <c r="W29">
        <f>+W27*2.15</f>
        <v>1290</v>
      </c>
      <c r="X29">
        <f>+X27*0.44</f>
        <v>0</v>
      </c>
      <c r="Y29">
        <f>+Y27*0.34</f>
        <v>0</v>
      </c>
      <c r="Z29" s="50">
        <f>+Z27*2.275+(32*0.025)</f>
        <v>642.34999999999991</v>
      </c>
      <c r="AA29">
        <f>+AA27*0.58</f>
        <v>0</v>
      </c>
      <c r="AB29">
        <f>+AB27*1.75</f>
        <v>35</v>
      </c>
    </row>
    <row r="30" spans="1:28" x14ac:dyDescent="0.25">
      <c r="AB30" s="39">
        <f>SUM(D29:AB29)</f>
        <v>19951.7</v>
      </c>
    </row>
    <row r="31" spans="1:28" x14ac:dyDescent="0.25">
      <c r="C31" s="39"/>
      <c r="D31" s="39"/>
      <c r="E31" s="39"/>
      <c r="F31" s="39"/>
      <c r="G31" s="39"/>
      <c r="H31" s="39"/>
      <c r="I31" s="39"/>
      <c r="J31" s="39">
        <f>50*0.6</f>
        <v>30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3" spans="3:3" x14ac:dyDescent="0.25">
      <c r="C33" s="98"/>
    </row>
  </sheetData>
  <mergeCells count="7">
    <mergeCell ref="X2:Y2"/>
    <mergeCell ref="A4:A15"/>
    <mergeCell ref="A16:A26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A08A-2859-420D-9F35-D06D54910FF2}">
  <dimension ref="A1:AB40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5" sqref="R1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07-13-12'!D27</f>
        <v>24</v>
      </c>
      <c r="E4" s="42">
        <f>'STOCK 07-13-12'!E27</f>
        <v>500</v>
      </c>
      <c r="F4" s="42">
        <f>'STOCK 07-13-12'!F27</f>
        <v>4300</v>
      </c>
      <c r="G4" s="42">
        <f>'STOCK 07-13-12'!G27</f>
        <v>0</v>
      </c>
      <c r="H4" s="42">
        <f>'STOCK 07-13-12'!H27</f>
        <v>1478</v>
      </c>
      <c r="I4" s="42">
        <f>'STOCK 07-13-12'!I27</f>
        <v>0</v>
      </c>
      <c r="J4" s="42">
        <f>'STOCK 07-13-12'!J27</f>
        <v>4400</v>
      </c>
      <c r="K4" s="42">
        <f>'STOCK 07-13-12'!K27</f>
        <v>5198</v>
      </c>
      <c r="L4" s="42">
        <f>'STOCK 07-13-12'!L27</f>
        <v>1401</v>
      </c>
      <c r="M4" s="42">
        <f>'STOCK 07-13-12'!M27</f>
        <v>1693</v>
      </c>
      <c r="N4" s="42">
        <f>'STOCK 07-13-12'!N27</f>
        <v>0</v>
      </c>
      <c r="O4" s="42">
        <f>'STOCK 07-13-12'!O27</f>
        <v>0</v>
      </c>
      <c r="P4" s="42">
        <f>'STOCK 07-13-12'!P27</f>
        <v>600</v>
      </c>
      <c r="Q4" s="42">
        <f>'STOCK 07-13-12'!Q27</f>
        <v>0</v>
      </c>
      <c r="R4" s="42">
        <f>'STOCK 07-13-12'!R27</f>
        <v>1275</v>
      </c>
      <c r="S4" s="42">
        <f>'STOCK 07-13-12'!S27</f>
        <v>0</v>
      </c>
      <c r="T4" s="42">
        <f>'STOCK 07-13-12'!T27</f>
        <v>350</v>
      </c>
      <c r="U4" s="42">
        <f>'STOCK 07-13-12'!U27</f>
        <v>204</v>
      </c>
      <c r="V4" s="42">
        <f>'STOCK 07-13-12'!V27</f>
        <v>0</v>
      </c>
      <c r="W4" s="42">
        <f>'STOCK 07-13-12'!W27</f>
        <v>600</v>
      </c>
      <c r="X4" s="42">
        <f>'STOCK 07-13-12'!X27</f>
        <v>0</v>
      </c>
      <c r="Y4" s="42">
        <f>'STOCK 07-13-12'!Y27</f>
        <v>0</v>
      </c>
      <c r="Z4" s="42">
        <f>'STOCK 07-13-12'!Z27</f>
        <v>282</v>
      </c>
      <c r="AA4" s="42">
        <f>'STOCK 07-13-12'!AA27</f>
        <v>0</v>
      </c>
      <c r="AB4" s="42">
        <f>'STOCK 07-13-12'!AB27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46010</v>
      </c>
      <c r="C6" s="82" t="s">
        <v>46</v>
      </c>
      <c r="D6" s="27"/>
      <c r="F6" s="35"/>
      <c r="H6" s="31"/>
      <c r="I6" s="13"/>
      <c r="J6" s="35"/>
      <c r="K6">
        <v>2500</v>
      </c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46010</v>
      </c>
      <c r="C7" s="82" t="s">
        <v>27</v>
      </c>
      <c r="D7" s="27"/>
      <c r="F7" s="35"/>
      <c r="H7" s="31"/>
      <c r="I7" s="13"/>
      <c r="J7" s="35">
        <v>1000</v>
      </c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46011</v>
      </c>
      <c r="C8" s="82" t="s">
        <v>46</v>
      </c>
      <c r="D8" s="27"/>
      <c r="F8" s="35"/>
      <c r="H8" s="31"/>
      <c r="I8" s="13"/>
      <c r="J8" s="35">
        <v>4000</v>
      </c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36"/>
      <c r="N11" s="17"/>
      <c r="O11" s="28"/>
      <c r="P11" s="18"/>
      <c r="Q11" s="18"/>
      <c r="R11" s="18"/>
      <c r="S11" s="32"/>
      <c r="T11" s="16"/>
      <c r="U11" s="18"/>
      <c r="V11" s="18"/>
      <c r="W11" s="32"/>
      <c r="X11" s="16"/>
      <c r="Y11" s="32"/>
      <c r="Z11" s="18"/>
      <c r="AA11" s="95"/>
      <c r="AB11" s="19"/>
    </row>
    <row r="12" spans="1:28" x14ac:dyDescent="0.25">
      <c r="A12" s="310" t="s">
        <v>62</v>
      </c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>
        <v>46005</v>
      </c>
      <c r="C13" s="14" t="s">
        <v>22</v>
      </c>
      <c r="D13" s="27"/>
      <c r="F13" s="35"/>
      <c r="H13" s="31"/>
      <c r="I13" s="13"/>
      <c r="J13" s="35">
        <v>1000</v>
      </c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>
        <v>46006</v>
      </c>
      <c r="C14" s="14" t="s">
        <v>22</v>
      </c>
      <c r="D14" s="27"/>
      <c r="F14" s="35">
        <v>1000</v>
      </c>
      <c r="H14" s="31"/>
      <c r="I14" s="13"/>
      <c r="J14" s="35">
        <f>2500+900</f>
        <v>3400</v>
      </c>
      <c r="L14" s="35">
        <v>800</v>
      </c>
      <c r="M14" s="35"/>
      <c r="N14" s="14"/>
      <c r="O14" s="27"/>
      <c r="P14">
        <v>55</v>
      </c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46009</v>
      </c>
      <c r="C15" s="14" t="s">
        <v>22</v>
      </c>
      <c r="D15" s="27"/>
      <c r="F15" s="35">
        <v>2000</v>
      </c>
      <c r="H15" s="31"/>
      <c r="I15" s="13"/>
      <c r="J15" s="35"/>
      <c r="L15" s="35"/>
      <c r="M15" s="35"/>
      <c r="N15" s="14"/>
      <c r="O15" s="27"/>
      <c r="R15">
        <f>110+340</f>
        <v>450</v>
      </c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46010</v>
      </c>
      <c r="C16" s="14" t="s">
        <v>22</v>
      </c>
      <c r="D16" s="27"/>
      <c r="F16" s="35"/>
      <c r="H16" s="31"/>
      <c r="I16" s="13"/>
      <c r="J16" s="35">
        <v>10</v>
      </c>
      <c r="L16" s="35"/>
      <c r="M16" s="35">
        <v>500</v>
      </c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46011</v>
      </c>
      <c r="C17" s="14" t="s">
        <v>22</v>
      </c>
      <c r="D17" s="27"/>
      <c r="F17" s="35"/>
      <c r="H17" s="31"/>
      <c r="I17" s="13"/>
      <c r="J17" s="35"/>
      <c r="K17">
        <v>500</v>
      </c>
      <c r="L17" s="35">
        <v>500</v>
      </c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/>
      <c r="C18" s="14"/>
      <c r="D18" s="27"/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46011</v>
      </c>
      <c r="C19" s="14" t="s">
        <v>45</v>
      </c>
      <c r="D19" s="27"/>
      <c r="F19" s="35"/>
      <c r="H19" s="31"/>
      <c r="I19" s="13"/>
      <c r="J19" s="35"/>
      <c r="K19">
        <v>500</v>
      </c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21.75" thickBot="1" x14ac:dyDescent="0.3">
      <c r="A23" s="21" t="s">
        <v>23</v>
      </c>
      <c r="B23" s="22"/>
      <c r="C23" s="23"/>
      <c r="D23" s="29">
        <f t="shared" ref="D23:AB23" si="0">SUM(D4:D11)-SUM(D12:D22)</f>
        <v>24</v>
      </c>
      <c r="E23" s="22">
        <f t="shared" si="0"/>
        <v>500</v>
      </c>
      <c r="F23" s="37">
        <f t="shared" si="0"/>
        <v>1300</v>
      </c>
      <c r="G23" s="24">
        <f t="shared" si="0"/>
        <v>0</v>
      </c>
      <c r="H23" s="33">
        <f t="shared" si="0"/>
        <v>1478</v>
      </c>
      <c r="I23" s="22">
        <f t="shared" si="0"/>
        <v>0</v>
      </c>
      <c r="J23" s="37">
        <f t="shared" si="0"/>
        <v>4990</v>
      </c>
      <c r="K23" s="24">
        <f t="shared" si="0"/>
        <v>6698</v>
      </c>
      <c r="L23" s="37">
        <f t="shared" si="0"/>
        <v>101</v>
      </c>
      <c r="M23" s="37">
        <f t="shared" si="0"/>
        <v>1193</v>
      </c>
      <c r="N23" s="23">
        <f t="shared" si="0"/>
        <v>0</v>
      </c>
      <c r="O23" s="29">
        <f t="shared" si="0"/>
        <v>0</v>
      </c>
      <c r="P23" s="29">
        <f t="shared" si="0"/>
        <v>545</v>
      </c>
      <c r="Q23" s="29">
        <f t="shared" si="0"/>
        <v>0</v>
      </c>
      <c r="R23" s="24">
        <f t="shared" si="0"/>
        <v>825</v>
      </c>
      <c r="S23" s="33">
        <f t="shared" si="0"/>
        <v>0</v>
      </c>
      <c r="T23" s="22">
        <f t="shared" si="0"/>
        <v>350</v>
      </c>
      <c r="U23" s="22">
        <f t="shared" si="0"/>
        <v>204</v>
      </c>
      <c r="V23" s="22">
        <f t="shared" si="0"/>
        <v>0</v>
      </c>
      <c r="W23" s="33">
        <f t="shared" si="0"/>
        <v>600</v>
      </c>
      <c r="X23" s="22">
        <f t="shared" si="0"/>
        <v>0</v>
      </c>
      <c r="Y23" s="33">
        <f t="shared" si="0"/>
        <v>0</v>
      </c>
      <c r="Z23" s="22">
        <f t="shared" si="0"/>
        <v>282</v>
      </c>
      <c r="AA23" s="96">
        <f t="shared" si="0"/>
        <v>0</v>
      </c>
      <c r="AB23" s="25">
        <f t="shared" si="0"/>
        <v>20</v>
      </c>
    </row>
    <row r="25" spans="1:28" x14ac:dyDescent="0.25">
      <c r="D25">
        <f>D23*0.41</f>
        <v>9.84</v>
      </c>
      <c r="E25">
        <f>+E23*0.41</f>
        <v>205</v>
      </c>
      <c r="F25">
        <f>+F23*0.52</f>
        <v>676</v>
      </c>
      <c r="G25">
        <f>+G23*0.38</f>
        <v>0</v>
      </c>
      <c r="H25">
        <f>+H23*0.47-(160*0.07)</f>
        <v>683.45999999999992</v>
      </c>
      <c r="I25">
        <f>+I23*0.58</f>
        <v>0</v>
      </c>
      <c r="J25">
        <f>+J23*0.635</f>
        <v>3168.65</v>
      </c>
      <c r="K25" s="50">
        <f>+K23*0.93</f>
        <v>6229.14</v>
      </c>
      <c r="L25">
        <f>+L23*0.69</f>
        <v>69.69</v>
      </c>
      <c r="M25">
        <f>+M23*0.74</f>
        <v>882.81999999999994</v>
      </c>
      <c r="N25">
        <f>+N23*0.61</f>
        <v>0</v>
      </c>
      <c r="O25">
        <f>+O23*2.3</f>
        <v>0</v>
      </c>
      <c r="P25">
        <f>+P23*2.1</f>
        <v>1144.5</v>
      </c>
      <c r="Q25">
        <f>Q23*1.95</f>
        <v>0</v>
      </c>
      <c r="R25">
        <f>+R23*2</f>
        <v>1650</v>
      </c>
      <c r="S25">
        <f>+S23*1.57</f>
        <v>0</v>
      </c>
      <c r="T25">
        <f>+T23*2.1</f>
        <v>735</v>
      </c>
      <c r="U25">
        <f>+U23*2.35</f>
        <v>479.40000000000003</v>
      </c>
      <c r="V25">
        <f>+V23*2.55</f>
        <v>0</v>
      </c>
      <c r="W25">
        <f>+W23*2.15</f>
        <v>1290</v>
      </c>
      <c r="X25">
        <f>+X23*0.44</f>
        <v>0</v>
      </c>
      <c r="Y25">
        <f>+Y23*0.34</f>
        <v>0</v>
      </c>
      <c r="Z25" s="50">
        <f>+Z23*2.275+(32*0.025)</f>
        <v>642.34999999999991</v>
      </c>
      <c r="AA25">
        <f>+AA23*0.58</f>
        <v>0</v>
      </c>
      <c r="AB25">
        <f>+AB23*1.75</f>
        <v>35</v>
      </c>
    </row>
    <row r="26" spans="1:28" x14ac:dyDescent="0.25">
      <c r="AB26" s="39">
        <f>SUM(D25:AB25)</f>
        <v>17900.849999999999</v>
      </c>
    </row>
    <row r="27" spans="1:28" x14ac:dyDescent="0.25">
      <c r="C27" s="39"/>
      <c r="D27" s="39"/>
      <c r="E27" s="39"/>
      <c r="F27" s="39"/>
      <c r="G27" s="39"/>
      <c r="H27" s="39"/>
      <c r="I27" s="39"/>
      <c r="J27" s="39">
        <f>50*0.6</f>
        <v>30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9" spans="1:28" x14ac:dyDescent="0.25">
      <c r="C29" s="98"/>
      <c r="L29">
        <f>5050+180</f>
        <v>5230</v>
      </c>
      <c r="M29">
        <v>140</v>
      </c>
      <c r="O29">
        <v>31.9</v>
      </c>
      <c r="P29">
        <v>31.4</v>
      </c>
      <c r="Q29">
        <f>400</f>
        <v>400</v>
      </c>
      <c r="R29">
        <f>+O29*Q29</f>
        <v>12760</v>
      </c>
      <c r="S29">
        <f>+P29*Q29</f>
        <v>12560</v>
      </c>
    </row>
    <row r="30" spans="1:28" x14ac:dyDescent="0.25">
      <c r="L30">
        <v>6500</v>
      </c>
      <c r="M30">
        <v>6500</v>
      </c>
      <c r="O30">
        <v>29.3</v>
      </c>
      <c r="P30">
        <v>28.8</v>
      </c>
      <c r="Q30">
        <v>400</v>
      </c>
      <c r="R30">
        <f>+O30*Q30</f>
        <v>11720</v>
      </c>
      <c r="S30">
        <f>+P30*Q30</f>
        <v>11520</v>
      </c>
    </row>
    <row r="31" spans="1:28" x14ac:dyDescent="0.25">
      <c r="L31">
        <v>33280</v>
      </c>
      <c r="M31">
        <v>33280</v>
      </c>
      <c r="R31">
        <f>SUM(R29:R30)</f>
        <v>24480</v>
      </c>
      <c r="S31">
        <f>SUM(S29:S30)</f>
        <v>24080</v>
      </c>
      <c r="T31">
        <f>+R31-S31</f>
        <v>400</v>
      </c>
    </row>
    <row r="32" spans="1:28" x14ac:dyDescent="0.25">
      <c r="L32">
        <v>2960</v>
      </c>
      <c r="M32">
        <v>2960</v>
      </c>
    </row>
    <row r="33" spans="12:18" x14ac:dyDescent="0.25">
      <c r="L33">
        <v>1300</v>
      </c>
      <c r="M33">
        <v>1300</v>
      </c>
      <c r="R33">
        <f>+R31*0.035</f>
        <v>856.80000000000007</v>
      </c>
    </row>
    <row r="34" spans="12:18" x14ac:dyDescent="0.25">
      <c r="L34">
        <v>-9815</v>
      </c>
      <c r="M34">
        <v>-4815</v>
      </c>
      <c r="R34">
        <f>+R33-T31</f>
        <v>456.80000000000007</v>
      </c>
    </row>
    <row r="36" spans="12:18" x14ac:dyDescent="0.25">
      <c r="L36">
        <f>SUM(L29:L35)</f>
        <v>39455</v>
      </c>
      <c r="M36">
        <f>SUM(M29:M34)</f>
        <v>39365</v>
      </c>
      <c r="R36">
        <f>+R31-23000</f>
        <v>1480</v>
      </c>
    </row>
    <row r="37" spans="12:18" x14ac:dyDescent="0.25">
      <c r="L37">
        <v>100</v>
      </c>
      <c r="M37">
        <v>100</v>
      </c>
    </row>
    <row r="38" spans="12:18" x14ac:dyDescent="0.25">
      <c r="L38">
        <f>+L36-L37</f>
        <v>39355</v>
      </c>
      <c r="M38">
        <f>+M36-M37</f>
        <v>39265</v>
      </c>
    </row>
    <row r="40" spans="12:18" x14ac:dyDescent="0.25">
      <c r="M40">
        <f>+M38-L38</f>
        <v>-90</v>
      </c>
    </row>
  </sheetData>
  <mergeCells count="7">
    <mergeCell ref="X2:Y2"/>
    <mergeCell ref="A4:A11"/>
    <mergeCell ref="A12:A22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3F38-0C71-498E-8787-9EC58274A6E7}">
  <dimension ref="A1:AB37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6" sqref="B36:H51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14-20-12'!D23</f>
        <v>24</v>
      </c>
      <c r="E4" s="42">
        <f>'STOCK 14-20-12'!E23</f>
        <v>500</v>
      </c>
      <c r="F4" s="42">
        <f>'STOCK 14-20-12'!F23</f>
        <v>1300</v>
      </c>
      <c r="G4" s="42">
        <f>'STOCK 14-20-12'!G23</f>
        <v>0</v>
      </c>
      <c r="H4" s="42">
        <f>'STOCK 14-20-12'!H23</f>
        <v>1478</v>
      </c>
      <c r="I4" s="42">
        <f>'STOCK 14-20-12'!I23</f>
        <v>0</v>
      </c>
      <c r="J4" s="42">
        <f>'STOCK 14-20-12'!J23</f>
        <v>4990</v>
      </c>
      <c r="K4" s="42">
        <f>'STOCK 14-20-12'!K23</f>
        <v>6698</v>
      </c>
      <c r="L4" s="42">
        <f>'STOCK 14-20-12'!L23</f>
        <v>101</v>
      </c>
      <c r="M4" s="42">
        <f>'STOCK 14-20-12'!M23</f>
        <v>1193</v>
      </c>
      <c r="N4" s="42">
        <f>'STOCK 14-20-12'!N23</f>
        <v>0</v>
      </c>
      <c r="O4" s="42">
        <f>'STOCK 14-20-12'!O23</f>
        <v>0</v>
      </c>
      <c r="P4" s="42">
        <f>'STOCK 14-20-12'!P23</f>
        <v>545</v>
      </c>
      <c r="Q4" s="42">
        <f>'STOCK 14-20-12'!Q23</f>
        <v>0</v>
      </c>
      <c r="R4" s="42">
        <f>'STOCK 14-20-12'!R23</f>
        <v>825</v>
      </c>
      <c r="S4" s="42">
        <f>'STOCK 14-20-12'!S23</f>
        <v>0</v>
      </c>
      <c r="T4" s="42">
        <f>'STOCK 14-20-12'!T23</f>
        <v>350</v>
      </c>
      <c r="U4" s="42">
        <f>'STOCK 14-20-12'!U23</f>
        <v>204</v>
      </c>
      <c r="V4" s="42">
        <f>'STOCK 14-20-12'!V23</f>
        <v>0</v>
      </c>
      <c r="W4" s="42">
        <f>'STOCK 14-20-12'!W23</f>
        <v>600</v>
      </c>
      <c r="X4" s="42">
        <f>'STOCK 14-20-12'!X23</f>
        <v>0</v>
      </c>
      <c r="Y4" s="42">
        <f>'STOCK 14-20-12'!Y23</f>
        <v>0</v>
      </c>
      <c r="Z4" s="42">
        <f>'STOCK 14-20-12'!Z23</f>
        <v>282</v>
      </c>
      <c r="AA4" s="42">
        <f>'STOCK 14-20-12'!AA23</f>
        <v>0</v>
      </c>
      <c r="AB4" s="42">
        <f>'STOCK 14-20-12'!AB23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46017</v>
      </c>
      <c r="C6" s="82" t="s">
        <v>46</v>
      </c>
      <c r="D6" s="27">
        <v>1500</v>
      </c>
      <c r="F6" s="35"/>
      <c r="H6" s="31"/>
      <c r="I6" s="13"/>
      <c r="J6" s="35"/>
      <c r="L6" s="35"/>
      <c r="M6" s="35"/>
      <c r="N6" s="14">
        <v>500</v>
      </c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/>
      <c r="C7" s="82"/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ht="15.75" thickBot="1" x14ac:dyDescent="0.3">
      <c r="A11" s="312"/>
      <c r="B11" s="72"/>
      <c r="C11" s="17"/>
      <c r="D11" s="28"/>
      <c r="E11" s="18"/>
      <c r="F11" s="36"/>
      <c r="G11" s="18"/>
      <c r="H11" s="32"/>
      <c r="I11" s="16"/>
      <c r="J11" s="36"/>
      <c r="K11" s="18"/>
      <c r="L11" s="36"/>
      <c r="M11" s="36"/>
      <c r="N11" s="17"/>
      <c r="O11" s="28"/>
      <c r="P11" s="18"/>
      <c r="Q11" s="18"/>
      <c r="R11" s="18"/>
      <c r="S11" s="32"/>
      <c r="T11" s="16"/>
      <c r="U11" s="18"/>
      <c r="V11" s="18"/>
      <c r="W11" s="32"/>
      <c r="X11" s="16"/>
      <c r="Y11" s="32"/>
      <c r="Z11" s="18"/>
      <c r="AA11" s="95"/>
      <c r="AB11" s="19"/>
    </row>
    <row r="12" spans="1:28" x14ac:dyDescent="0.25">
      <c r="A12" s="310" t="s">
        <v>62</v>
      </c>
      <c r="B12" s="20"/>
      <c r="C12" s="14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>
        <v>46012</v>
      </c>
      <c r="C13" s="14" t="s">
        <v>22</v>
      </c>
      <c r="D13" s="27"/>
      <c r="E13">
        <v>12</v>
      </c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>
        <v>46013</v>
      </c>
      <c r="C14" s="14" t="s">
        <v>22</v>
      </c>
      <c r="D14" s="27"/>
      <c r="F14" s="35"/>
      <c r="H14" s="31"/>
      <c r="I14" s="13"/>
      <c r="J14" s="35">
        <f>600+2000-110</f>
        <v>2490</v>
      </c>
      <c r="L14" s="35"/>
      <c r="M14" s="35">
        <v>500</v>
      </c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46014</v>
      </c>
      <c r="C15" s="14" t="s">
        <v>22</v>
      </c>
      <c r="D15" s="27"/>
      <c r="F15" s="35"/>
      <c r="H15" s="31"/>
      <c r="I15" s="13"/>
      <c r="J15" s="35">
        <v>1500</v>
      </c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46015</v>
      </c>
      <c r="C16" s="14" t="s">
        <v>22</v>
      </c>
      <c r="D16" s="27"/>
      <c r="F16" s="35"/>
      <c r="H16" s="31"/>
      <c r="I16" s="13"/>
      <c r="J16" s="35">
        <v>1000</v>
      </c>
      <c r="L16" s="35"/>
      <c r="M16" s="35"/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46017</v>
      </c>
      <c r="C17" s="14" t="s">
        <v>22</v>
      </c>
      <c r="D17" s="27">
        <v>800</v>
      </c>
      <c r="F17" s="35">
        <v>1000</v>
      </c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46018</v>
      </c>
      <c r="C18" s="14" t="s">
        <v>22</v>
      </c>
      <c r="D18" s="27">
        <v>200</v>
      </c>
      <c r="E18">
        <v>4</v>
      </c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21.75" thickBot="1" x14ac:dyDescent="0.3">
      <c r="A23" s="21" t="s">
        <v>23</v>
      </c>
      <c r="B23" s="22"/>
      <c r="C23" s="23"/>
      <c r="D23" s="29">
        <f t="shared" ref="D23:AB23" si="0">SUM(D4:D11)-SUM(D12:D22)</f>
        <v>524</v>
      </c>
      <c r="E23" s="22">
        <f t="shared" si="0"/>
        <v>484</v>
      </c>
      <c r="F23" s="37">
        <f t="shared" si="0"/>
        <v>300</v>
      </c>
      <c r="G23" s="24">
        <f t="shared" si="0"/>
        <v>0</v>
      </c>
      <c r="H23" s="33">
        <f t="shared" si="0"/>
        <v>1478</v>
      </c>
      <c r="I23" s="22">
        <f t="shared" si="0"/>
        <v>0</v>
      </c>
      <c r="J23" s="37">
        <f t="shared" si="0"/>
        <v>0</v>
      </c>
      <c r="K23" s="24">
        <f t="shared" si="0"/>
        <v>6698</v>
      </c>
      <c r="L23" s="37">
        <f t="shared" si="0"/>
        <v>101</v>
      </c>
      <c r="M23" s="37">
        <f>SUM(M4:M11)-SUM(M12:M22)</f>
        <v>693</v>
      </c>
      <c r="N23" s="23">
        <f t="shared" si="0"/>
        <v>500</v>
      </c>
      <c r="O23" s="29">
        <f t="shared" si="0"/>
        <v>0</v>
      </c>
      <c r="P23" s="29">
        <f t="shared" si="0"/>
        <v>545</v>
      </c>
      <c r="Q23" s="29">
        <f t="shared" si="0"/>
        <v>0</v>
      </c>
      <c r="R23" s="24">
        <f t="shared" si="0"/>
        <v>825</v>
      </c>
      <c r="S23" s="33">
        <f t="shared" si="0"/>
        <v>0</v>
      </c>
      <c r="T23" s="22">
        <f t="shared" si="0"/>
        <v>350</v>
      </c>
      <c r="U23" s="22">
        <f t="shared" si="0"/>
        <v>204</v>
      </c>
      <c r="V23" s="22">
        <f t="shared" si="0"/>
        <v>0</v>
      </c>
      <c r="W23" s="33">
        <f t="shared" si="0"/>
        <v>600</v>
      </c>
      <c r="X23" s="22">
        <f t="shared" si="0"/>
        <v>0</v>
      </c>
      <c r="Y23" s="33">
        <f t="shared" si="0"/>
        <v>0</v>
      </c>
      <c r="Z23" s="22">
        <f t="shared" si="0"/>
        <v>282</v>
      </c>
      <c r="AA23" s="96">
        <f t="shared" si="0"/>
        <v>0</v>
      </c>
      <c r="AB23" s="25">
        <f t="shared" si="0"/>
        <v>20</v>
      </c>
    </row>
    <row r="25" spans="1:28" x14ac:dyDescent="0.25">
      <c r="D25">
        <f>D23*0.43-(24*0.02)</f>
        <v>224.84</v>
      </c>
      <c r="E25">
        <f>+E23*0.41</f>
        <v>198.44</v>
      </c>
      <c r="F25">
        <f>+F23*0.52</f>
        <v>156</v>
      </c>
      <c r="G25">
        <f>+G23*0.38</f>
        <v>0</v>
      </c>
      <c r="H25">
        <f>+H23*0.47-(160*0.07)</f>
        <v>683.45999999999992</v>
      </c>
      <c r="I25">
        <f>+I23*0.58</f>
        <v>0</v>
      </c>
      <c r="J25">
        <f>+J23*0.635</f>
        <v>0</v>
      </c>
      <c r="K25" s="50">
        <f>+K23*0.93</f>
        <v>6229.14</v>
      </c>
      <c r="L25">
        <f>+L23*0.69</f>
        <v>69.69</v>
      </c>
      <c r="M25">
        <f>+M23*0.74</f>
        <v>512.82000000000005</v>
      </c>
      <c r="N25">
        <f>+N23*0.64</f>
        <v>320</v>
      </c>
      <c r="O25">
        <f>+O23*2.3</f>
        <v>0</v>
      </c>
      <c r="P25">
        <f>+P23*2.1</f>
        <v>1144.5</v>
      </c>
      <c r="Q25">
        <f>Q23*1.95</f>
        <v>0</v>
      </c>
      <c r="R25">
        <f>+R23*2</f>
        <v>1650</v>
      </c>
      <c r="S25">
        <f>+S23*1.57</f>
        <v>0</v>
      </c>
      <c r="T25">
        <f>+T23*2.1</f>
        <v>735</v>
      </c>
      <c r="U25">
        <f>+U23*2.35</f>
        <v>479.40000000000003</v>
      </c>
      <c r="V25">
        <f>+V23*2.55</f>
        <v>0</v>
      </c>
      <c r="W25">
        <f>+W23*2.15</f>
        <v>1290</v>
      </c>
      <c r="X25">
        <f>+X23*0.44</f>
        <v>0</v>
      </c>
      <c r="Y25">
        <f>+Y23*0.34</f>
        <v>0</v>
      </c>
      <c r="Z25" s="50">
        <f>+Z23*2.275+(32*0.025)</f>
        <v>642.34999999999991</v>
      </c>
      <c r="AA25">
        <f>+AA23*0.58</f>
        <v>0</v>
      </c>
      <c r="AB25">
        <f>+AB23*1.75</f>
        <v>35</v>
      </c>
    </row>
    <row r="26" spans="1:28" x14ac:dyDescent="0.25">
      <c r="AB26" s="39">
        <f>SUM(D25:AB25)</f>
        <v>14370.64</v>
      </c>
    </row>
    <row r="27" spans="1:28" x14ac:dyDescent="0.25"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37" spans="3:3" x14ac:dyDescent="0.25">
      <c r="C37" s="98"/>
    </row>
  </sheetData>
  <mergeCells count="7">
    <mergeCell ref="X2:Y2"/>
    <mergeCell ref="A4:A11"/>
    <mergeCell ref="A12:A22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C126-A606-4DB7-BF2C-25EBA6C555B0}">
  <dimension ref="A1:AB36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14" sqref="P1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21-27-12'!D23</f>
        <v>524</v>
      </c>
      <c r="E4" s="42">
        <f>'STOCK 21-27-12'!E23</f>
        <v>484</v>
      </c>
      <c r="F4" s="42">
        <f>'STOCK 21-27-12'!F23</f>
        <v>300</v>
      </c>
      <c r="G4" s="42">
        <f>'STOCK 21-27-12'!G23</f>
        <v>0</v>
      </c>
      <c r="H4" s="42">
        <f>'STOCK 21-27-12'!H23</f>
        <v>1478</v>
      </c>
      <c r="I4" s="42">
        <f>'STOCK 21-27-12'!I23</f>
        <v>0</v>
      </c>
      <c r="J4" s="42">
        <f>'STOCK 21-27-12'!J23</f>
        <v>0</v>
      </c>
      <c r="K4" s="42">
        <f>'STOCK 21-27-12'!K23</f>
        <v>6698</v>
      </c>
      <c r="L4" s="42">
        <f>'STOCK 21-27-12'!L23</f>
        <v>101</v>
      </c>
      <c r="M4" s="42">
        <f>'STOCK 21-27-12'!M23</f>
        <v>693</v>
      </c>
      <c r="N4" s="42">
        <f>'STOCK 21-27-12'!N23</f>
        <v>500</v>
      </c>
      <c r="O4" s="42">
        <f>'STOCK 21-27-12'!O23</f>
        <v>0</v>
      </c>
      <c r="P4" s="42">
        <f>'STOCK 21-27-12'!P23</f>
        <v>545</v>
      </c>
      <c r="Q4" s="42">
        <f>'STOCK 21-27-12'!Q23</f>
        <v>0</v>
      </c>
      <c r="R4" s="42">
        <f>'STOCK 21-27-12'!R23</f>
        <v>825</v>
      </c>
      <c r="S4" s="42">
        <f>'STOCK 21-27-12'!S23</f>
        <v>0</v>
      </c>
      <c r="T4" s="42">
        <f>'STOCK 21-27-12'!T23</f>
        <v>350</v>
      </c>
      <c r="U4" s="42">
        <f>'STOCK 21-27-12'!U23</f>
        <v>204</v>
      </c>
      <c r="V4" s="42">
        <f>'STOCK 21-27-12'!V23</f>
        <v>0</v>
      </c>
      <c r="W4" s="42">
        <f>'STOCK 21-27-12'!W23</f>
        <v>600</v>
      </c>
      <c r="X4" s="42">
        <f>'STOCK 21-27-12'!X23</f>
        <v>0</v>
      </c>
      <c r="Y4" s="42">
        <f>'STOCK 21-27-12'!Y23</f>
        <v>0</v>
      </c>
      <c r="Z4" s="42">
        <f>'STOCK 21-27-12'!Z23</f>
        <v>282</v>
      </c>
      <c r="AA4" s="42">
        <f>'STOCK 21-27-12'!AA23</f>
        <v>0</v>
      </c>
      <c r="AB4" s="42">
        <f>'STOCK 21-27-12'!AB23</f>
        <v>20</v>
      </c>
    </row>
    <row r="5" spans="1:28" x14ac:dyDescent="0.25">
      <c r="A5" s="311"/>
      <c r="B5" s="20">
        <v>46385</v>
      </c>
      <c r="C5" s="82" t="s">
        <v>46</v>
      </c>
      <c r="D5" s="27"/>
      <c r="F5" s="35"/>
      <c r="H5" s="31"/>
      <c r="I5" s="13"/>
      <c r="J5" s="35">
        <v>4000</v>
      </c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46385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S6" s="31"/>
      <c r="T6" s="13">
        <v>1000</v>
      </c>
      <c r="W6" s="31"/>
      <c r="X6" s="13"/>
      <c r="Y6" s="31"/>
      <c r="AA6" s="94"/>
      <c r="AB6" s="15"/>
    </row>
    <row r="7" spans="1:28" x14ac:dyDescent="0.25">
      <c r="A7" s="311"/>
      <c r="B7" s="20">
        <v>46387</v>
      </c>
      <c r="C7" s="82" t="s">
        <v>27</v>
      </c>
      <c r="D7" s="27">
        <v>4500</v>
      </c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46024</v>
      </c>
      <c r="C8" s="82" t="s">
        <v>27</v>
      </c>
      <c r="D8" s="27">
        <v>1500</v>
      </c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46024</v>
      </c>
      <c r="C9" s="82" t="s">
        <v>46</v>
      </c>
      <c r="D9" s="27"/>
      <c r="F9" s="35"/>
      <c r="H9" s="31"/>
      <c r="I9" s="13"/>
      <c r="J9" s="35">
        <v>3000</v>
      </c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46025</v>
      </c>
      <c r="C10" s="82" t="s">
        <v>27</v>
      </c>
      <c r="D10" s="27"/>
      <c r="F10" s="35"/>
      <c r="H10" s="31"/>
      <c r="I10" s="13"/>
      <c r="J10" s="35"/>
      <c r="L10" s="35"/>
      <c r="M10" s="35"/>
      <c r="N10" s="14"/>
      <c r="O10" s="27"/>
      <c r="R10">
        <v>1200</v>
      </c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46025</v>
      </c>
      <c r="C11" s="82" t="s">
        <v>46</v>
      </c>
      <c r="D11" s="27"/>
      <c r="F11" s="35"/>
      <c r="H11" s="31"/>
      <c r="I11" s="13"/>
      <c r="J11" s="35">
        <v>4000</v>
      </c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ht="15.75" thickBot="1" x14ac:dyDescent="0.3">
      <c r="A12" s="312"/>
      <c r="B12" s="72"/>
      <c r="C12" s="17"/>
      <c r="D12" s="28"/>
      <c r="E12" s="18"/>
      <c r="F12" s="36"/>
      <c r="G12" s="18"/>
      <c r="H12" s="32"/>
      <c r="I12" s="16"/>
      <c r="J12" s="36"/>
      <c r="K12" s="18"/>
      <c r="L12" s="36"/>
      <c r="M12" s="36"/>
      <c r="N12" s="17"/>
      <c r="O12" s="28"/>
      <c r="P12" s="18"/>
      <c r="Q12" s="18"/>
      <c r="R12" s="18"/>
      <c r="S12" s="32"/>
      <c r="T12" s="16"/>
      <c r="U12" s="18"/>
      <c r="V12" s="18"/>
      <c r="W12" s="32"/>
      <c r="X12" s="16"/>
      <c r="Y12" s="32"/>
      <c r="Z12" s="18"/>
      <c r="AA12" s="95"/>
      <c r="AB12" s="19"/>
    </row>
    <row r="13" spans="1:28" x14ac:dyDescent="0.25">
      <c r="A13" s="310" t="s">
        <v>62</v>
      </c>
      <c r="B13" s="20"/>
      <c r="C13" s="14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>
        <v>46020</v>
      </c>
      <c r="C14" s="14" t="s">
        <v>22</v>
      </c>
      <c r="D14" s="27">
        <v>300</v>
      </c>
      <c r="F14" s="35"/>
      <c r="H14" s="31">
        <v>400</v>
      </c>
      <c r="I14" s="13"/>
      <c r="J14" s="35">
        <v>500</v>
      </c>
      <c r="L14" s="35"/>
      <c r="M14" s="35"/>
      <c r="N14" s="14"/>
      <c r="O14" s="27"/>
      <c r="P14">
        <v>50</v>
      </c>
      <c r="S14" s="31"/>
      <c r="T14" s="13">
        <v>200</v>
      </c>
      <c r="W14" s="31"/>
      <c r="X14" s="13"/>
      <c r="Y14" s="31"/>
      <c r="AA14" s="94"/>
      <c r="AB14" s="15"/>
    </row>
    <row r="15" spans="1:28" x14ac:dyDescent="0.25">
      <c r="A15" s="311"/>
      <c r="B15" s="20">
        <v>46021</v>
      </c>
      <c r="C15" s="14" t="s">
        <v>22</v>
      </c>
      <c r="D15" s="27">
        <v>75</v>
      </c>
      <c r="F15" s="35"/>
      <c r="H15" s="31">
        <f>70+100+500</f>
        <v>670</v>
      </c>
      <c r="I15" s="13"/>
      <c r="J15" s="35"/>
      <c r="L15" s="35">
        <v>101</v>
      </c>
      <c r="M15" s="35"/>
      <c r="N15" s="14"/>
      <c r="O15" s="27"/>
      <c r="S15" s="31"/>
      <c r="T15" s="13">
        <v>350</v>
      </c>
      <c r="W15" s="31"/>
      <c r="X15" s="13"/>
      <c r="Y15" s="31"/>
      <c r="AA15" s="94"/>
      <c r="AB15" s="15"/>
    </row>
    <row r="16" spans="1:28" x14ac:dyDescent="0.25">
      <c r="A16" s="311"/>
      <c r="B16" s="20">
        <v>46022</v>
      </c>
      <c r="C16" s="14" t="s">
        <v>22</v>
      </c>
      <c r="D16" s="27"/>
      <c r="F16" s="35"/>
      <c r="H16" s="31"/>
      <c r="I16" s="13"/>
      <c r="J16" s="35">
        <v>150</v>
      </c>
      <c r="L16" s="35"/>
      <c r="M16" s="35"/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46024</v>
      </c>
      <c r="C17" s="14" t="s">
        <v>22</v>
      </c>
      <c r="D17" s="27">
        <v>2000</v>
      </c>
      <c r="F17" s="35"/>
      <c r="H17" s="31">
        <v>408</v>
      </c>
      <c r="I17" s="13"/>
      <c r="J17" s="35"/>
      <c r="L17" s="35"/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46025</v>
      </c>
      <c r="C18" s="14" t="s">
        <v>22</v>
      </c>
      <c r="D18" s="27">
        <v>1300</v>
      </c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/>
      <c r="C20" s="14"/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ht="15.75" thickBot="1" x14ac:dyDescent="0.3">
      <c r="A21" s="312"/>
      <c r="B21" s="13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ht="21.75" thickBot="1" x14ac:dyDescent="0.3">
      <c r="A22" s="21" t="s">
        <v>23</v>
      </c>
      <c r="B22" s="22"/>
      <c r="C22" s="23"/>
      <c r="D22" s="29">
        <f t="shared" ref="D22:AB22" si="0">SUM(D4:D12)-SUM(D13:D21)</f>
        <v>2849</v>
      </c>
      <c r="E22" s="22">
        <f t="shared" si="0"/>
        <v>484</v>
      </c>
      <c r="F22" s="37">
        <f t="shared" si="0"/>
        <v>300</v>
      </c>
      <c r="G22" s="24">
        <f t="shared" si="0"/>
        <v>0</v>
      </c>
      <c r="H22" s="33">
        <f t="shared" si="0"/>
        <v>0</v>
      </c>
      <c r="I22" s="22">
        <f t="shared" si="0"/>
        <v>0</v>
      </c>
      <c r="J22" s="37">
        <f t="shared" si="0"/>
        <v>10350</v>
      </c>
      <c r="K22" s="24">
        <f t="shared" si="0"/>
        <v>6698</v>
      </c>
      <c r="L22" s="37">
        <f t="shared" si="0"/>
        <v>0</v>
      </c>
      <c r="M22" s="37">
        <f t="shared" si="0"/>
        <v>693</v>
      </c>
      <c r="N22" s="23">
        <f t="shared" si="0"/>
        <v>500</v>
      </c>
      <c r="O22" s="29">
        <f t="shared" si="0"/>
        <v>0</v>
      </c>
      <c r="P22" s="29">
        <f t="shared" si="0"/>
        <v>495</v>
      </c>
      <c r="Q22" s="29">
        <f t="shared" si="0"/>
        <v>0</v>
      </c>
      <c r="R22" s="24">
        <f t="shared" si="0"/>
        <v>2025</v>
      </c>
      <c r="S22" s="33">
        <f t="shared" si="0"/>
        <v>0</v>
      </c>
      <c r="T22" s="22">
        <f t="shared" si="0"/>
        <v>800</v>
      </c>
      <c r="U22" s="22">
        <f t="shared" si="0"/>
        <v>204</v>
      </c>
      <c r="V22" s="22">
        <f t="shared" si="0"/>
        <v>0</v>
      </c>
      <c r="W22" s="33">
        <f t="shared" si="0"/>
        <v>600</v>
      </c>
      <c r="X22" s="22">
        <f t="shared" si="0"/>
        <v>0</v>
      </c>
      <c r="Y22" s="33">
        <f t="shared" si="0"/>
        <v>0</v>
      </c>
      <c r="Z22" s="22">
        <f t="shared" si="0"/>
        <v>282</v>
      </c>
      <c r="AA22" s="96">
        <f t="shared" si="0"/>
        <v>0</v>
      </c>
      <c r="AB22" s="25">
        <f t="shared" si="0"/>
        <v>20</v>
      </c>
    </row>
    <row r="24" spans="1:28" x14ac:dyDescent="0.25">
      <c r="D24">
        <f>D22*0.43</f>
        <v>1225.07</v>
      </c>
      <c r="E24">
        <f>+E22*0.41</f>
        <v>198.44</v>
      </c>
      <c r="F24">
        <f>+F22*0.52</f>
        <v>156</v>
      </c>
      <c r="G24">
        <f>+G22*0.38</f>
        <v>0</v>
      </c>
      <c r="H24">
        <f>+H22*0.47</f>
        <v>0</v>
      </c>
      <c r="I24">
        <f>+I22*0.58</f>
        <v>0</v>
      </c>
      <c r="J24">
        <f>+J22*0.635</f>
        <v>6572.25</v>
      </c>
      <c r="K24" s="50">
        <f>+K22*0.93</f>
        <v>6229.14</v>
      </c>
      <c r="L24">
        <f>+L22*0.69</f>
        <v>0</v>
      </c>
      <c r="M24">
        <f>+M22*0.74</f>
        <v>512.82000000000005</v>
      </c>
      <c r="N24">
        <f>+N22*0.64</f>
        <v>320</v>
      </c>
      <c r="O24">
        <f>+O22*2.3</f>
        <v>0</v>
      </c>
      <c r="P24">
        <f>+P22*2.1</f>
        <v>1039.5</v>
      </c>
      <c r="Q24">
        <f>Q22*1.95</f>
        <v>0</v>
      </c>
      <c r="R24">
        <f>+R22*2</f>
        <v>4050</v>
      </c>
      <c r="S24">
        <f>+S22*1.57</f>
        <v>0</v>
      </c>
      <c r="T24">
        <f>+T22*2.1</f>
        <v>1680</v>
      </c>
      <c r="U24">
        <f>+U22*2.35</f>
        <v>479.40000000000003</v>
      </c>
      <c r="V24">
        <f>+V22*2.55</f>
        <v>0</v>
      </c>
      <c r="W24">
        <f>+W22*2.15</f>
        <v>1290</v>
      </c>
      <c r="X24">
        <f>+X22*0.44</f>
        <v>0</v>
      </c>
      <c r="Y24">
        <f>+Y22*0.34</f>
        <v>0</v>
      </c>
      <c r="Z24" s="50">
        <f>+Z22*2.275+(32*0.025)</f>
        <v>642.34999999999991</v>
      </c>
      <c r="AA24">
        <f>+AA22*0.58</f>
        <v>0</v>
      </c>
      <c r="AB24">
        <f>+AB22*1.75</f>
        <v>35</v>
      </c>
    </row>
    <row r="25" spans="1:28" x14ac:dyDescent="0.25">
      <c r="AB25" s="39">
        <f>SUM(D24:AB24)</f>
        <v>24429.97</v>
      </c>
    </row>
    <row r="26" spans="1:28" x14ac:dyDescent="0.25"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36" spans="3:3" x14ac:dyDescent="0.25">
      <c r="C36" s="98"/>
    </row>
  </sheetData>
  <mergeCells count="7">
    <mergeCell ref="X2:Y2"/>
    <mergeCell ref="A4:A12"/>
    <mergeCell ref="A13:A21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B368-1983-42B7-B1A3-30793D0C15BE}">
  <dimension ref="A1:AB37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34" sqref="H3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28-03-01'!D22</f>
        <v>2849</v>
      </c>
      <c r="E4" s="42">
        <f>'STOCK 28-03-01'!E22</f>
        <v>484</v>
      </c>
      <c r="F4" s="42">
        <f>'STOCK 28-03-01'!F22</f>
        <v>300</v>
      </c>
      <c r="G4" s="42">
        <f>'STOCK 28-03-01'!G22</f>
        <v>0</v>
      </c>
      <c r="H4" s="42">
        <f>'STOCK 28-03-01'!H22</f>
        <v>0</v>
      </c>
      <c r="I4" s="42">
        <f>'STOCK 28-03-01'!I22</f>
        <v>0</v>
      </c>
      <c r="J4" s="42">
        <f>'STOCK 28-03-01'!J22</f>
        <v>10350</v>
      </c>
      <c r="K4" s="42">
        <f>'STOCK 28-03-01'!K22</f>
        <v>6698</v>
      </c>
      <c r="L4" s="42">
        <f>'STOCK 28-03-01'!L22</f>
        <v>0</v>
      </c>
      <c r="M4" s="42">
        <f>'STOCK 28-03-01'!M22</f>
        <v>693</v>
      </c>
      <c r="N4" s="42">
        <f>'STOCK 28-03-01'!N22</f>
        <v>500</v>
      </c>
      <c r="O4" s="42">
        <f>'STOCK 28-03-01'!O22</f>
        <v>0</v>
      </c>
      <c r="P4" s="42">
        <f>'STOCK 28-03-01'!P22</f>
        <v>495</v>
      </c>
      <c r="Q4" s="42">
        <f>'STOCK 28-03-01'!Q22</f>
        <v>0</v>
      </c>
      <c r="R4" s="42">
        <f>'STOCK 28-03-01'!R22</f>
        <v>2025</v>
      </c>
      <c r="S4" s="42">
        <f>'STOCK 28-03-01'!S22</f>
        <v>0</v>
      </c>
      <c r="T4" s="42">
        <f>'STOCK 28-03-01'!T22</f>
        <v>800</v>
      </c>
      <c r="U4" s="42">
        <f>'STOCK 28-03-01'!U22</f>
        <v>204</v>
      </c>
      <c r="V4" s="42">
        <f>'STOCK 28-03-01'!V22</f>
        <v>0</v>
      </c>
      <c r="W4" s="42">
        <f>'STOCK 28-03-01'!W22</f>
        <v>600</v>
      </c>
      <c r="X4" s="42">
        <f>'STOCK 28-03-01'!X22</f>
        <v>0</v>
      </c>
      <c r="Y4" s="42">
        <f>'STOCK 28-03-01'!Y22</f>
        <v>0</v>
      </c>
      <c r="Z4" s="42">
        <f>'STOCK 28-03-01'!Z22</f>
        <v>282</v>
      </c>
      <c r="AA4" s="42">
        <f>'STOCK 28-03-01'!AA22</f>
        <v>0</v>
      </c>
      <c r="AB4" s="42">
        <f>'STOCK 28-03-01'!AB22</f>
        <v>20</v>
      </c>
    </row>
    <row r="5" spans="1:28" x14ac:dyDescent="0.25">
      <c r="A5" s="311"/>
      <c r="B5" s="20">
        <v>46027</v>
      </c>
      <c r="C5" s="82" t="s">
        <v>27</v>
      </c>
      <c r="D5" s="27"/>
      <c r="F5" s="35"/>
      <c r="H5" s="31"/>
      <c r="I5" s="13"/>
      <c r="J5" s="35">
        <v>3000</v>
      </c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46028</v>
      </c>
      <c r="C6" s="82" t="s">
        <v>46</v>
      </c>
      <c r="D6" s="27"/>
      <c r="F6" s="35"/>
      <c r="H6" s="31"/>
      <c r="I6" s="13"/>
      <c r="J6" s="35"/>
      <c r="L6" s="35"/>
      <c r="M6" s="35">
        <v>4000</v>
      </c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46029</v>
      </c>
      <c r="C7" s="82" t="s">
        <v>27</v>
      </c>
      <c r="D7" s="27">
        <v>1000</v>
      </c>
      <c r="F7" s="35"/>
      <c r="H7" s="31"/>
      <c r="I7" s="13"/>
      <c r="J7" s="35">
        <v>3000</v>
      </c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46029</v>
      </c>
      <c r="C8" s="82" t="s">
        <v>46</v>
      </c>
      <c r="D8" s="27"/>
      <c r="F8" s="35"/>
      <c r="H8" s="31"/>
      <c r="I8" s="13"/>
      <c r="J8" s="35">
        <v>3000</v>
      </c>
      <c r="L8" s="35"/>
      <c r="M8" s="35">
        <v>4000</v>
      </c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46030</v>
      </c>
      <c r="C9" s="82" t="s">
        <v>46</v>
      </c>
      <c r="D9" s="27"/>
      <c r="F9" s="35"/>
      <c r="H9" s="31"/>
      <c r="I9" s="13"/>
      <c r="J9" s="35"/>
      <c r="L9" s="35"/>
      <c r="M9" s="35"/>
      <c r="N9" s="14"/>
      <c r="O9" s="27"/>
      <c r="R9">
        <v>550</v>
      </c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46026</v>
      </c>
      <c r="C15" s="14" t="s">
        <v>22</v>
      </c>
      <c r="D15" s="27"/>
      <c r="F15" s="35"/>
      <c r="H15" s="31"/>
      <c r="I15" s="13"/>
      <c r="J15" s="35">
        <f>500+500</f>
        <v>1000</v>
      </c>
      <c r="K15">
        <v>1000</v>
      </c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46027</v>
      </c>
      <c r="C16" s="14" t="s">
        <v>22</v>
      </c>
      <c r="D16" s="27">
        <v>900</v>
      </c>
      <c r="F16" s="35">
        <v>300</v>
      </c>
      <c r="H16" s="31"/>
      <c r="I16" s="13"/>
      <c r="J16" s="35">
        <f>500+250</f>
        <v>750</v>
      </c>
      <c r="L16" s="35"/>
      <c r="M16" s="35"/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46028</v>
      </c>
      <c r="C17" s="14" t="s">
        <v>22</v>
      </c>
      <c r="D17" s="27">
        <v>2150</v>
      </c>
      <c r="F17" s="35"/>
      <c r="H17" s="31"/>
      <c r="I17" s="13"/>
      <c r="J17" s="35"/>
      <c r="L17" s="35"/>
      <c r="M17" s="35"/>
      <c r="N17" s="14"/>
      <c r="O17" s="27"/>
      <c r="S17" s="31"/>
      <c r="T17" s="13"/>
      <c r="W17" s="31">
        <v>600</v>
      </c>
      <c r="X17" s="13"/>
      <c r="Y17" s="31"/>
      <c r="AA17" s="94"/>
      <c r="AB17" s="15"/>
    </row>
    <row r="18" spans="1:28" x14ac:dyDescent="0.25">
      <c r="A18" s="311"/>
      <c r="B18" s="20">
        <v>46029</v>
      </c>
      <c r="C18" s="14" t="s">
        <v>22</v>
      </c>
      <c r="D18" s="27"/>
      <c r="F18" s="35"/>
      <c r="H18" s="31"/>
      <c r="I18" s="13"/>
      <c r="J18" s="35">
        <f>500+1500</f>
        <v>2000</v>
      </c>
      <c r="L18" s="35"/>
      <c r="M18" s="35">
        <v>1000</v>
      </c>
      <c r="N18" s="14"/>
      <c r="O18" s="27"/>
      <c r="R18">
        <v>370</v>
      </c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46030</v>
      </c>
      <c r="C19" s="14" t="s">
        <v>22</v>
      </c>
      <c r="D19" s="27"/>
      <c r="F19" s="35"/>
      <c r="H19" s="31"/>
      <c r="I19" s="13"/>
      <c r="J19" s="35">
        <v>36</v>
      </c>
      <c r="L19" s="35"/>
      <c r="M19" s="35">
        <v>2000</v>
      </c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46031</v>
      </c>
      <c r="C20" s="14" t="s">
        <v>22</v>
      </c>
      <c r="D20" s="27"/>
      <c r="F20" s="35"/>
      <c r="H20" s="31"/>
      <c r="I20" s="13"/>
      <c r="J20" s="35">
        <v>200</v>
      </c>
      <c r="L20" s="35"/>
      <c r="M20" s="35">
        <v>2000</v>
      </c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46032</v>
      </c>
      <c r="C21" s="14" t="s">
        <v>22</v>
      </c>
      <c r="D21" s="27"/>
      <c r="F21" s="35"/>
      <c r="H21" s="31"/>
      <c r="I21" s="13"/>
      <c r="J21" s="35">
        <v>450</v>
      </c>
      <c r="L21" s="35"/>
      <c r="M21" s="35"/>
      <c r="N21" s="14"/>
      <c r="O21" s="27"/>
      <c r="P21">
        <v>495</v>
      </c>
      <c r="R21">
        <v>5</v>
      </c>
      <c r="S21" s="31"/>
      <c r="T21" s="13"/>
      <c r="W21" s="31"/>
      <c r="X21" s="13"/>
      <c r="Y21" s="31"/>
      <c r="AA21" s="94"/>
      <c r="AB21" s="15"/>
    </row>
    <row r="22" spans="1:28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21.75" thickBot="1" x14ac:dyDescent="0.3">
      <c r="A23" s="21" t="s">
        <v>23</v>
      </c>
      <c r="B23" s="22"/>
      <c r="C23" s="23"/>
      <c r="D23" s="29">
        <f t="shared" ref="D23:AB23" si="0">SUM(D4:D13)-SUM(D14:D22)</f>
        <v>799</v>
      </c>
      <c r="E23" s="22">
        <f t="shared" si="0"/>
        <v>484</v>
      </c>
      <c r="F23" s="37">
        <f t="shared" si="0"/>
        <v>0</v>
      </c>
      <c r="G23" s="24">
        <f t="shared" si="0"/>
        <v>0</v>
      </c>
      <c r="H23" s="33">
        <f t="shared" si="0"/>
        <v>0</v>
      </c>
      <c r="I23" s="22">
        <f t="shared" si="0"/>
        <v>0</v>
      </c>
      <c r="J23" s="37">
        <f t="shared" si="0"/>
        <v>14914</v>
      </c>
      <c r="K23" s="24">
        <f t="shared" si="0"/>
        <v>5698</v>
      </c>
      <c r="L23" s="37">
        <f t="shared" si="0"/>
        <v>0</v>
      </c>
      <c r="M23" s="37">
        <f t="shared" si="0"/>
        <v>3693</v>
      </c>
      <c r="N23" s="23">
        <f t="shared" si="0"/>
        <v>500</v>
      </c>
      <c r="O23" s="29">
        <f t="shared" si="0"/>
        <v>0</v>
      </c>
      <c r="P23" s="29">
        <f t="shared" si="0"/>
        <v>0</v>
      </c>
      <c r="Q23" s="29">
        <f t="shared" si="0"/>
        <v>0</v>
      </c>
      <c r="R23" s="24">
        <f t="shared" si="0"/>
        <v>2200</v>
      </c>
      <c r="S23" s="33">
        <f t="shared" si="0"/>
        <v>0</v>
      </c>
      <c r="T23" s="22">
        <f t="shared" si="0"/>
        <v>800</v>
      </c>
      <c r="U23" s="22">
        <f t="shared" si="0"/>
        <v>204</v>
      </c>
      <c r="V23" s="22">
        <f t="shared" si="0"/>
        <v>0</v>
      </c>
      <c r="W23" s="33">
        <f t="shared" si="0"/>
        <v>0</v>
      </c>
      <c r="X23" s="22">
        <f t="shared" si="0"/>
        <v>0</v>
      </c>
      <c r="Y23" s="33">
        <f t="shared" si="0"/>
        <v>0</v>
      </c>
      <c r="Z23" s="22">
        <f t="shared" si="0"/>
        <v>282</v>
      </c>
      <c r="AA23" s="96">
        <f t="shared" si="0"/>
        <v>0</v>
      </c>
      <c r="AB23" s="25">
        <f t="shared" si="0"/>
        <v>20</v>
      </c>
    </row>
    <row r="25" spans="1:28" x14ac:dyDescent="0.25">
      <c r="D25">
        <f>D23*0.43</f>
        <v>343.57</v>
      </c>
      <c r="E25">
        <f>+E23*0.41</f>
        <v>198.44</v>
      </c>
      <c r="F25">
        <f>+F23*0.52</f>
        <v>0</v>
      </c>
      <c r="G25">
        <f>+G23*0.38</f>
        <v>0</v>
      </c>
      <c r="H25">
        <f>+H23*0.47</f>
        <v>0</v>
      </c>
      <c r="I25">
        <f>+I23*0.58</f>
        <v>0</v>
      </c>
      <c r="J25">
        <f>+J23*0.635</f>
        <v>9470.39</v>
      </c>
      <c r="K25" s="50">
        <f>+K23*0.93</f>
        <v>5299.14</v>
      </c>
      <c r="L25">
        <f>+L23*0.69</f>
        <v>0</v>
      </c>
      <c r="M25">
        <f>+M23*0.74</f>
        <v>2732.82</v>
      </c>
      <c r="N25">
        <f>+N23*0.64</f>
        <v>320</v>
      </c>
      <c r="O25">
        <f>+O23*2.3</f>
        <v>0</v>
      </c>
      <c r="P25">
        <f>+P23*2.1</f>
        <v>0</v>
      </c>
      <c r="Q25">
        <f>Q23*1.95</f>
        <v>0</v>
      </c>
      <c r="R25">
        <f>+R23*2</f>
        <v>4400</v>
      </c>
      <c r="S25">
        <f>+S23*1.57</f>
        <v>0</v>
      </c>
      <c r="T25">
        <f>+T23*2.1</f>
        <v>1680</v>
      </c>
      <c r="U25">
        <f>+U23*2.35</f>
        <v>479.40000000000003</v>
      </c>
      <c r="V25">
        <f>+V23*2.55</f>
        <v>0</v>
      </c>
      <c r="W25">
        <f>+W23*2.15</f>
        <v>0</v>
      </c>
      <c r="X25">
        <f>+X23*0.44</f>
        <v>0</v>
      </c>
      <c r="Y25">
        <f>+Y23*0.34</f>
        <v>0</v>
      </c>
      <c r="Z25" s="50">
        <f>+Z23*2.275+(32*0.025)</f>
        <v>642.34999999999991</v>
      </c>
      <c r="AA25">
        <f>+AA23*0.58</f>
        <v>0</v>
      </c>
      <c r="AB25">
        <f>+AB23*1.75</f>
        <v>35</v>
      </c>
    </row>
    <row r="26" spans="1:28" x14ac:dyDescent="0.25">
      <c r="AB26" s="39">
        <f>SUM(D25:AB25)</f>
        <v>25601.11</v>
      </c>
    </row>
    <row r="27" spans="1:28" x14ac:dyDescent="0.25"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37" spans="3:3" x14ac:dyDescent="0.25">
      <c r="C37" s="98"/>
    </row>
  </sheetData>
  <mergeCells count="7">
    <mergeCell ref="X2:Y2"/>
    <mergeCell ref="A4:A13"/>
    <mergeCell ref="A14:A22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38C6-81AE-4882-9B01-8E342FBA3B2F}">
  <dimension ref="A1:AB35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34" sqref="C34:K5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04-10-01'!D23</f>
        <v>799</v>
      </c>
      <c r="E4" s="42">
        <f>'STOCK 04-10-01'!E23</f>
        <v>484</v>
      </c>
      <c r="F4" s="42">
        <f>'STOCK 04-10-01'!F23</f>
        <v>0</v>
      </c>
      <c r="G4" s="42">
        <f>'STOCK 04-10-01'!G23</f>
        <v>0</v>
      </c>
      <c r="H4" s="42">
        <f>'STOCK 04-10-01'!H23</f>
        <v>0</v>
      </c>
      <c r="I4" s="42">
        <f>'STOCK 04-10-01'!I23</f>
        <v>0</v>
      </c>
      <c r="J4" s="42">
        <f>'STOCK 04-10-01'!J23</f>
        <v>14914</v>
      </c>
      <c r="K4" s="42">
        <f>'STOCK 04-10-01'!K23</f>
        <v>5698</v>
      </c>
      <c r="L4" s="42">
        <f>'STOCK 04-10-01'!L23</f>
        <v>0</v>
      </c>
      <c r="M4" s="42">
        <f>'STOCK 04-10-01'!M23</f>
        <v>3693</v>
      </c>
      <c r="N4" s="42">
        <f>'STOCK 04-10-01'!N23</f>
        <v>500</v>
      </c>
      <c r="O4" s="42">
        <f>'STOCK 04-10-01'!O23</f>
        <v>0</v>
      </c>
      <c r="P4" s="42">
        <f>'STOCK 04-10-01'!P23</f>
        <v>0</v>
      </c>
      <c r="Q4" s="42">
        <f>'STOCK 04-10-01'!Q23</f>
        <v>0</v>
      </c>
      <c r="R4" s="42">
        <f>'STOCK 04-10-01'!R23</f>
        <v>2200</v>
      </c>
      <c r="S4" s="42">
        <f>'STOCK 04-10-01'!S23</f>
        <v>0</v>
      </c>
      <c r="T4" s="42">
        <f>'STOCK 04-10-01'!T23</f>
        <v>800</v>
      </c>
      <c r="U4" s="42">
        <f>'STOCK 04-10-01'!U23</f>
        <v>204</v>
      </c>
      <c r="V4" s="42">
        <f>'STOCK 04-10-01'!V23</f>
        <v>0</v>
      </c>
      <c r="W4" s="42">
        <f>'STOCK 04-10-01'!W23</f>
        <v>0</v>
      </c>
      <c r="X4" s="42">
        <f>'STOCK 04-10-01'!X23</f>
        <v>0</v>
      </c>
      <c r="Y4" s="42">
        <f>'STOCK 04-10-01'!Y23</f>
        <v>0</v>
      </c>
      <c r="Z4" s="42">
        <f>'STOCK 04-10-01'!Z23</f>
        <v>282</v>
      </c>
      <c r="AA4" s="42">
        <f>'STOCK 04-10-01'!AA23</f>
        <v>0</v>
      </c>
      <c r="AB4" s="42">
        <f>'STOCK 04-10-01'!AB23</f>
        <v>20</v>
      </c>
    </row>
    <row r="5" spans="1:28" x14ac:dyDescent="0.25">
      <c r="A5" s="311"/>
      <c r="B5" s="20">
        <v>46037</v>
      </c>
      <c r="C5" s="82" t="s">
        <v>46</v>
      </c>
      <c r="D5" s="27"/>
      <c r="F5" s="35"/>
      <c r="H5" s="31"/>
      <c r="I5" s="13"/>
      <c r="J5" s="35"/>
      <c r="L5" s="35"/>
      <c r="M5" s="35"/>
      <c r="N5" s="14"/>
      <c r="O5" s="27">
        <v>500</v>
      </c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46038</v>
      </c>
      <c r="C6" s="82" t="s">
        <v>46</v>
      </c>
      <c r="D6" s="27"/>
      <c r="F6" s="35"/>
      <c r="H6" s="31"/>
      <c r="I6" s="13"/>
      <c r="J6" s="35"/>
      <c r="L6" s="35"/>
      <c r="M6" s="35">
        <v>4000</v>
      </c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/>
      <c r="C7" s="82"/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46034</v>
      </c>
      <c r="C15" s="14" t="s">
        <v>22</v>
      </c>
      <c r="D15" s="27">
        <v>799</v>
      </c>
      <c r="F15" s="35"/>
      <c r="H15" s="31"/>
      <c r="I15" s="13"/>
      <c r="J15" s="35">
        <v>400</v>
      </c>
      <c r="L15" s="35"/>
      <c r="M15" s="35">
        <v>1500</v>
      </c>
      <c r="N15" s="14"/>
      <c r="O15" s="27"/>
      <c r="S15" s="31"/>
      <c r="T15" s="13">
        <v>400</v>
      </c>
      <c r="W15" s="31"/>
      <c r="X15" s="13"/>
      <c r="Y15" s="31"/>
      <c r="AA15" s="94"/>
      <c r="AB15" s="15"/>
    </row>
    <row r="16" spans="1:28" x14ac:dyDescent="0.25">
      <c r="A16" s="311"/>
      <c r="B16" s="20">
        <v>46037</v>
      </c>
      <c r="C16" s="14" t="s">
        <v>22</v>
      </c>
      <c r="D16" s="27"/>
      <c r="F16" s="35"/>
      <c r="H16" s="31"/>
      <c r="I16" s="13"/>
      <c r="J16" s="35"/>
      <c r="K16">
        <v>1500</v>
      </c>
      <c r="L16" s="35"/>
      <c r="M16" s="35"/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46038</v>
      </c>
      <c r="C17" s="14" t="s">
        <v>22</v>
      </c>
      <c r="D17" s="27"/>
      <c r="F17" s="35"/>
      <c r="H17" s="31"/>
      <c r="I17" s="13"/>
      <c r="J17" s="35">
        <v>70</v>
      </c>
      <c r="L17" s="35"/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46039</v>
      </c>
      <c r="C18" s="14" t="s">
        <v>22</v>
      </c>
      <c r="D18" s="27"/>
      <c r="E18">
        <v>50</v>
      </c>
      <c r="F18" s="35"/>
      <c r="H18" s="31"/>
      <c r="I18" s="13"/>
      <c r="J18" s="35">
        <v>60</v>
      </c>
      <c r="L18" s="35"/>
      <c r="M18" s="35"/>
      <c r="N18" s="14"/>
      <c r="O18" s="27">
        <v>200</v>
      </c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/>
      <c r="C19" s="14"/>
      <c r="D19" s="27"/>
      <c r="F19" s="35"/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ht="15.75" thickBot="1" x14ac:dyDescent="0.3">
      <c r="A20" s="312"/>
      <c r="B20" s="13"/>
      <c r="C20" s="14"/>
      <c r="D20" s="27"/>
      <c r="F20" s="35"/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ht="21.75" thickBot="1" x14ac:dyDescent="0.3">
      <c r="A21" s="21" t="s">
        <v>23</v>
      </c>
      <c r="B21" s="22"/>
      <c r="C21" s="23"/>
      <c r="D21" s="29">
        <f t="shared" ref="D21:AB21" si="0">SUM(D4:D13)-SUM(D14:D20)</f>
        <v>0</v>
      </c>
      <c r="E21" s="22">
        <f t="shared" si="0"/>
        <v>434</v>
      </c>
      <c r="F21" s="37">
        <f t="shared" si="0"/>
        <v>0</v>
      </c>
      <c r="G21" s="24">
        <f t="shared" si="0"/>
        <v>0</v>
      </c>
      <c r="H21" s="33">
        <f t="shared" si="0"/>
        <v>0</v>
      </c>
      <c r="I21" s="22">
        <f t="shared" si="0"/>
        <v>0</v>
      </c>
      <c r="J21" s="37">
        <f t="shared" si="0"/>
        <v>14384</v>
      </c>
      <c r="K21" s="24">
        <f t="shared" si="0"/>
        <v>4198</v>
      </c>
      <c r="L21" s="37">
        <f t="shared" si="0"/>
        <v>0</v>
      </c>
      <c r="M21" s="37">
        <f t="shared" si="0"/>
        <v>6193</v>
      </c>
      <c r="N21" s="23">
        <f t="shared" si="0"/>
        <v>500</v>
      </c>
      <c r="O21" s="29">
        <f t="shared" si="0"/>
        <v>300</v>
      </c>
      <c r="P21" s="29">
        <f t="shared" si="0"/>
        <v>0</v>
      </c>
      <c r="Q21" s="29">
        <f t="shared" si="0"/>
        <v>0</v>
      </c>
      <c r="R21" s="24">
        <f t="shared" si="0"/>
        <v>2200</v>
      </c>
      <c r="S21" s="33">
        <f t="shared" si="0"/>
        <v>0</v>
      </c>
      <c r="T21" s="22">
        <f t="shared" si="0"/>
        <v>400</v>
      </c>
      <c r="U21" s="22">
        <f t="shared" si="0"/>
        <v>204</v>
      </c>
      <c r="V21" s="22">
        <f t="shared" si="0"/>
        <v>0</v>
      </c>
      <c r="W21" s="33">
        <f t="shared" si="0"/>
        <v>0</v>
      </c>
      <c r="X21" s="22">
        <f t="shared" si="0"/>
        <v>0</v>
      </c>
      <c r="Y21" s="33">
        <f t="shared" si="0"/>
        <v>0</v>
      </c>
      <c r="Z21" s="22">
        <f t="shared" si="0"/>
        <v>282</v>
      </c>
      <c r="AA21" s="96">
        <f t="shared" si="0"/>
        <v>0</v>
      </c>
      <c r="AB21" s="25">
        <f t="shared" si="0"/>
        <v>20</v>
      </c>
    </row>
    <row r="23" spans="1:28" x14ac:dyDescent="0.25">
      <c r="D23">
        <f>D21*0.43</f>
        <v>0</v>
      </c>
      <c r="E23">
        <f>+E21*0.41</f>
        <v>177.94</v>
      </c>
      <c r="F23">
        <f>+F21*0.52</f>
        <v>0</v>
      </c>
      <c r="G23">
        <f>+G21*0.38</f>
        <v>0</v>
      </c>
      <c r="H23">
        <f>+H21*0.47</f>
        <v>0</v>
      </c>
      <c r="I23">
        <f>+I21*0.58</f>
        <v>0</v>
      </c>
      <c r="J23">
        <f>+J21*0.635</f>
        <v>9133.84</v>
      </c>
      <c r="K23" s="50">
        <f>+K21*0.93</f>
        <v>3904.1400000000003</v>
      </c>
      <c r="L23">
        <f>+L21*0.69</f>
        <v>0</v>
      </c>
      <c r="M23">
        <f>+M21*0.74</f>
        <v>4582.82</v>
      </c>
      <c r="N23">
        <f>+N21*0.64</f>
        <v>320</v>
      </c>
      <c r="O23">
        <f>+O21*2.35</f>
        <v>705</v>
      </c>
      <c r="P23">
        <f>+P21*2.1</f>
        <v>0</v>
      </c>
      <c r="Q23">
        <f>Q21*1.95</f>
        <v>0</v>
      </c>
      <c r="R23">
        <f>+R21*2</f>
        <v>4400</v>
      </c>
      <c r="S23">
        <f>+S21*1.57</f>
        <v>0</v>
      </c>
      <c r="T23">
        <f>+T21*2.1</f>
        <v>840</v>
      </c>
      <c r="U23">
        <f>+U21*2.35</f>
        <v>479.40000000000003</v>
      </c>
      <c r="V23">
        <f>+V21*2.55</f>
        <v>0</v>
      </c>
      <c r="W23">
        <f>+W21*2.15</f>
        <v>0</v>
      </c>
      <c r="X23">
        <f>+X21*0.44</f>
        <v>0</v>
      </c>
      <c r="Y23">
        <f>+Y21*0.34</f>
        <v>0</v>
      </c>
      <c r="Z23" s="50">
        <f>+Z21*2.275+(32*0.025)</f>
        <v>642.34999999999991</v>
      </c>
      <c r="AA23">
        <f>+AA21*0.58</f>
        <v>0</v>
      </c>
      <c r="AB23">
        <f>+AB21*1.75</f>
        <v>35</v>
      </c>
    </row>
    <row r="24" spans="1:28" x14ac:dyDescent="0.25">
      <c r="AB24" s="39">
        <f>SUM(D23:AB23)</f>
        <v>25220.49</v>
      </c>
    </row>
    <row r="25" spans="1:28" x14ac:dyDescent="0.25"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</row>
    <row r="33" spans="3:15" x14ac:dyDescent="0.25">
      <c r="O33">
        <f>2026-1998</f>
        <v>28</v>
      </c>
    </row>
    <row r="35" spans="3:15" x14ac:dyDescent="0.25">
      <c r="C35" s="98"/>
    </row>
  </sheetData>
  <mergeCells count="7">
    <mergeCell ref="X2:Y2"/>
    <mergeCell ref="A4:A13"/>
    <mergeCell ref="A14:A20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3E71-C889-46F7-A291-77B233FF8194}">
  <dimension ref="A1:AB37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37" sqref="C37:J49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9.8554687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11-17-01'!D21</f>
        <v>0</v>
      </c>
      <c r="E4" s="42">
        <f>'STOCK 11-17-01'!E21</f>
        <v>434</v>
      </c>
      <c r="F4" s="42">
        <f>'STOCK 11-17-01'!F21</f>
        <v>0</v>
      </c>
      <c r="G4" s="42">
        <f>'STOCK 11-17-01'!G21</f>
        <v>0</v>
      </c>
      <c r="H4" s="42">
        <f>'STOCK 11-17-01'!H21</f>
        <v>0</v>
      </c>
      <c r="I4" s="42">
        <f>'STOCK 11-17-01'!I21</f>
        <v>0</v>
      </c>
      <c r="J4" s="42">
        <f>'STOCK 11-17-01'!J21</f>
        <v>14384</v>
      </c>
      <c r="K4" s="42">
        <f>'STOCK 11-17-01'!K21</f>
        <v>4198</v>
      </c>
      <c r="L4" s="42">
        <f>'STOCK 11-17-01'!L21</f>
        <v>0</v>
      </c>
      <c r="M4" s="42">
        <f>'STOCK 11-17-01'!M21</f>
        <v>6193</v>
      </c>
      <c r="N4" s="42">
        <f>'STOCK 11-17-01'!N21</f>
        <v>500</v>
      </c>
      <c r="O4" s="42">
        <f>'STOCK 11-17-01'!O21</f>
        <v>300</v>
      </c>
      <c r="P4" s="42">
        <f>'STOCK 11-17-01'!P21</f>
        <v>0</v>
      </c>
      <c r="Q4" s="42">
        <f>'STOCK 11-17-01'!Q21</f>
        <v>0</v>
      </c>
      <c r="R4" s="42">
        <f>'STOCK 11-17-01'!R21</f>
        <v>2200</v>
      </c>
      <c r="S4" s="42">
        <f>'STOCK 11-17-01'!S21</f>
        <v>0</v>
      </c>
      <c r="T4" s="42">
        <f>'STOCK 11-17-01'!T21</f>
        <v>400</v>
      </c>
      <c r="U4" s="42">
        <f>'STOCK 11-17-01'!U21</f>
        <v>204</v>
      </c>
      <c r="V4" s="42">
        <f>'STOCK 11-17-01'!V21</f>
        <v>0</v>
      </c>
      <c r="W4" s="42">
        <f>'STOCK 11-17-01'!W21</f>
        <v>0</v>
      </c>
      <c r="X4" s="42">
        <f>'STOCK 11-17-01'!X21</f>
        <v>0</v>
      </c>
      <c r="Y4" s="42">
        <f>'STOCK 11-17-01'!Y21</f>
        <v>0</v>
      </c>
      <c r="Z4" s="42">
        <f>'STOCK 11-17-01'!Z21</f>
        <v>282</v>
      </c>
      <c r="AA4" s="42">
        <f>'STOCK 11-17-01'!AA21</f>
        <v>0</v>
      </c>
      <c r="AB4" s="42">
        <f>'STOCK 11-17-01'!AB21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46041</v>
      </c>
      <c r="C6" s="82" t="s">
        <v>46</v>
      </c>
      <c r="D6" s="27"/>
      <c r="F6" s="35"/>
      <c r="H6" s="31"/>
      <c r="I6" s="13"/>
      <c r="J6" s="35"/>
      <c r="L6" s="35"/>
      <c r="M6" s="35"/>
      <c r="N6" s="14">
        <v>4000</v>
      </c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46044</v>
      </c>
      <c r="C7" s="82" t="s">
        <v>46</v>
      </c>
      <c r="D7" s="27"/>
      <c r="F7" s="35"/>
      <c r="H7" s="31"/>
      <c r="I7" s="13"/>
      <c r="J7" s="35"/>
      <c r="L7" s="35"/>
      <c r="M7" s="35">
        <v>4000</v>
      </c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/>
      <c r="C8" s="82"/>
      <c r="D8" s="27"/>
      <c r="F8" s="35"/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46040</v>
      </c>
      <c r="C15" s="14" t="s">
        <v>22</v>
      </c>
      <c r="D15" s="27"/>
      <c r="F15" s="35"/>
      <c r="H15" s="31"/>
      <c r="I15" s="13"/>
      <c r="J15" s="35">
        <v>1000</v>
      </c>
      <c r="L15" s="35"/>
      <c r="M15" s="35">
        <v>2000</v>
      </c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46041</v>
      </c>
      <c r="C16" s="14" t="s">
        <v>22</v>
      </c>
      <c r="D16" s="27"/>
      <c r="F16" s="35"/>
      <c r="H16" s="31"/>
      <c r="I16" s="13"/>
      <c r="J16" s="35"/>
      <c r="L16" s="35"/>
      <c r="M16" s="35"/>
      <c r="N16" s="14"/>
      <c r="O16" s="27"/>
      <c r="R16">
        <v>200</v>
      </c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46042</v>
      </c>
      <c r="C17" s="14" t="s">
        <v>22</v>
      </c>
      <c r="D17" s="27"/>
      <c r="F17" s="35"/>
      <c r="H17" s="31"/>
      <c r="I17" s="13"/>
      <c r="J17" s="35"/>
      <c r="K17">
        <v>1000</v>
      </c>
      <c r="L17" s="35"/>
      <c r="M17" s="35">
        <f>2000+500</f>
        <v>2500</v>
      </c>
      <c r="N17" s="14"/>
      <c r="O17" s="27">
        <v>170</v>
      </c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46043</v>
      </c>
      <c r="C18" s="14" t="s">
        <v>22</v>
      </c>
      <c r="D18" s="27"/>
      <c r="F18" s="35"/>
      <c r="H18" s="31"/>
      <c r="I18" s="13"/>
      <c r="J18" s="35">
        <f>500+600</f>
        <v>1100</v>
      </c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46044</v>
      </c>
      <c r="C19" s="14" t="s">
        <v>22</v>
      </c>
      <c r="D19" s="27"/>
      <c r="F19" s="35"/>
      <c r="H19" s="31"/>
      <c r="I19" s="13"/>
      <c r="J19" s="35">
        <v>1000</v>
      </c>
      <c r="L19" s="35"/>
      <c r="M19" s="35"/>
      <c r="N19" s="14"/>
      <c r="O19" s="27">
        <v>128</v>
      </c>
      <c r="S19" s="31"/>
      <c r="T19" s="13">
        <v>300</v>
      </c>
      <c r="W19" s="31"/>
      <c r="X19" s="13"/>
      <c r="Y19" s="31"/>
      <c r="AA19" s="94"/>
      <c r="AB19" s="15"/>
    </row>
    <row r="20" spans="1:28" x14ac:dyDescent="0.25">
      <c r="A20" s="311"/>
      <c r="B20" s="20">
        <v>46045</v>
      </c>
      <c r="C20" s="14" t="s">
        <v>22</v>
      </c>
      <c r="D20" s="27"/>
      <c r="F20" s="35"/>
      <c r="H20" s="31"/>
      <c r="I20" s="13"/>
      <c r="J20" s="35">
        <v>1000</v>
      </c>
      <c r="L20" s="35"/>
      <c r="M20" s="35">
        <v>500</v>
      </c>
      <c r="N20" s="14"/>
      <c r="O20" s="27"/>
      <c r="R20">
        <v>70</v>
      </c>
      <c r="S20" s="31"/>
      <c r="T20" s="13">
        <v>35</v>
      </c>
      <c r="W20" s="31"/>
      <c r="X20" s="13"/>
      <c r="Y20" s="31"/>
      <c r="AA20" s="94"/>
      <c r="AB20" s="15"/>
    </row>
    <row r="21" spans="1:28" x14ac:dyDescent="0.25">
      <c r="A21" s="311"/>
      <c r="B21" s="20">
        <v>46046</v>
      </c>
      <c r="C21" s="14" t="s">
        <v>22</v>
      </c>
      <c r="D21" s="27"/>
      <c r="F21" s="35"/>
      <c r="H21" s="31"/>
      <c r="I21" s="13"/>
      <c r="J21" s="35">
        <v>250</v>
      </c>
      <c r="L21" s="35"/>
      <c r="M21" s="35">
        <v>50</v>
      </c>
      <c r="N21" s="14"/>
      <c r="O21" s="27"/>
      <c r="R21">
        <v>600</v>
      </c>
      <c r="S21" s="31"/>
      <c r="T21" s="13"/>
      <c r="W21" s="31"/>
      <c r="X21" s="13"/>
      <c r="Y21" s="31"/>
      <c r="AA21" s="94"/>
      <c r="AB21" s="15"/>
    </row>
    <row r="22" spans="1:28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21.75" thickBot="1" x14ac:dyDescent="0.3">
      <c r="A23" s="21" t="s">
        <v>23</v>
      </c>
      <c r="B23" s="22"/>
      <c r="C23" s="23"/>
      <c r="D23" s="29">
        <f t="shared" ref="D23:AB23" si="0">SUM(D4:D13)-SUM(D14:D22)</f>
        <v>0</v>
      </c>
      <c r="E23" s="22">
        <f t="shared" si="0"/>
        <v>434</v>
      </c>
      <c r="F23" s="37">
        <f t="shared" si="0"/>
        <v>0</v>
      </c>
      <c r="G23" s="24">
        <f t="shared" si="0"/>
        <v>0</v>
      </c>
      <c r="H23" s="33">
        <f t="shared" si="0"/>
        <v>0</v>
      </c>
      <c r="I23" s="22">
        <f t="shared" si="0"/>
        <v>0</v>
      </c>
      <c r="J23" s="37">
        <f t="shared" si="0"/>
        <v>10034</v>
      </c>
      <c r="K23" s="24">
        <f t="shared" si="0"/>
        <v>3198</v>
      </c>
      <c r="L23" s="37">
        <f t="shared" si="0"/>
        <v>0</v>
      </c>
      <c r="M23" s="37">
        <f t="shared" si="0"/>
        <v>5143</v>
      </c>
      <c r="N23" s="23">
        <f t="shared" si="0"/>
        <v>4500</v>
      </c>
      <c r="O23" s="29">
        <f t="shared" si="0"/>
        <v>2</v>
      </c>
      <c r="P23" s="29">
        <f t="shared" si="0"/>
        <v>0</v>
      </c>
      <c r="Q23" s="29">
        <f t="shared" si="0"/>
        <v>0</v>
      </c>
      <c r="R23" s="24">
        <f t="shared" si="0"/>
        <v>1330</v>
      </c>
      <c r="S23" s="33">
        <f t="shared" si="0"/>
        <v>0</v>
      </c>
      <c r="T23" s="22">
        <f t="shared" si="0"/>
        <v>65</v>
      </c>
      <c r="U23" s="22">
        <f t="shared" si="0"/>
        <v>204</v>
      </c>
      <c r="V23" s="22">
        <f t="shared" si="0"/>
        <v>0</v>
      </c>
      <c r="W23" s="33">
        <f t="shared" si="0"/>
        <v>0</v>
      </c>
      <c r="X23" s="22">
        <f t="shared" si="0"/>
        <v>0</v>
      </c>
      <c r="Y23" s="33">
        <f t="shared" si="0"/>
        <v>0</v>
      </c>
      <c r="Z23" s="22">
        <f t="shared" si="0"/>
        <v>282</v>
      </c>
      <c r="AA23" s="96">
        <f t="shared" si="0"/>
        <v>0</v>
      </c>
      <c r="AB23" s="25">
        <f t="shared" si="0"/>
        <v>20</v>
      </c>
    </row>
    <row r="25" spans="1:28" x14ac:dyDescent="0.25">
      <c r="D25">
        <f>D23*0.43</f>
        <v>0</v>
      </c>
      <c r="E25">
        <f>+E23*0.41</f>
        <v>177.94</v>
      </c>
      <c r="F25">
        <f>+F23*0.52</f>
        <v>0</v>
      </c>
      <c r="G25">
        <f>+G23*0.38</f>
        <v>0</v>
      </c>
      <c r="H25">
        <f>+H23*0.47</f>
        <v>0</v>
      </c>
      <c r="I25">
        <f>+I23*0.58</f>
        <v>0</v>
      </c>
      <c r="J25">
        <f>+J23*0.635</f>
        <v>6371.59</v>
      </c>
      <c r="K25" s="50">
        <f>+K23*0.93</f>
        <v>2974.1400000000003</v>
      </c>
      <c r="L25">
        <f>+L23*0.69</f>
        <v>0</v>
      </c>
      <c r="M25">
        <f>+M23*0.74</f>
        <v>3805.82</v>
      </c>
      <c r="N25">
        <f>+N23*0.66-(500*0.02)</f>
        <v>2960</v>
      </c>
      <c r="O25">
        <f>+O23*2.35</f>
        <v>4.7</v>
      </c>
      <c r="P25">
        <f>+P23*2.1</f>
        <v>0</v>
      </c>
      <c r="Q25">
        <f>Q23*1.95</f>
        <v>0</v>
      </c>
      <c r="R25">
        <f>+R23*2</f>
        <v>2660</v>
      </c>
      <c r="S25">
        <f>+S23*1.57</f>
        <v>0</v>
      </c>
      <c r="T25">
        <f>+T23*2.1</f>
        <v>136.5</v>
      </c>
      <c r="U25">
        <f>+U23*2.35</f>
        <v>479.40000000000003</v>
      </c>
      <c r="V25">
        <f>+V23*2.55</f>
        <v>0</v>
      </c>
      <c r="W25">
        <f>+W23*2.15</f>
        <v>0</v>
      </c>
      <c r="X25">
        <f>+X23*0.44</f>
        <v>0</v>
      </c>
      <c r="Y25">
        <f>+Y23*0.34</f>
        <v>0</v>
      </c>
      <c r="Z25" s="50">
        <f>+Z23*2.275+(32*0.025)</f>
        <v>642.34999999999991</v>
      </c>
      <c r="AA25">
        <f>+AA23*0.58</f>
        <v>0</v>
      </c>
      <c r="AB25">
        <f>+AB23*1.75</f>
        <v>35</v>
      </c>
    </row>
    <row r="26" spans="1:28" x14ac:dyDescent="0.25">
      <c r="AB26" s="39">
        <f>SUM(D25:AB25)</f>
        <v>20247.440000000002</v>
      </c>
    </row>
    <row r="27" spans="1:28" x14ac:dyDescent="0.25"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9" spans="1:28" x14ac:dyDescent="0.25">
      <c r="O29">
        <f>128*2.35</f>
        <v>300.8</v>
      </c>
    </row>
    <row r="35" spans="3:15" x14ac:dyDescent="0.25">
      <c r="O35">
        <f>2026-1998</f>
        <v>28</v>
      </c>
    </row>
    <row r="37" spans="3:15" x14ac:dyDescent="0.25">
      <c r="C37" s="98"/>
    </row>
  </sheetData>
  <mergeCells count="7">
    <mergeCell ref="X2:Y2"/>
    <mergeCell ref="A4:A13"/>
    <mergeCell ref="A14:A22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9382-336B-48E3-B134-9D2E1A835515}">
  <dimension ref="A1:AB48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30" sqref="K3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10.42578125" bestFit="1" customWidth="1"/>
    <col min="15" max="15" width="8.7109375" bestFit="1" customWidth="1"/>
    <col min="16" max="16" width="10.5703125" customWidth="1"/>
    <col min="17" max="17" width="8.7109375" customWidth="1"/>
    <col min="18" max="18" width="9.8554687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18-24-01'!D23</f>
        <v>0</v>
      </c>
      <c r="E4" s="42">
        <f>'STOCK 18-24-01'!E23</f>
        <v>434</v>
      </c>
      <c r="F4" s="42">
        <f>'STOCK 18-24-01'!F23</f>
        <v>0</v>
      </c>
      <c r="G4" s="42">
        <f>'STOCK 18-24-01'!G23</f>
        <v>0</v>
      </c>
      <c r="H4" s="42">
        <f>'STOCK 18-24-01'!H23</f>
        <v>0</v>
      </c>
      <c r="I4" s="42">
        <f>'STOCK 18-24-01'!I23</f>
        <v>0</v>
      </c>
      <c r="J4" s="42">
        <f>'STOCK 18-24-01'!J23</f>
        <v>10034</v>
      </c>
      <c r="K4" s="42">
        <f>'STOCK 18-24-01'!K23</f>
        <v>3198</v>
      </c>
      <c r="L4" s="42">
        <f>'STOCK 18-24-01'!L23</f>
        <v>0</v>
      </c>
      <c r="M4" s="42">
        <f>'STOCK 18-24-01'!M23</f>
        <v>5143</v>
      </c>
      <c r="N4" s="42">
        <f>'STOCK 18-24-01'!N23</f>
        <v>4500</v>
      </c>
      <c r="O4" s="42">
        <f>'STOCK 18-24-01'!O23</f>
        <v>2</v>
      </c>
      <c r="P4" s="42">
        <f>'STOCK 18-24-01'!P23</f>
        <v>0</v>
      </c>
      <c r="Q4" s="42">
        <f>'STOCK 18-24-01'!Q23</f>
        <v>0</v>
      </c>
      <c r="R4" s="42">
        <f>'STOCK 18-24-01'!R23</f>
        <v>1330</v>
      </c>
      <c r="S4" s="42">
        <f>'STOCK 18-24-01'!S23</f>
        <v>0</v>
      </c>
      <c r="T4" s="42">
        <f>'STOCK 18-24-01'!T23</f>
        <v>65</v>
      </c>
      <c r="U4" s="42">
        <f>'STOCK 18-24-01'!U23</f>
        <v>204</v>
      </c>
      <c r="V4" s="42">
        <f>'STOCK 18-24-01'!V23</f>
        <v>0</v>
      </c>
      <c r="W4" s="42">
        <f>'STOCK 18-24-01'!W23</f>
        <v>0</v>
      </c>
      <c r="X4" s="42">
        <f>'STOCK 18-24-01'!X23</f>
        <v>0</v>
      </c>
      <c r="Y4" s="42">
        <f>'STOCK 18-24-01'!Y23</f>
        <v>0</v>
      </c>
      <c r="Z4" s="42">
        <f>'STOCK 18-24-01'!Z23</f>
        <v>282</v>
      </c>
      <c r="AA4" s="42">
        <f>'STOCK 18-24-01'!AA23</f>
        <v>0</v>
      </c>
      <c r="AB4" s="42">
        <f>'STOCK 18-24-01'!AB23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46048</v>
      </c>
      <c r="C6" s="82" t="s">
        <v>46</v>
      </c>
      <c r="D6" s="27">
        <v>1000</v>
      </c>
      <c r="F6" s="35"/>
      <c r="H6" s="31"/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46048</v>
      </c>
      <c r="C7" s="82" t="s">
        <v>27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>
        <v>1000</v>
      </c>
      <c r="W7" s="31"/>
      <c r="X7" s="13"/>
      <c r="Y7" s="31"/>
      <c r="AA7" s="94"/>
      <c r="AB7" s="15"/>
    </row>
    <row r="8" spans="1:28" x14ac:dyDescent="0.25">
      <c r="A8" s="311"/>
      <c r="B8" s="20">
        <v>46051</v>
      </c>
      <c r="C8" s="82" t="s">
        <v>27</v>
      </c>
      <c r="D8" s="27"/>
      <c r="F8" s="35"/>
      <c r="H8" s="31"/>
      <c r="I8" s="13"/>
      <c r="J8" s="35"/>
      <c r="L8" s="35"/>
      <c r="M8" s="35"/>
      <c r="N8" s="14"/>
      <c r="O8" s="27"/>
      <c r="R8">
        <v>1000</v>
      </c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46052</v>
      </c>
      <c r="C9" s="82" t="s">
        <v>46</v>
      </c>
      <c r="D9" s="27">
        <v>4000</v>
      </c>
      <c r="F9" s="35"/>
      <c r="H9" s="31"/>
      <c r="I9" s="13"/>
      <c r="J9" s="35"/>
      <c r="L9" s="35"/>
      <c r="M9" s="35"/>
      <c r="N9" s="14"/>
      <c r="O9" s="27"/>
      <c r="S9" s="31"/>
      <c r="T9" s="13">
        <v>300</v>
      </c>
      <c r="W9" s="31"/>
      <c r="X9" s="13"/>
      <c r="Y9" s="31"/>
      <c r="AA9" s="94"/>
      <c r="AB9" s="15"/>
    </row>
    <row r="10" spans="1:28" x14ac:dyDescent="0.25">
      <c r="A10" s="311"/>
      <c r="B10" s="20"/>
      <c r="C10" s="82"/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/>
      <c r="C11" s="82"/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ht="15.75" thickBot="1" x14ac:dyDescent="0.3">
      <c r="A13" s="312"/>
      <c r="B13" s="72"/>
      <c r="C13" s="17"/>
      <c r="D13" s="28"/>
      <c r="E13" s="18"/>
      <c r="F13" s="36"/>
      <c r="G13" s="18"/>
      <c r="H13" s="32"/>
      <c r="I13" s="16"/>
      <c r="J13" s="36"/>
      <c r="K13" s="18"/>
      <c r="L13" s="36"/>
      <c r="M13" s="36"/>
      <c r="N13" s="17"/>
      <c r="O13" s="28"/>
      <c r="P13" s="18"/>
      <c r="Q13" s="18"/>
      <c r="R13" s="18"/>
      <c r="S13" s="32"/>
      <c r="T13" s="16"/>
      <c r="U13" s="18"/>
      <c r="V13" s="18"/>
      <c r="W13" s="32"/>
      <c r="X13" s="16"/>
      <c r="Y13" s="32"/>
      <c r="Z13" s="18"/>
      <c r="AA13" s="95"/>
      <c r="AB13" s="19"/>
    </row>
    <row r="14" spans="1:28" x14ac:dyDescent="0.25">
      <c r="A14" s="310" t="s">
        <v>62</v>
      </c>
      <c r="B14" s="20"/>
      <c r="C14" s="14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>
        <v>46047</v>
      </c>
      <c r="C15" s="14" t="s">
        <v>22</v>
      </c>
      <c r="D15" s="27"/>
      <c r="F15" s="35"/>
      <c r="H15" s="31"/>
      <c r="I15" s="13"/>
      <c r="J15" s="35">
        <v>300</v>
      </c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46048</v>
      </c>
      <c r="C16" s="14" t="s">
        <v>22</v>
      </c>
      <c r="D16" s="27"/>
      <c r="E16">
        <v>100</v>
      </c>
      <c r="F16" s="35"/>
      <c r="H16" s="31"/>
      <c r="I16" s="13"/>
      <c r="J16" s="35"/>
      <c r="L16" s="35"/>
      <c r="M16" s="35">
        <v>400</v>
      </c>
      <c r="N16" s="14">
        <f>1900+200</f>
        <v>2100</v>
      </c>
      <c r="O16" s="27"/>
      <c r="S16" s="31"/>
      <c r="T16" s="13"/>
      <c r="W16" s="31"/>
      <c r="X16" s="13"/>
      <c r="Y16" s="31"/>
      <c r="Z16">
        <v>100</v>
      </c>
      <c r="AA16" s="94"/>
      <c r="AB16" s="15"/>
    </row>
    <row r="17" spans="1:28" x14ac:dyDescent="0.25">
      <c r="A17" s="311"/>
      <c r="B17" s="20">
        <v>46049</v>
      </c>
      <c r="C17" s="14" t="s">
        <v>22</v>
      </c>
      <c r="D17" s="27"/>
      <c r="F17" s="35"/>
      <c r="H17" s="31"/>
      <c r="I17" s="13"/>
      <c r="J17" s="35">
        <v>1000</v>
      </c>
      <c r="L17" s="35"/>
      <c r="M17" s="35">
        <v>400</v>
      </c>
      <c r="N17" s="14">
        <v>1000</v>
      </c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46050</v>
      </c>
      <c r="C18" s="14" t="s">
        <v>22</v>
      </c>
      <c r="D18" s="27"/>
      <c r="F18" s="35"/>
      <c r="H18" s="31"/>
      <c r="I18" s="13"/>
      <c r="J18" s="35"/>
      <c r="L18" s="35"/>
      <c r="M18" s="35">
        <f>1500</f>
        <v>1500</v>
      </c>
      <c r="N18" s="14"/>
      <c r="O18" s="27"/>
      <c r="S18" s="31"/>
      <c r="T18" s="13">
        <v>200</v>
      </c>
      <c r="W18" s="31"/>
      <c r="X18" s="13"/>
      <c r="Y18" s="31"/>
      <c r="AA18" s="94"/>
      <c r="AB18" s="15"/>
    </row>
    <row r="19" spans="1:28" x14ac:dyDescent="0.25">
      <c r="A19" s="311"/>
      <c r="B19" s="20">
        <v>46051</v>
      </c>
      <c r="C19" s="14" t="s">
        <v>22</v>
      </c>
      <c r="D19" s="27">
        <f>500+500</f>
        <v>1000</v>
      </c>
      <c r="E19">
        <v>100</v>
      </c>
      <c r="F19" s="35"/>
      <c r="H19" s="31"/>
      <c r="I19" s="13"/>
      <c r="J19" s="35">
        <f>250+200+2000</f>
        <v>2450</v>
      </c>
      <c r="L19" s="35"/>
      <c r="M19" s="35">
        <v>500</v>
      </c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46052</v>
      </c>
      <c r="C20" s="14" t="s">
        <v>22</v>
      </c>
      <c r="D20" s="27"/>
      <c r="F20" s="35"/>
      <c r="H20" s="31"/>
      <c r="I20" s="13"/>
      <c r="J20" s="35">
        <f>600+600</f>
        <v>1200</v>
      </c>
      <c r="L20" s="35"/>
      <c r="M20" s="35"/>
      <c r="N20" s="14"/>
      <c r="O20" s="27"/>
      <c r="R20">
        <v>440</v>
      </c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46053</v>
      </c>
      <c r="C21" s="14" t="s">
        <v>22</v>
      </c>
      <c r="D21" s="27">
        <f>500+500+500</f>
        <v>1500</v>
      </c>
      <c r="F21" s="35"/>
      <c r="H21" s="31"/>
      <c r="I21" s="13"/>
      <c r="J21" s="35">
        <v>1700</v>
      </c>
      <c r="L21" s="35"/>
      <c r="M21" s="35">
        <v>50</v>
      </c>
      <c r="N21" s="14"/>
      <c r="O21" s="27"/>
      <c r="S21" s="31"/>
      <c r="T21" s="13">
        <v>650</v>
      </c>
      <c r="W21" s="31"/>
      <c r="X21" s="13"/>
      <c r="Y21" s="31"/>
      <c r="AA21" s="94"/>
      <c r="AB21" s="15"/>
    </row>
    <row r="22" spans="1:28" ht="15.75" thickBot="1" x14ac:dyDescent="0.3">
      <c r="A22" s="312"/>
      <c r="B22" s="13"/>
      <c r="C22" s="14"/>
      <c r="D22" s="27"/>
      <c r="F22" s="35"/>
      <c r="H22" s="31"/>
      <c r="I22" s="13"/>
      <c r="J22" s="35"/>
      <c r="L22" s="35"/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21.75" thickBot="1" x14ac:dyDescent="0.3">
      <c r="A23" s="21" t="s">
        <v>23</v>
      </c>
      <c r="B23" s="22"/>
      <c r="C23" s="23"/>
      <c r="D23" s="29">
        <f t="shared" ref="D23:AB23" si="0">SUM(D4:D13)-SUM(D14:D22)</f>
        <v>2500</v>
      </c>
      <c r="E23" s="22">
        <f t="shared" si="0"/>
        <v>234</v>
      </c>
      <c r="F23" s="37">
        <f t="shared" si="0"/>
        <v>0</v>
      </c>
      <c r="G23" s="24">
        <f t="shared" si="0"/>
        <v>0</v>
      </c>
      <c r="H23" s="33">
        <f t="shared" si="0"/>
        <v>0</v>
      </c>
      <c r="I23" s="22">
        <f t="shared" si="0"/>
        <v>0</v>
      </c>
      <c r="J23" s="37">
        <f t="shared" si="0"/>
        <v>3384</v>
      </c>
      <c r="K23" s="24">
        <f t="shared" si="0"/>
        <v>3198</v>
      </c>
      <c r="L23" s="37">
        <f t="shared" si="0"/>
        <v>0</v>
      </c>
      <c r="M23" s="37">
        <f t="shared" si="0"/>
        <v>2293</v>
      </c>
      <c r="N23" s="23">
        <f t="shared" si="0"/>
        <v>1400</v>
      </c>
      <c r="O23" s="29">
        <f t="shared" si="0"/>
        <v>2</v>
      </c>
      <c r="P23" s="29">
        <f t="shared" si="0"/>
        <v>0</v>
      </c>
      <c r="Q23" s="29">
        <f t="shared" si="0"/>
        <v>0</v>
      </c>
      <c r="R23" s="24">
        <f t="shared" si="0"/>
        <v>1890</v>
      </c>
      <c r="S23" s="33">
        <f t="shared" si="0"/>
        <v>0</v>
      </c>
      <c r="T23" s="22">
        <f t="shared" si="0"/>
        <v>515</v>
      </c>
      <c r="U23" s="22">
        <f t="shared" si="0"/>
        <v>204</v>
      </c>
      <c r="V23" s="22">
        <f t="shared" si="0"/>
        <v>0</v>
      </c>
      <c r="W23" s="33">
        <f t="shared" si="0"/>
        <v>0</v>
      </c>
      <c r="X23" s="22">
        <f t="shared" si="0"/>
        <v>0</v>
      </c>
      <c r="Y23" s="33">
        <f t="shared" si="0"/>
        <v>0</v>
      </c>
      <c r="Z23" s="22">
        <f t="shared" si="0"/>
        <v>182</v>
      </c>
      <c r="AA23" s="96">
        <f t="shared" si="0"/>
        <v>0</v>
      </c>
      <c r="AB23" s="25">
        <f t="shared" si="0"/>
        <v>20</v>
      </c>
    </row>
    <row r="25" spans="1:28" x14ac:dyDescent="0.25">
      <c r="D25">
        <f>D23*0.46</f>
        <v>1150</v>
      </c>
      <c r="E25">
        <f>+E23*0.41</f>
        <v>95.94</v>
      </c>
      <c r="F25">
        <f>+F23*0.52</f>
        <v>0</v>
      </c>
      <c r="G25">
        <f>+G23*0.38</f>
        <v>0</v>
      </c>
      <c r="H25">
        <f>+H23*0.47</f>
        <v>0</v>
      </c>
      <c r="I25">
        <f>+I23*0.58</f>
        <v>0</v>
      </c>
      <c r="J25">
        <f>+J23*0.635</f>
        <v>2148.84</v>
      </c>
      <c r="K25" s="50">
        <f>+K23*0.93</f>
        <v>2974.1400000000003</v>
      </c>
      <c r="L25">
        <f>+L23*0.69</f>
        <v>0</v>
      </c>
      <c r="M25">
        <f>+M23*0.74</f>
        <v>1696.82</v>
      </c>
      <c r="N25">
        <f>+N23*0.66</f>
        <v>924</v>
      </c>
      <c r="O25">
        <f>+O23*2.35</f>
        <v>4.7</v>
      </c>
      <c r="P25">
        <f>+P23*2.1</f>
        <v>0</v>
      </c>
      <c r="Q25">
        <f>Q23*1.95</f>
        <v>0</v>
      </c>
      <c r="R25">
        <f>+R23*2.1-(890*0.1)</f>
        <v>3880</v>
      </c>
      <c r="S25">
        <f>+S23*1.57</f>
        <v>0</v>
      </c>
      <c r="T25">
        <f>+T23*2.2</f>
        <v>1133</v>
      </c>
      <c r="U25">
        <f>+U23*2.35</f>
        <v>479.40000000000003</v>
      </c>
      <c r="V25">
        <f>+V23*2.55</f>
        <v>0</v>
      </c>
      <c r="W25">
        <f>+W23*2.15</f>
        <v>0</v>
      </c>
      <c r="X25">
        <f>+X23*0.44</f>
        <v>0</v>
      </c>
      <c r="Y25">
        <f>+Y23*0.34</f>
        <v>0</v>
      </c>
      <c r="Z25" s="50">
        <f>+Z23*2.275+(32*0.025)</f>
        <v>414.85</v>
      </c>
      <c r="AA25">
        <f>+AA23*0.58</f>
        <v>0</v>
      </c>
      <c r="AB25">
        <f>+AB23*1.75</f>
        <v>35</v>
      </c>
    </row>
    <row r="26" spans="1:28" x14ac:dyDescent="0.25">
      <c r="AB26" s="39">
        <f>SUM(D25:AB25)</f>
        <v>14936.69</v>
      </c>
    </row>
    <row r="27" spans="1:28" x14ac:dyDescent="0.25"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x14ac:dyDescent="0.25">
      <c r="T28">
        <f>65*2.1</f>
        <v>136.5</v>
      </c>
    </row>
    <row r="29" spans="1:28" x14ac:dyDescent="0.25">
      <c r="T29">
        <f>135*2.2</f>
        <v>297</v>
      </c>
    </row>
    <row r="30" spans="1:28" x14ac:dyDescent="0.25">
      <c r="N30" s="60"/>
      <c r="T30">
        <f>SUM(T28:T29)</f>
        <v>433.5</v>
      </c>
    </row>
    <row r="31" spans="1:28" x14ac:dyDescent="0.25">
      <c r="O31">
        <f>5*40</f>
        <v>200</v>
      </c>
      <c r="T31" s="84">
        <f>T30/200</f>
        <v>2.1675</v>
      </c>
    </row>
    <row r="32" spans="1:28" x14ac:dyDescent="0.25">
      <c r="O32">
        <f>200*30.3</f>
        <v>6060</v>
      </c>
    </row>
    <row r="33" spans="3:15" x14ac:dyDescent="0.25">
      <c r="O33">
        <v>30.3</v>
      </c>
    </row>
    <row r="34" spans="3:15" x14ac:dyDescent="0.25">
      <c r="O34">
        <v>32.700000000000003</v>
      </c>
    </row>
    <row r="35" spans="3:15" x14ac:dyDescent="0.25">
      <c r="O35">
        <f>2026-1998</f>
        <v>28</v>
      </c>
    </row>
    <row r="37" spans="3:15" x14ac:dyDescent="0.25">
      <c r="C37" s="98" t="s">
        <v>118</v>
      </c>
      <c r="D37">
        <f>5050+180</f>
        <v>5230</v>
      </c>
      <c r="E37">
        <v>140</v>
      </c>
      <c r="F37">
        <f>-310+70+80</f>
        <v>-160</v>
      </c>
      <c r="G37">
        <f>8000+1340-200</f>
        <v>9140</v>
      </c>
      <c r="H37">
        <f>12540+400</f>
        <v>12940</v>
      </c>
      <c r="I37">
        <f>3670+1320-7150</f>
        <v>-2160</v>
      </c>
      <c r="J37">
        <f>1135+1030+24000+13100</f>
        <v>39265</v>
      </c>
    </row>
    <row r="38" spans="3:15" x14ac:dyDescent="0.25">
      <c r="C38" t="s">
        <v>119</v>
      </c>
      <c r="D38">
        <v>6500</v>
      </c>
      <c r="E38">
        <v>6500</v>
      </c>
      <c r="F38">
        <v>6500</v>
      </c>
      <c r="G38">
        <v>6500</v>
      </c>
      <c r="H38">
        <v>5800</v>
      </c>
      <c r="I38">
        <v>5800</v>
      </c>
      <c r="J38">
        <v>5800</v>
      </c>
    </row>
    <row r="39" spans="3:15" x14ac:dyDescent="0.25">
      <c r="C39" t="s">
        <v>120</v>
      </c>
      <c r="D39">
        <v>33280</v>
      </c>
      <c r="E39">
        <v>33280</v>
      </c>
      <c r="F39">
        <f>38060-1480</f>
        <v>36580</v>
      </c>
      <c r="G39">
        <v>27560</v>
      </c>
      <c r="H39">
        <v>24080</v>
      </c>
      <c r="I39">
        <v>42702</v>
      </c>
      <c r="J39">
        <v>0</v>
      </c>
    </row>
    <row r="40" spans="3:15" x14ac:dyDescent="0.25">
      <c r="C40" t="s">
        <v>123</v>
      </c>
      <c r="D40">
        <v>2960</v>
      </c>
      <c r="E40">
        <v>2960</v>
      </c>
      <c r="F40">
        <f>1150</f>
        <v>1150</v>
      </c>
      <c r="G40">
        <v>1980</v>
      </c>
      <c r="H40">
        <v>4000</v>
      </c>
      <c r="I40">
        <v>0</v>
      </c>
    </row>
    <row r="41" spans="3:15" x14ac:dyDescent="0.25">
      <c r="C41" t="s">
        <v>122</v>
      </c>
      <c r="D41">
        <v>1300</v>
      </c>
      <c r="E41">
        <v>1300</v>
      </c>
      <c r="F41">
        <v>1300</v>
      </c>
      <c r="G41">
        <v>1300</v>
      </c>
      <c r="H41">
        <v>1140</v>
      </c>
      <c r="I41">
        <v>1140</v>
      </c>
      <c r="J41">
        <v>1140</v>
      </c>
    </row>
    <row r="42" spans="3:15" x14ac:dyDescent="0.25">
      <c r="C42" t="s">
        <v>121</v>
      </c>
      <c r="D42">
        <v>-9815</v>
      </c>
      <c r="E42">
        <v>-4815</v>
      </c>
      <c r="F42">
        <v>-4815</v>
      </c>
      <c r="G42">
        <v>-4815</v>
      </c>
      <c r="H42">
        <v>-4815</v>
      </c>
      <c r="I42">
        <v>-4815</v>
      </c>
      <c r="J42">
        <v>-3609</v>
      </c>
    </row>
    <row r="44" spans="3:15" x14ac:dyDescent="0.25">
      <c r="D44">
        <f>SUM(D37:D43)</f>
        <v>39455</v>
      </c>
      <c r="E44">
        <f>SUM(E37:E42)</f>
        <v>39365</v>
      </c>
      <c r="F44">
        <f>SUM(F37:F42)</f>
        <v>40555</v>
      </c>
      <c r="G44">
        <f>SUM(G37:G42)</f>
        <v>41665</v>
      </c>
      <c r="H44">
        <f>SUM(H37:H42)</f>
        <v>43145</v>
      </c>
      <c r="I44">
        <f>SUM(I37:I42)</f>
        <v>42667</v>
      </c>
      <c r="J44">
        <f>SUM(J37:J43)</f>
        <v>42596</v>
      </c>
    </row>
    <row r="45" spans="3:15" x14ac:dyDescent="0.25">
      <c r="C45" t="s">
        <v>124</v>
      </c>
      <c r="D45">
        <v>100</v>
      </c>
      <c r="E45">
        <v>100</v>
      </c>
      <c r="F45">
        <v>100</v>
      </c>
      <c r="G45">
        <v>100</v>
      </c>
      <c r="H45">
        <f>100+350</f>
        <v>450</v>
      </c>
      <c r="I45">
        <v>100</v>
      </c>
      <c r="J45">
        <v>100</v>
      </c>
    </row>
    <row r="46" spans="3:15" x14ac:dyDescent="0.25">
      <c r="C46" t="s">
        <v>125</v>
      </c>
      <c r="D46">
        <f t="shared" ref="D46:I46" si="1">+D44-D45</f>
        <v>39355</v>
      </c>
      <c r="E46">
        <f t="shared" si="1"/>
        <v>39265</v>
      </c>
      <c r="F46">
        <f t="shared" si="1"/>
        <v>40455</v>
      </c>
      <c r="G46">
        <f t="shared" si="1"/>
        <v>41565</v>
      </c>
      <c r="H46">
        <f t="shared" si="1"/>
        <v>42695</v>
      </c>
      <c r="I46">
        <f t="shared" si="1"/>
        <v>42567</v>
      </c>
      <c r="J46">
        <f>+J44-J45</f>
        <v>42496</v>
      </c>
    </row>
    <row r="47" spans="3:15" x14ac:dyDescent="0.25">
      <c r="G47">
        <f>+G46-F46</f>
        <v>1110</v>
      </c>
      <c r="H47">
        <f>+H46-G46</f>
        <v>1130</v>
      </c>
    </row>
    <row r="48" spans="3:15" x14ac:dyDescent="0.25">
      <c r="I48">
        <f>+H46-I46</f>
        <v>128</v>
      </c>
      <c r="J48">
        <f>+J46-I46</f>
        <v>-71</v>
      </c>
    </row>
  </sheetData>
  <mergeCells count="7">
    <mergeCell ref="X2:Y2"/>
    <mergeCell ref="A4:A13"/>
    <mergeCell ref="A14:A22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E7C0-EA17-4542-82CC-DD4531294578}">
  <dimension ref="A1:AB53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35" sqref="S3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10.42578125" bestFit="1" customWidth="1"/>
    <col min="15" max="15" width="8.7109375" bestFit="1" customWidth="1"/>
    <col min="16" max="16" width="10.5703125" customWidth="1"/>
    <col min="17" max="17" width="8.7109375" customWidth="1"/>
    <col min="18" max="18" width="11.2851562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34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25-31-01'!D23</f>
        <v>2500</v>
      </c>
      <c r="E4" s="42">
        <f>'STOCK 25-31-01'!E23</f>
        <v>234</v>
      </c>
      <c r="F4" s="42">
        <f>'STOCK 25-31-01'!F23</f>
        <v>0</v>
      </c>
      <c r="G4" s="42">
        <f>'STOCK 25-31-01'!G23</f>
        <v>0</v>
      </c>
      <c r="H4" s="42">
        <f>'STOCK 25-31-01'!H23</f>
        <v>0</v>
      </c>
      <c r="I4" s="42">
        <f>'STOCK 25-31-01'!I23</f>
        <v>0</v>
      </c>
      <c r="J4" s="42">
        <f>'STOCK 25-31-01'!J23</f>
        <v>3384</v>
      </c>
      <c r="K4" s="42">
        <f>'STOCK 25-31-01'!K23</f>
        <v>3198</v>
      </c>
      <c r="L4" s="42">
        <f>'STOCK 25-31-01'!L23</f>
        <v>0</v>
      </c>
      <c r="M4" s="42">
        <f>'STOCK 25-31-01'!M23</f>
        <v>2293</v>
      </c>
      <c r="N4" s="42">
        <f>'STOCK 25-31-01'!N23</f>
        <v>1400</v>
      </c>
      <c r="O4" s="42">
        <f>'STOCK 25-31-01'!O23</f>
        <v>2</v>
      </c>
      <c r="P4" s="42">
        <f>'STOCK 25-31-01'!P23</f>
        <v>0</v>
      </c>
      <c r="Q4" s="42">
        <f>'STOCK 25-31-01'!Q23</f>
        <v>0</v>
      </c>
      <c r="R4" s="42">
        <f>'STOCK 25-31-01'!R23</f>
        <v>1890</v>
      </c>
      <c r="S4" s="42">
        <f>'STOCK 25-31-01'!S23</f>
        <v>0</v>
      </c>
      <c r="T4" s="42">
        <f>'STOCK 25-31-01'!T23</f>
        <v>515</v>
      </c>
      <c r="U4" s="42">
        <f>'STOCK 25-31-01'!U23</f>
        <v>204</v>
      </c>
      <c r="V4" s="42">
        <f>'STOCK 25-31-01'!V23</f>
        <v>0</v>
      </c>
      <c r="W4" s="42">
        <f>'STOCK 25-31-01'!W23</f>
        <v>0</v>
      </c>
      <c r="X4" s="42">
        <f>'STOCK 25-31-01'!X23</f>
        <v>0</v>
      </c>
      <c r="Y4" s="42">
        <f>'STOCK 25-31-01'!Y23</f>
        <v>0</v>
      </c>
      <c r="Z4" s="42">
        <f>'STOCK 25-31-01'!Z23</f>
        <v>182</v>
      </c>
      <c r="AA4" s="42">
        <f>'STOCK 25-31-01'!AA23</f>
        <v>0</v>
      </c>
      <c r="AB4" s="42">
        <f>'STOCK 25-31-01'!AB23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46055</v>
      </c>
      <c r="C6" s="82" t="s">
        <v>46</v>
      </c>
      <c r="D6" s="27"/>
      <c r="F6" s="35"/>
      <c r="H6" s="31"/>
      <c r="I6" s="13"/>
      <c r="J6" s="35"/>
      <c r="K6">
        <v>3000</v>
      </c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46056</v>
      </c>
      <c r="C7" s="82" t="s">
        <v>27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/>
      <c r="V7">
        <v>300</v>
      </c>
      <c r="W7" s="31"/>
      <c r="X7" s="13"/>
      <c r="Y7" s="31"/>
      <c r="AA7" s="94"/>
      <c r="AB7" s="15"/>
    </row>
    <row r="8" spans="1:28" x14ac:dyDescent="0.25">
      <c r="A8" s="311"/>
      <c r="B8" s="20">
        <v>46057</v>
      </c>
      <c r="C8" s="82" t="s">
        <v>27</v>
      </c>
      <c r="D8" s="27"/>
      <c r="F8" s="35"/>
      <c r="H8" s="31"/>
      <c r="I8" s="13"/>
      <c r="J8" s="35">
        <v>3000</v>
      </c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46058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S9" s="31"/>
      <c r="T9" s="13">
        <v>380</v>
      </c>
      <c r="W9" s="31"/>
      <c r="X9" s="13"/>
      <c r="Y9" s="31"/>
      <c r="AA9" s="94"/>
      <c r="AB9" s="15"/>
    </row>
    <row r="10" spans="1:28" x14ac:dyDescent="0.25">
      <c r="A10" s="311"/>
      <c r="B10" s="20">
        <v>46059</v>
      </c>
      <c r="C10" s="82" t="s">
        <v>46</v>
      </c>
      <c r="D10" s="27"/>
      <c r="F10" s="35"/>
      <c r="H10" s="31"/>
      <c r="I10" s="13"/>
      <c r="J10" s="35"/>
      <c r="L10" s="35"/>
      <c r="M10" s="35"/>
      <c r="N10" s="14"/>
      <c r="O10" s="27"/>
      <c r="R10">
        <v>200</v>
      </c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46059</v>
      </c>
      <c r="C11" s="82" t="s">
        <v>27</v>
      </c>
      <c r="D11" s="27"/>
      <c r="F11" s="35"/>
      <c r="H11" s="31"/>
      <c r="I11" s="13"/>
      <c r="J11" s="35">
        <v>3000</v>
      </c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>
        <v>46060</v>
      </c>
      <c r="C12" s="82" t="s">
        <v>46</v>
      </c>
      <c r="D12" s="27"/>
      <c r="F12" s="35"/>
      <c r="H12" s="31"/>
      <c r="I12" s="13"/>
      <c r="J12" s="35">
        <v>4000</v>
      </c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82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ht="15.75" thickBot="1" x14ac:dyDescent="0.3">
      <c r="A14" s="312"/>
      <c r="B14" s="72"/>
      <c r="C14" s="17"/>
      <c r="D14" s="28"/>
      <c r="E14" s="18"/>
      <c r="F14" s="36"/>
      <c r="G14" s="18"/>
      <c r="H14" s="32"/>
      <c r="I14" s="16"/>
      <c r="J14" s="36"/>
      <c r="K14" s="18"/>
      <c r="L14" s="36"/>
      <c r="M14" s="36"/>
      <c r="N14" s="17"/>
      <c r="O14" s="28"/>
      <c r="P14" s="18"/>
      <c r="Q14" s="18"/>
      <c r="R14" s="18"/>
      <c r="S14" s="32"/>
      <c r="T14" s="16"/>
      <c r="U14" s="18"/>
      <c r="V14" s="18"/>
      <c r="W14" s="32"/>
      <c r="X14" s="16"/>
      <c r="Y14" s="32"/>
      <c r="Z14" s="18"/>
      <c r="AA14" s="95"/>
      <c r="AB14" s="19"/>
    </row>
    <row r="15" spans="1:28" x14ac:dyDescent="0.25">
      <c r="A15" s="310" t="s">
        <v>62</v>
      </c>
      <c r="B15" s="20"/>
      <c r="C15" s="14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x14ac:dyDescent="0.25">
      <c r="A16" s="311"/>
      <c r="B16" s="20">
        <v>46055</v>
      </c>
      <c r="C16" s="14" t="s">
        <v>22</v>
      </c>
      <c r="D16" s="27">
        <v>50</v>
      </c>
      <c r="F16" s="35"/>
      <c r="H16" s="31"/>
      <c r="I16" s="13"/>
      <c r="J16" s="35">
        <v>1000</v>
      </c>
      <c r="L16" s="35"/>
      <c r="M16" s="35">
        <v>603</v>
      </c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46056</v>
      </c>
      <c r="C17" s="14" t="s">
        <v>22</v>
      </c>
      <c r="D17" s="27">
        <f>1000+1000</f>
        <v>2000</v>
      </c>
      <c r="F17" s="35"/>
      <c r="H17" s="31"/>
      <c r="I17" s="13"/>
      <c r="J17" s="35">
        <v>2000</v>
      </c>
      <c r="L17" s="35"/>
      <c r="M17" s="35">
        <v>690</v>
      </c>
      <c r="N17" s="14"/>
      <c r="O17" s="27"/>
      <c r="R17">
        <v>50</v>
      </c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46057</v>
      </c>
      <c r="C18" s="14" t="s">
        <v>22</v>
      </c>
      <c r="D18" s="27"/>
      <c r="E18">
        <v>100</v>
      </c>
      <c r="F18" s="35"/>
      <c r="H18" s="31"/>
      <c r="I18" s="13"/>
      <c r="J18" s="35"/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46058</v>
      </c>
      <c r="C19" s="14" t="s">
        <v>22</v>
      </c>
      <c r="D19" s="27"/>
      <c r="E19">
        <v>39</v>
      </c>
      <c r="F19" s="35"/>
      <c r="H19" s="31"/>
      <c r="I19" s="13"/>
      <c r="J19" s="35">
        <f>1000+2000</f>
        <v>3000</v>
      </c>
      <c r="K19">
        <v>4000</v>
      </c>
      <c r="L19" s="35"/>
      <c r="M19" s="35"/>
      <c r="N19" s="14"/>
      <c r="O19" s="27"/>
      <c r="R19">
        <f>7+250</f>
        <v>257</v>
      </c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46059</v>
      </c>
      <c r="C20" s="14" t="s">
        <v>22</v>
      </c>
      <c r="D20" s="27">
        <v>200</v>
      </c>
      <c r="F20" s="35"/>
      <c r="H20" s="31"/>
      <c r="I20" s="13"/>
      <c r="J20" s="35">
        <v>1000</v>
      </c>
      <c r="L20" s="35"/>
      <c r="M20" s="35"/>
      <c r="N20" s="14">
        <v>500</v>
      </c>
      <c r="O20" s="27"/>
      <c r="R20">
        <f>400+50</f>
        <v>450</v>
      </c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/>
      <c r="C21" s="14"/>
      <c r="D21" s="27"/>
      <c r="F21" s="35"/>
      <c r="H21" s="31"/>
      <c r="I21" s="13"/>
      <c r="J21" s="35"/>
      <c r="L21" s="35"/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>
        <v>46024</v>
      </c>
      <c r="C22" s="14" t="s">
        <v>51</v>
      </c>
      <c r="D22" s="27"/>
      <c r="F22" s="35"/>
      <c r="H22" s="31"/>
      <c r="I22" s="13"/>
      <c r="J22" s="35"/>
      <c r="L22" s="35"/>
      <c r="M22" s="35">
        <v>1000</v>
      </c>
      <c r="N22" s="14"/>
      <c r="O22" s="27"/>
      <c r="S22" s="31"/>
      <c r="T22" s="13"/>
      <c r="W22" s="31"/>
      <c r="X22" s="13"/>
      <c r="Y22" s="31"/>
      <c r="AA22" s="94"/>
      <c r="AB22" s="15"/>
    </row>
    <row r="23" spans="1:28" ht="15.75" thickBot="1" x14ac:dyDescent="0.3">
      <c r="A23" s="312"/>
      <c r="B23" s="13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ht="21.75" thickBot="1" x14ac:dyDescent="0.3">
      <c r="A24" s="21" t="s">
        <v>23</v>
      </c>
      <c r="B24" s="22"/>
      <c r="C24" s="23"/>
      <c r="D24" s="29">
        <f t="shared" ref="D24:AB24" si="0">SUM(D4:D14)-SUM(D15:D23)</f>
        <v>250</v>
      </c>
      <c r="E24" s="22">
        <f t="shared" si="0"/>
        <v>95</v>
      </c>
      <c r="F24" s="37">
        <f t="shared" si="0"/>
        <v>0</v>
      </c>
      <c r="G24" s="24">
        <f t="shared" si="0"/>
        <v>0</v>
      </c>
      <c r="H24" s="33">
        <f t="shared" si="0"/>
        <v>0</v>
      </c>
      <c r="I24" s="22">
        <f t="shared" si="0"/>
        <v>0</v>
      </c>
      <c r="J24" s="37">
        <f t="shared" si="0"/>
        <v>6384</v>
      </c>
      <c r="K24" s="24">
        <f t="shared" si="0"/>
        <v>2198</v>
      </c>
      <c r="L24" s="37">
        <f t="shared" si="0"/>
        <v>0</v>
      </c>
      <c r="M24" s="37">
        <f t="shared" si="0"/>
        <v>0</v>
      </c>
      <c r="N24" s="23">
        <f t="shared" si="0"/>
        <v>900</v>
      </c>
      <c r="O24" s="29">
        <f t="shared" si="0"/>
        <v>2</v>
      </c>
      <c r="P24" s="29">
        <f t="shared" si="0"/>
        <v>0</v>
      </c>
      <c r="Q24" s="29">
        <f t="shared" si="0"/>
        <v>0</v>
      </c>
      <c r="R24" s="24">
        <f t="shared" si="0"/>
        <v>1333</v>
      </c>
      <c r="S24" s="33">
        <f t="shared" si="0"/>
        <v>0</v>
      </c>
      <c r="T24" s="22">
        <f t="shared" si="0"/>
        <v>895</v>
      </c>
      <c r="U24" s="22">
        <f t="shared" si="0"/>
        <v>204</v>
      </c>
      <c r="V24" s="22">
        <f t="shared" si="0"/>
        <v>300</v>
      </c>
      <c r="W24" s="33">
        <f t="shared" si="0"/>
        <v>0</v>
      </c>
      <c r="X24" s="22">
        <f t="shared" si="0"/>
        <v>0</v>
      </c>
      <c r="Y24" s="33">
        <f t="shared" si="0"/>
        <v>0</v>
      </c>
      <c r="Z24" s="22">
        <f t="shared" si="0"/>
        <v>182</v>
      </c>
      <c r="AA24" s="96">
        <f t="shared" si="0"/>
        <v>0</v>
      </c>
      <c r="AB24" s="25">
        <f t="shared" si="0"/>
        <v>20</v>
      </c>
    </row>
    <row r="26" spans="1:28" x14ac:dyDescent="0.25">
      <c r="D26">
        <f>D24*0.46</f>
        <v>115</v>
      </c>
      <c r="E26">
        <f>+E24*0.41</f>
        <v>38.949999999999996</v>
      </c>
      <c r="F26">
        <f>+F24*0.52</f>
        <v>0</v>
      </c>
      <c r="G26">
        <f>+G24*0.38</f>
        <v>0</v>
      </c>
      <c r="H26">
        <f>+H24*0.47</f>
        <v>0</v>
      </c>
      <c r="I26">
        <f>+I24*0.58</f>
        <v>0</v>
      </c>
      <c r="J26">
        <f>+J24*0.71</f>
        <v>4532.6399999999994</v>
      </c>
      <c r="K26" s="50">
        <f>+K24*0.95</f>
        <v>2088.1</v>
      </c>
      <c r="L26">
        <f>+L24*0.69</f>
        <v>0</v>
      </c>
      <c r="M26">
        <f>+M24*0.74</f>
        <v>0</v>
      </c>
      <c r="N26">
        <f>+N24*0.66</f>
        <v>594</v>
      </c>
      <c r="O26">
        <f>+O24*2.35</f>
        <v>4.7</v>
      </c>
      <c r="P26">
        <f>+P24*2.1</f>
        <v>0</v>
      </c>
      <c r="Q26">
        <f>Q24*1.95</f>
        <v>0</v>
      </c>
      <c r="R26">
        <f>+R24*2.07</f>
        <v>2759.31</v>
      </c>
      <c r="S26">
        <f>+S24*1.57</f>
        <v>0</v>
      </c>
      <c r="T26">
        <f>+T24*2.35-(365*0.15)</f>
        <v>2048.5</v>
      </c>
      <c r="U26">
        <f>+U24*2.35</f>
        <v>479.40000000000003</v>
      </c>
      <c r="V26">
        <f>+V24*2.7</f>
        <v>810</v>
      </c>
      <c r="W26">
        <f>+W24*2.15</f>
        <v>0</v>
      </c>
      <c r="X26">
        <f>+X24*0.44</f>
        <v>0</v>
      </c>
      <c r="Y26">
        <f>+Y24*0.34</f>
        <v>0</v>
      </c>
      <c r="Z26" s="50">
        <f>+Z24*2.275+(32*0.025)</f>
        <v>414.85</v>
      </c>
      <c r="AA26">
        <f>+AA24*0.58</f>
        <v>0</v>
      </c>
      <c r="AB26">
        <f>+AB24*1.75</f>
        <v>35</v>
      </c>
    </row>
    <row r="27" spans="1:28" x14ac:dyDescent="0.25">
      <c r="AB27" s="39">
        <f>SUM(D26:AB26)</f>
        <v>13920.449999999999</v>
      </c>
    </row>
    <row r="28" spans="1:28" x14ac:dyDescent="0.25"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103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spans="1:28" x14ac:dyDescent="0.25">
      <c r="T29">
        <f>365*2.2</f>
        <v>803.00000000000011</v>
      </c>
    </row>
    <row r="30" spans="1:28" x14ac:dyDescent="0.25">
      <c r="T30">
        <f>530*2.35</f>
        <v>1245.5</v>
      </c>
    </row>
    <row r="31" spans="1:28" x14ac:dyDescent="0.25">
      <c r="N31" s="60"/>
      <c r="R31" s="50"/>
      <c r="T31">
        <f>+T30+T29</f>
        <v>2048.5</v>
      </c>
    </row>
    <row r="32" spans="1:28" x14ac:dyDescent="0.25">
      <c r="J32" s="60"/>
      <c r="T32" s="60">
        <f>T31/895</f>
        <v>2.2888268156424583</v>
      </c>
    </row>
    <row r="33" spans="3:18" x14ac:dyDescent="0.25">
      <c r="K33" s="60"/>
      <c r="R33" s="60"/>
    </row>
    <row r="38" spans="3:18" x14ac:dyDescent="0.25">
      <c r="C38" s="98" t="s">
        <v>118</v>
      </c>
      <c r="D38">
        <f>5050+180</f>
        <v>5230</v>
      </c>
      <c r="E38">
        <v>140</v>
      </c>
      <c r="F38">
        <f>-310+70+80</f>
        <v>-160</v>
      </c>
      <c r="G38">
        <f>8000+1340-200</f>
        <v>9140</v>
      </c>
      <c r="H38">
        <f>12540+400</f>
        <v>12940</v>
      </c>
      <c r="I38">
        <f>3670+1320-7150</f>
        <v>-2160</v>
      </c>
      <c r="J38">
        <f>12700+870+980+24320+600</f>
        <v>39470</v>
      </c>
      <c r="K38">
        <f>38950+1000+1080+600</f>
        <v>41630</v>
      </c>
    </row>
    <row r="39" spans="3:18" x14ac:dyDescent="0.25">
      <c r="C39" t="s">
        <v>119</v>
      </c>
      <c r="D39">
        <v>6500</v>
      </c>
      <c r="E39">
        <v>6500</v>
      </c>
      <c r="F39">
        <v>6500</v>
      </c>
      <c r="G39">
        <v>6500</v>
      </c>
      <c r="H39">
        <v>5800</v>
      </c>
      <c r="I39">
        <v>5800</v>
      </c>
      <c r="J39">
        <v>5800</v>
      </c>
      <c r="K39">
        <v>5100</v>
      </c>
    </row>
    <row r="40" spans="3:18" x14ac:dyDescent="0.25">
      <c r="C40" t="s">
        <v>120</v>
      </c>
      <c r="D40">
        <v>33280</v>
      </c>
      <c r="E40">
        <v>33280</v>
      </c>
      <c r="F40">
        <f>38060-1480</f>
        <v>36580</v>
      </c>
      <c r="G40">
        <v>27560</v>
      </c>
      <c r="H40">
        <v>24080</v>
      </c>
      <c r="I40">
        <v>42702</v>
      </c>
      <c r="J40">
        <v>0</v>
      </c>
      <c r="K40">
        <v>0</v>
      </c>
    </row>
    <row r="41" spans="3:18" x14ac:dyDescent="0.25">
      <c r="C41" t="s">
        <v>123</v>
      </c>
      <c r="D41">
        <v>2960</v>
      </c>
      <c r="E41">
        <v>2960</v>
      </c>
      <c r="F41">
        <f>1150</f>
        <v>1150</v>
      </c>
      <c r="G41">
        <v>1980</v>
      </c>
      <c r="H41">
        <v>4000</v>
      </c>
      <c r="I41">
        <v>0</v>
      </c>
      <c r="K41">
        <v>0</v>
      </c>
    </row>
    <row r="42" spans="3:18" x14ac:dyDescent="0.25">
      <c r="C42" t="s">
        <v>122</v>
      </c>
      <c r="D42">
        <v>1300</v>
      </c>
      <c r="E42">
        <v>1300</v>
      </c>
      <c r="F42">
        <v>1300</v>
      </c>
      <c r="G42">
        <v>1300</v>
      </c>
      <c r="H42">
        <v>1140</v>
      </c>
      <c r="I42">
        <v>1140</v>
      </c>
      <c r="J42">
        <v>1140</v>
      </c>
      <c r="K42">
        <v>0</v>
      </c>
    </row>
    <row r="43" spans="3:18" x14ac:dyDescent="0.25">
      <c r="C43" t="s">
        <v>121</v>
      </c>
      <c r="D43">
        <v>-9815</v>
      </c>
      <c r="E43">
        <v>-4815</v>
      </c>
      <c r="F43">
        <v>-4815</v>
      </c>
      <c r="G43">
        <v>-4815</v>
      </c>
      <c r="H43">
        <v>-4815</v>
      </c>
      <c r="I43">
        <v>-4815</v>
      </c>
      <c r="J43">
        <v>-3609</v>
      </c>
      <c r="K43">
        <v>-3609</v>
      </c>
    </row>
    <row r="45" spans="3:18" x14ac:dyDescent="0.25">
      <c r="D45">
        <f>SUM(D38:D44)</f>
        <v>39455</v>
      </c>
      <c r="E45">
        <f>SUM(E38:E43)</f>
        <v>39365</v>
      </c>
      <c r="F45">
        <f>SUM(F38:F43)</f>
        <v>40555</v>
      </c>
      <c r="G45">
        <f>SUM(G38:G43)</f>
        <v>41665</v>
      </c>
      <c r="H45">
        <f>SUM(H38:H43)</f>
        <v>43145</v>
      </c>
      <c r="I45">
        <f>SUM(I38:I43)</f>
        <v>42667</v>
      </c>
      <c r="J45">
        <f>SUM(J38:J44)</f>
        <v>42801</v>
      </c>
      <c r="K45">
        <f>SUM(K38:K44)</f>
        <v>43121</v>
      </c>
    </row>
    <row r="46" spans="3:18" x14ac:dyDescent="0.25">
      <c r="C46" t="s">
        <v>124</v>
      </c>
      <c r="D46">
        <v>100</v>
      </c>
      <c r="E46">
        <v>100</v>
      </c>
      <c r="F46">
        <v>100</v>
      </c>
      <c r="G46">
        <v>100</v>
      </c>
      <c r="H46">
        <f>100+350</f>
        <v>450</v>
      </c>
      <c r="I46">
        <v>100</v>
      </c>
      <c r="J46">
        <v>100</v>
      </c>
    </row>
    <row r="47" spans="3:18" x14ac:dyDescent="0.25">
      <c r="C47" t="s">
        <v>125</v>
      </c>
      <c r="D47">
        <f t="shared" ref="D47:I47" si="1">+D45-D46</f>
        <v>39355</v>
      </c>
      <c r="E47">
        <f t="shared" si="1"/>
        <v>39265</v>
      </c>
      <c r="F47">
        <f t="shared" si="1"/>
        <v>40455</v>
      </c>
      <c r="G47">
        <f t="shared" si="1"/>
        <v>41565</v>
      </c>
      <c r="H47">
        <f t="shared" si="1"/>
        <v>42695</v>
      </c>
      <c r="I47">
        <f t="shared" si="1"/>
        <v>42567</v>
      </c>
      <c r="J47">
        <f>+J45-J46</f>
        <v>42701</v>
      </c>
    </row>
    <row r="48" spans="3:18" x14ac:dyDescent="0.25">
      <c r="G48">
        <f>+G47-F47</f>
        <v>1110</v>
      </c>
      <c r="H48">
        <f>+H47-G47</f>
        <v>1130</v>
      </c>
    </row>
    <row r="49" spans="9:10" x14ac:dyDescent="0.25">
      <c r="I49">
        <f>+H47-I47</f>
        <v>128</v>
      </c>
      <c r="J49">
        <f>+J47-I47</f>
        <v>134</v>
      </c>
    </row>
    <row r="52" spans="9:10" x14ac:dyDescent="0.25">
      <c r="J52" s="102">
        <v>20611410159</v>
      </c>
    </row>
    <row r="53" spans="9:10" x14ac:dyDescent="0.25">
      <c r="J53" s="102">
        <v>41200545</v>
      </c>
    </row>
  </sheetData>
  <mergeCells count="7">
    <mergeCell ref="X2:Y2"/>
    <mergeCell ref="A4:A14"/>
    <mergeCell ref="A15:A23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3B61-2FF0-49B8-93CA-329B019F5643}">
  <dimension ref="A1:AB5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B35" sqref="AB3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10.42578125" bestFit="1" customWidth="1"/>
    <col min="15" max="15" width="8.7109375" bestFit="1" customWidth="1"/>
    <col min="16" max="16" width="10.5703125" customWidth="1"/>
    <col min="17" max="17" width="8.7109375" customWidth="1"/>
    <col min="18" max="18" width="11.2851562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8" t="s">
        <v>13</v>
      </c>
      <c r="I3" s="9" t="s">
        <v>34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01-07-02'!D24</f>
        <v>250</v>
      </c>
      <c r="E4" s="42">
        <f>'STOCK 01-07-02'!E24</f>
        <v>95</v>
      </c>
      <c r="F4" s="42">
        <f>'STOCK 01-07-02'!F24</f>
        <v>0</v>
      </c>
      <c r="G4" s="42">
        <f>'STOCK 01-07-02'!G24</f>
        <v>0</v>
      </c>
      <c r="H4" s="42">
        <f>'STOCK 01-07-02'!H24</f>
        <v>0</v>
      </c>
      <c r="I4" s="42">
        <f>'STOCK 01-07-02'!I24</f>
        <v>0</v>
      </c>
      <c r="J4" s="42">
        <f>'STOCK 01-07-02'!J24</f>
        <v>6384</v>
      </c>
      <c r="K4" s="42">
        <f>'STOCK 01-07-02'!K24</f>
        <v>2198</v>
      </c>
      <c r="L4" s="42">
        <f>'STOCK 01-07-02'!L24</f>
        <v>0</v>
      </c>
      <c r="M4" s="42">
        <f>'STOCK 01-07-02'!M24</f>
        <v>0</v>
      </c>
      <c r="N4" s="42">
        <f>'STOCK 01-07-02'!N24</f>
        <v>900</v>
      </c>
      <c r="O4" s="42">
        <f>'STOCK 01-07-02'!O24</f>
        <v>2</v>
      </c>
      <c r="P4" s="42">
        <f>'STOCK 01-07-02'!P24</f>
        <v>0</v>
      </c>
      <c r="Q4" s="42">
        <f>'STOCK 01-07-02'!Q24</f>
        <v>0</v>
      </c>
      <c r="R4" s="42">
        <f>'STOCK 01-07-02'!R24</f>
        <v>1333</v>
      </c>
      <c r="S4" s="42">
        <f>'STOCK 01-07-02'!S24</f>
        <v>0</v>
      </c>
      <c r="T4" s="42">
        <f>'STOCK 01-07-02'!T24</f>
        <v>895</v>
      </c>
      <c r="U4" s="42">
        <f>'STOCK 01-07-02'!U24</f>
        <v>204</v>
      </c>
      <c r="V4" s="42">
        <f>'STOCK 01-07-02'!V24</f>
        <v>300</v>
      </c>
      <c r="W4" s="42">
        <f>'STOCK 01-07-02'!W24</f>
        <v>0</v>
      </c>
      <c r="X4" s="42">
        <f>'STOCK 01-07-02'!X24</f>
        <v>0</v>
      </c>
      <c r="Y4" s="42">
        <f>'STOCK 01-07-02'!Y24</f>
        <v>0</v>
      </c>
      <c r="Z4" s="42">
        <f>'STOCK 01-07-02'!Z24</f>
        <v>182</v>
      </c>
      <c r="AA4" s="42">
        <f>'STOCK 01-07-02'!AA24</f>
        <v>0</v>
      </c>
      <c r="AB4" s="42">
        <f>'STOCK 01-07-02'!AB24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46062</v>
      </c>
      <c r="C6" s="82" t="s">
        <v>27</v>
      </c>
      <c r="D6" s="27"/>
      <c r="F6" s="35"/>
      <c r="H6" s="31"/>
      <c r="I6" s="13"/>
      <c r="J6" s="35"/>
      <c r="L6" s="35"/>
      <c r="M6" s="35"/>
      <c r="N6" s="14"/>
      <c r="O6" s="27"/>
      <c r="R6">
        <v>300</v>
      </c>
      <c r="S6" s="31"/>
      <c r="T6" s="13">
        <v>150</v>
      </c>
      <c r="W6" s="31"/>
      <c r="X6" s="13"/>
      <c r="Y6" s="31"/>
      <c r="AA6" s="94"/>
      <c r="AB6" s="15"/>
    </row>
    <row r="7" spans="1:28" x14ac:dyDescent="0.25">
      <c r="A7" s="311"/>
      <c r="B7" s="20">
        <v>46062</v>
      </c>
      <c r="C7" s="82" t="s">
        <v>46</v>
      </c>
      <c r="D7" s="27"/>
      <c r="F7" s="35"/>
      <c r="H7" s="31"/>
      <c r="I7" s="13"/>
      <c r="J7" s="35"/>
      <c r="L7" s="35"/>
      <c r="M7" s="35"/>
      <c r="N7" s="14">
        <v>3000</v>
      </c>
      <c r="O7" s="27"/>
      <c r="S7" s="31"/>
      <c r="T7" s="13"/>
      <c r="V7">
        <v>50</v>
      </c>
      <c r="W7" s="31"/>
      <c r="X7" s="13"/>
      <c r="Y7" s="31"/>
      <c r="AA7" s="94"/>
      <c r="AB7" s="15"/>
    </row>
    <row r="8" spans="1:28" x14ac:dyDescent="0.25">
      <c r="A8" s="311"/>
      <c r="B8" s="20">
        <v>46065</v>
      </c>
      <c r="C8" s="82" t="s">
        <v>46</v>
      </c>
      <c r="D8" s="27"/>
      <c r="F8" s="35"/>
      <c r="G8">
        <v>4000</v>
      </c>
      <c r="H8" s="31"/>
      <c r="I8" s="13"/>
      <c r="J8" s="35"/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46066</v>
      </c>
      <c r="C9" s="82" t="s">
        <v>46</v>
      </c>
      <c r="D9" s="27"/>
      <c r="F9" s="35"/>
      <c r="G9">
        <v>4000</v>
      </c>
      <c r="H9" s="31"/>
      <c r="I9" s="13"/>
      <c r="J9" s="35"/>
      <c r="L9" s="35"/>
      <c r="M9" s="35"/>
      <c r="N9" s="14">
        <v>500</v>
      </c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46066</v>
      </c>
      <c r="C10" s="82" t="s">
        <v>27</v>
      </c>
      <c r="D10" s="27"/>
      <c r="F10" s="35"/>
      <c r="H10" s="31"/>
      <c r="I10" s="13"/>
      <c r="J10" s="35"/>
      <c r="L10" s="35"/>
      <c r="M10" s="35"/>
      <c r="N10" s="14"/>
      <c r="O10" s="27"/>
      <c r="S10" s="31"/>
      <c r="T10" s="13">
        <v>1000</v>
      </c>
      <c r="W10" s="31"/>
      <c r="X10" s="13"/>
      <c r="Y10" s="31"/>
      <c r="AA10" s="94"/>
      <c r="AB10" s="15"/>
    </row>
    <row r="11" spans="1:28" x14ac:dyDescent="0.25">
      <c r="A11" s="311"/>
      <c r="B11" s="20">
        <v>46067</v>
      </c>
      <c r="C11" s="82" t="s">
        <v>46</v>
      </c>
      <c r="D11" s="27"/>
      <c r="F11" s="35"/>
      <c r="H11" s="31"/>
      <c r="I11" s="13"/>
      <c r="J11" s="35"/>
      <c r="L11" s="35"/>
      <c r="M11" s="35"/>
      <c r="N11" s="14">
        <v>4000</v>
      </c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82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/>
      <c r="C14" s="82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ht="15.75" thickBot="1" x14ac:dyDescent="0.3">
      <c r="A15" s="312"/>
      <c r="B15" s="72"/>
      <c r="C15" s="17"/>
      <c r="D15" s="28"/>
      <c r="E15" s="18"/>
      <c r="F15" s="36"/>
      <c r="G15" s="18"/>
      <c r="H15" s="32"/>
      <c r="I15" s="16"/>
      <c r="J15" s="36"/>
      <c r="K15" s="18"/>
      <c r="L15" s="36"/>
      <c r="M15" s="36"/>
      <c r="N15" s="17"/>
      <c r="O15" s="28"/>
      <c r="P15" s="18"/>
      <c r="Q15" s="18"/>
      <c r="R15" s="18"/>
      <c r="S15" s="32"/>
      <c r="T15" s="16"/>
      <c r="U15" s="18"/>
      <c r="V15" s="18"/>
      <c r="W15" s="32"/>
      <c r="X15" s="16"/>
      <c r="Y15" s="32"/>
      <c r="Z15" s="18"/>
      <c r="AA15" s="95"/>
      <c r="AB15" s="19"/>
    </row>
    <row r="16" spans="1:28" x14ac:dyDescent="0.25">
      <c r="A16" s="310" t="s">
        <v>62</v>
      </c>
      <c r="B16" s="20"/>
      <c r="C16" s="14"/>
      <c r="D16" s="27"/>
      <c r="F16" s="35"/>
      <c r="H16" s="31"/>
      <c r="I16" s="13"/>
      <c r="J16" s="35"/>
      <c r="L16" s="35"/>
      <c r="M16" s="35"/>
      <c r="N16" s="14"/>
      <c r="O16" s="27"/>
      <c r="S16" s="31"/>
      <c r="T16" s="13"/>
      <c r="W16" s="31"/>
      <c r="X16" s="13"/>
      <c r="Y16" s="31"/>
      <c r="AA16" s="94"/>
      <c r="AB16" s="15"/>
    </row>
    <row r="17" spans="1:28" x14ac:dyDescent="0.25">
      <c r="A17" s="311"/>
      <c r="B17" s="20">
        <v>46062</v>
      </c>
      <c r="C17" s="14" t="s">
        <v>22</v>
      </c>
      <c r="D17" s="27"/>
      <c r="F17" s="35"/>
      <c r="H17" s="31"/>
      <c r="I17" s="13"/>
      <c r="J17" s="35">
        <f>900+500</f>
        <v>1400</v>
      </c>
      <c r="L17" s="35"/>
      <c r="M17" s="35"/>
      <c r="N17" s="14"/>
      <c r="O17" s="27"/>
      <c r="S17" s="31"/>
      <c r="T17" s="13">
        <f>150+895</f>
        <v>1045</v>
      </c>
      <c r="W17" s="31"/>
      <c r="X17" s="13"/>
      <c r="Y17" s="31"/>
      <c r="AA17" s="94"/>
      <c r="AB17" s="15"/>
    </row>
    <row r="18" spans="1:28" x14ac:dyDescent="0.25">
      <c r="A18" s="311"/>
      <c r="B18" s="20">
        <v>46063</v>
      </c>
      <c r="C18" s="14" t="s">
        <v>22</v>
      </c>
      <c r="D18" s="27"/>
      <c r="F18" s="35"/>
      <c r="H18" s="31"/>
      <c r="I18" s="13"/>
      <c r="J18" s="35">
        <v>1000</v>
      </c>
      <c r="L18" s="35"/>
      <c r="M18" s="35"/>
      <c r="N18" s="14"/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46064</v>
      </c>
      <c r="C19" s="14" t="s">
        <v>22</v>
      </c>
      <c r="D19" s="27"/>
      <c r="F19" s="35"/>
      <c r="H19" s="31"/>
      <c r="I19" s="13"/>
      <c r="J19" s="35"/>
      <c r="K19">
        <v>25</v>
      </c>
      <c r="L19" s="35"/>
      <c r="M19" s="35"/>
      <c r="N19" s="14">
        <v>1000</v>
      </c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46064</v>
      </c>
      <c r="C20" s="14" t="s">
        <v>45</v>
      </c>
      <c r="D20" s="27"/>
      <c r="F20" s="35"/>
      <c r="H20" s="31"/>
      <c r="I20" s="13"/>
      <c r="J20" s="35">
        <v>1000</v>
      </c>
      <c r="L20" s="35"/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46066</v>
      </c>
      <c r="C21" s="14" t="s">
        <v>22</v>
      </c>
      <c r="D21" s="27"/>
      <c r="F21" s="35"/>
      <c r="G21">
        <f>200+500+500+2000</f>
        <v>3200</v>
      </c>
      <c r="H21" s="31"/>
      <c r="I21" s="13"/>
      <c r="J21" s="35"/>
      <c r="L21" s="35"/>
      <c r="M21" s="35"/>
      <c r="N21" s="14"/>
      <c r="O21" s="27"/>
      <c r="R21">
        <v>6</v>
      </c>
      <c r="S21" s="31"/>
      <c r="T21" s="13"/>
      <c r="V21">
        <v>180</v>
      </c>
      <c r="W21" s="31"/>
      <c r="X21" s="13"/>
      <c r="Y21" s="31"/>
      <c r="AA21" s="94"/>
      <c r="AB21" s="15"/>
    </row>
    <row r="22" spans="1:28" x14ac:dyDescent="0.25">
      <c r="A22" s="311"/>
      <c r="B22" s="20">
        <v>46067</v>
      </c>
      <c r="C22" s="14" t="s">
        <v>22</v>
      </c>
      <c r="D22" s="27"/>
      <c r="F22" s="35"/>
      <c r="H22" s="31"/>
      <c r="I22" s="13"/>
      <c r="J22" s="35">
        <v>2200</v>
      </c>
      <c r="L22" s="35"/>
      <c r="M22" s="35"/>
      <c r="N22" s="14">
        <v>2000</v>
      </c>
      <c r="O22" s="27"/>
      <c r="S22" s="31"/>
      <c r="T22" s="13">
        <v>35</v>
      </c>
      <c r="W22" s="31"/>
      <c r="X22" s="13"/>
      <c r="Y22" s="31"/>
      <c r="AA22" s="94"/>
      <c r="AB22" s="15"/>
    </row>
    <row r="23" spans="1:28" x14ac:dyDescent="0.25">
      <c r="A23" s="311"/>
      <c r="B23" s="20"/>
      <c r="C23" s="14"/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ht="15.75" thickBot="1" x14ac:dyDescent="0.3">
      <c r="A24" s="312"/>
      <c r="B24" s="13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21.75" thickBot="1" x14ac:dyDescent="0.3">
      <c r="A25" s="21" t="s">
        <v>23</v>
      </c>
      <c r="B25" s="22"/>
      <c r="C25" s="23"/>
      <c r="D25" s="29">
        <f t="shared" ref="D25:AB25" si="0">SUM(D4:D15)-SUM(D16:D24)</f>
        <v>250</v>
      </c>
      <c r="E25" s="22">
        <f t="shared" si="0"/>
        <v>95</v>
      </c>
      <c r="F25" s="37">
        <f t="shared" si="0"/>
        <v>0</v>
      </c>
      <c r="G25" s="24">
        <f t="shared" si="0"/>
        <v>4800</v>
      </c>
      <c r="H25" s="33">
        <f t="shared" si="0"/>
        <v>0</v>
      </c>
      <c r="I25" s="22">
        <f t="shared" si="0"/>
        <v>0</v>
      </c>
      <c r="J25" s="37">
        <f t="shared" si="0"/>
        <v>784</v>
      </c>
      <c r="K25" s="24">
        <f t="shared" si="0"/>
        <v>2173</v>
      </c>
      <c r="L25" s="37">
        <f t="shared" si="0"/>
        <v>0</v>
      </c>
      <c r="M25" s="37">
        <f t="shared" si="0"/>
        <v>0</v>
      </c>
      <c r="N25" s="23">
        <f t="shared" si="0"/>
        <v>5400</v>
      </c>
      <c r="O25" s="29">
        <f t="shared" si="0"/>
        <v>2</v>
      </c>
      <c r="P25" s="29">
        <f t="shared" si="0"/>
        <v>0</v>
      </c>
      <c r="Q25" s="29">
        <f t="shared" si="0"/>
        <v>0</v>
      </c>
      <c r="R25" s="24">
        <f t="shared" si="0"/>
        <v>1627</v>
      </c>
      <c r="S25" s="33">
        <f t="shared" si="0"/>
        <v>0</v>
      </c>
      <c r="T25" s="22">
        <f t="shared" si="0"/>
        <v>965</v>
      </c>
      <c r="U25" s="22">
        <f t="shared" si="0"/>
        <v>204</v>
      </c>
      <c r="V25" s="22">
        <f t="shared" si="0"/>
        <v>170</v>
      </c>
      <c r="W25" s="33">
        <f t="shared" si="0"/>
        <v>0</v>
      </c>
      <c r="X25" s="22">
        <f t="shared" si="0"/>
        <v>0</v>
      </c>
      <c r="Y25" s="33">
        <f t="shared" si="0"/>
        <v>0</v>
      </c>
      <c r="Z25" s="22">
        <f t="shared" si="0"/>
        <v>182</v>
      </c>
      <c r="AA25" s="96">
        <f t="shared" si="0"/>
        <v>0</v>
      </c>
      <c r="AB25" s="25">
        <f t="shared" si="0"/>
        <v>20</v>
      </c>
    </row>
    <row r="27" spans="1:28" x14ac:dyDescent="0.25">
      <c r="D27">
        <f>D25*0.46</f>
        <v>115</v>
      </c>
      <c r="E27">
        <f>+E25*0.41</f>
        <v>38.949999999999996</v>
      </c>
      <c r="F27">
        <f>+F25*0.52</f>
        <v>0</v>
      </c>
      <c r="G27">
        <f>+G25*0.53</f>
        <v>2544</v>
      </c>
      <c r="H27">
        <f>+H25*0.47</f>
        <v>0</v>
      </c>
      <c r="I27">
        <f>+I25*0.58</f>
        <v>0</v>
      </c>
      <c r="J27">
        <f>+J25*0.71</f>
        <v>556.64</v>
      </c>
      <c r="K27" s="50">
        <f>+K25*0.95</f>
        <v>2064.35</v>
      </c>
      <c r="L27">
        <f>+L25*0.69</f>
        <v>0</v>
      </c>
      <c r="M27">
        <f>+M25*0.74</f>
        <v>0</v>
      </c>
      <c r="N27">
        <f>+N25*0.66</f>
        <v>3564</v>
      </c>
      <c r="O27">
        <f>+O25*2.35</f>
        <v>4.7</v>
      </c>
      <c r="P27">
        <f>+P25*2.1</f>
        <v>0</v>
      </c>
      <c r="Q27">
        <f>Q25*1.95</f>
        <v>0</v>
      </c>
      <c r="R27">
        <f>+R25*2.25-(1327*0.18)</f>
        <v>3421.89</v>
      </c>
      <c r="S27">
        <f>+S25*1.57</f>
        <v>0</v>
      </c>
      <c r="T27">
        <f>+T25*2.35</f>
        <v>2267.75</v>
      </c>
      <c r="U27">
        <f>+U25*2.35</f>
        <v>479.40000000000003</v>
      </c>
      <c r="V27">
        <f>+V25*2.7</f>
        <v>459.00000000000006</v>
      </c>
      <c r="W27">
        <f>+W25*2.15</f>
        <v>0</v>
      </c>
      <c r="X27">
        <f>+X25*0.44</f>
        <v>0</v>
      </c>
      <c r="Y27">
        <f>+Y25*0.34</f>
        <v>0</v>
      </c>
      <c r="Z27" s="50">
        <f>+Z25*2.275+(32*0.025)</f>
        <v>414.85</v>
      </c>
      <c r="AA27">
        <f>+AA25*0.58</f>
        <v>0</v>
      </c>
      <c r="AB27">
        <f>+AB25*1.75</f>
        <v>35</v>
      </c>
    </row>
    <row r="28" spans="1:28" x14ac:dyDescent="0.25">
      <c r="AB28" s="39">
        <f>SUM(D27:AB27)</f>
        <v>15965.529999999999</v>
      </c>
    </row>
    <row r="29" spans="1:28" x14ac:dyDescent="0.25"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103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2" spans="1:28" x14ac:dyDescent="0.25">
      <c r="N32" s="60"/>
      <c r="R32" s="50"/>
    </row>
    <row r="33" spans="3:20" x14ac:dyDescent="0.25">
      <c r="J33" s="60"/>
      <c r="T33" s="84"/>
    </row>
    <row r="34" spans="3:20" x14ac:dyDescent="0.25">
      <c r="K34" s="60"/>
      <c r="R34" s="60"/>
    </row>
    <row r="37" spans="3:20" x14ac:dyDescent="0.25">
      <c r="O37">
        <f>8195*36</f>
        <v>295020</v>
      </c>
    </row>
    <row r="39" spans="3:20" x14ac:dyDescent="0.25">
      <c r="C39" s="98" t="s">
        <v>118</v>
      </c>
      <c r="D39">
        <f>5050+180</f>
        <v>5230</v>
      </c>
      <c r="E39">
        <v>140</v>
      </c>
      <c r="F39">
        <f>-310+70+80</f>
        <v>-160</v>
      </c>
      <c r="G39">
        <f>8000+1340-200</f>
        <v>9140</v>
      </c>
      <c r="H39">
        <f>12540+400</f>
        <v>12940</v>
      </c>
      <c r="I39">
        <f>3670+1320-7150</f>
        <v>-2160</v>
      </c>
      <c r="J39">
        <f>12700+870+980+24320+600</f>
        <v>39470</v>
      </c>
      <c r="K39">
        <f>38950+1000+1080+600</f>
        <v>41630</v>
      </c>
    </row>
    <row r="40" spans="3:20" x14ac:dyDescent="0.25">
      <c r="C40" t="s">
        <v>119</v>
      </c>
      <c r="D40">
        <v>6500</v>
      </c>
      <c r="E40">
        <v>6500</v>
      </c>
      <c r="F40">
        <v>6500</v>
      </c>
      <c r="G40">
        <v>6500</v>
      </c>
      <c r="H40">
        <v>5800</v>
      </c>
      <c r="I40">
        <v>5800</v>
      </c>
      <c r="J40">
        <v>5800</v>
      </c>
      <c r="K40">
        <v>5100</v>
      </c>
    </row>
    <row r="41" spans="3:20" x14ac:dyDescent="0.25">
      <c r="C41" t="s">
        <v>120</v>
      </c>
      <c r="D41">
        <v>33280</v>
      </c>
      <c r="E41">
        <v>33280</v>
      </c>
      <c r="F41">
        <f>38060-1480</f>
        <v>36580</v>
      </c>
      <c r="G41">
        <v>27560</v>
      </c>
      <c r="H41">
        <v>24080</v>
      </c>
      <c r="I41">
        <v>42702</v>
      </c>
      <c r="J41">
        <v>0</v>
      </c>
      <c r="K41">
        <v>0</v>
      </c>
    </row>
    <row r="42" spans="3:20" x14ac:dyDescent="0.25">
      <c r="C42" t="s">
        <v>123</v>
      </c>
      <c r="D42">
        <v>2960</v>
      </c>
      <c r="E42">
        <v>2960</v>
      </c>
      <c r="F42">
        <f>1150</f>
        <v>1150</v>
      </c>
      <c r="G42">
        <v>1980</v>
      </c>
      <c r="H42">
        <v>4000</v>
      </c>
      <c r="I42">
        <v>0</v>
      </c>
      <c r="K42">
        <v>0</v>
      </c>
    </row>
    <row r="43" spans="3:20" x14ac:dyDescent="0.25">
      <c r="C43" t="s">
        <v>122</v>
      </c>
      <c r="D43">
        <v>1300</v>
      </c>
      <c r="E43">
        <v>1300</v>
      </c>
      <c r="F43">
        <v>1300</v>
      </c>
      <c r="G43">
        <v>1300</v>
      </c>
      <c r="H43">
        <v>1140</v>
      </c>
      <c r="I43">
        <v>1140</v>
      </c>
      <c r="J43">
        <v>1140</v>
      </c>
      <c r="K43">
        <v>0</v>
      </c>
    </row>
    <row r="44" spans="3:20" x14ac:dyDescent="0.25">
      <c r="C44" t="s">
        <v>121</v>
      </c>
      <c r="D44">
        <v>-9815</v>
      </c>
      <c r="E44">
        <v>-4815</v>
      </c>
      <c r="F44">
        <v>-4815</v>
      </c>
      <c r="G44">
        <v>-4815</v>
      </c>
      <c r="H44">
        <v>-4815</v>
      </c>
      <c r="I44">
        <v>-4815</v>
      </c>
      <c r="J44">
        <v>-3609</v>
      </c>
      <c r="K44">
        <v>-3609</v>
      </c>
    </row>
    <row r="46" spans="3:20" x14ac:dyDescent="0.25">
      <c r="D46">
        <f>SUM(D39:D45)</f>
        <v>39455</v>
      </c>
      <c r="E46">
        <f>SUM(E39:E44)</f>
        <v>39365</v>
      </c>
      <c r="F46">
        <f>SUM(F39:F44)</f>
        <v>40555</v>
      </c>
      <c r="G46">
        <f>SUM(G39:G44)</f>
        <v>41665</v>
      </c>
      <c r="H46">
        <f>SUM(H39:H44)</f>
        <v>43145</v>
      </c>
      <c r="I46">
        <f>SUM(I39:I44)</f>
        <v>42667</v>
      </c>
      <c r="J46">
        <f>SUM(J39:J45)</f>
        <v>42801</v>
      </c>
      <c r="K46">
        <f>SUM(K39:K45)</f>
        <v>43121</v>
      </c>
    </row>
    <row r="47" spans="3:20" x14ac:dyDescent="0.25">
      <c r="C47" t="s">
        <v>124</v>
      </c>
      <c r="D47">
        <v>100</v>
      </c>
      <c r="E47">
        <v>100</v>
      </c>
      <c r="F47">
        <v>100</v>
      </c>
      <c r="G47">
        <v>100</v>
      </c>
      <c r="H47">
        <f>100+350</f>
        <v>450</v>
      </c>
      <c r="I47">
        <v>100</v>
      </c>
      <c r="J47">
        <v>100</v>
      </c>
    </row>
    <row r="48" spans="3:20" x14ac:dyDescent="0.25">
      <c r="C48" t="s">
        <v>125</v>
      </c>
      <c r="D48">
        <f t="shared" ref="D48:I48" si="1">+D46-D47</f>
        <v>39355</v>
      </c>
      <c r="E48">
        <f t="shared" si="1"/>
        <v>39265</v>
      </c>
      <c r="F48">
        <f t="shared" si="1"/>
        <v>40455</v>
      </c>
      <c r="G48">
        <f t="shared" si="1"/>
        <v>41565</v>
      </c>
      <c r="H48">
        <f t="shared" si="1"/>
        <v>42695</v>
      </c>
      <c r="I48">
        <f t="shared" si="1"/>
        <v>42567</v>
      </c>
      <c r="J48">
        <f>+J46-J47</f>
        <v>42701</v>
      </c>
    </row>
    <row r="49" spans="7:10" x14ac:dyDescent="0.25">
      <c r="G49">
        <f>+G48-F48</f>
        <v>1110</v>
      </c>
      <c r="H49">
        <f>+H48-G48</f>
        <v>1130</v>
      </c>
    </row>
    <row r="50" spans="7:10" x14ac:dyDescent="0.25">
      <c r="I50">
        <f>+H48-I48</f>
        <v>128</v>
      </c>
      <c r="J50">
        <f>+J48-I48</f>
        <v>134</v>
      </c>
    </row>
    <row r="53" spans="7:10" x14ac:dyDescent="0.25">
      <c r="J53" s="102">
        <v>20611410159</v>
      </c>
    </row>
    <row r="54" spans="7:10" x14ac:dyDescent="0.25">
      <c r="J54" s="102">
        <v>41200545</v>
      </c>
    </row>
  </sheetData>
  <mergeCells count="7">
    <mergeCell ref="X2:Y2"/>
    <mergeCell ref="A4:A15"/>
    <mergeCell ref="A16:A24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DBA8-871D-4B4E-87C6-26EB6466A15E}">
  <dimension ref="A1:AB56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U45" sqref="U4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18.2851562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10.42578125" bestFit="1" customWidth="1"/>
    <col min="15" max="15" width="8.7109375" bestFit="1" customWidth="1"/>
    <col min="16" max="16" width="10.5703125" customWidth="1"/>
    <col min="17" max="17" width="8.7109375" customWidth="1"/>
    <col min="18" max="18" width="11.2851562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12.7109375" customWidth="1"/>
    <col min="26" max="26" width="16.7109375" customWidth="1"/>
    <col min="27" max="27" width="14.42578125" customWidth="1"/>
    <col min="28" max="28" width="14.57031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8" t="s">
        <v>13</v>
      </c>
      <c r="I3" s="9" t="s">
        <v>126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8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08-14-02'!D25</f>
        <v>250</v>
      </c>
      <c r="E4" s="42">
        <f>'STOCK 08-14-02'!E25</f>
        <v>95</v>
      </c>
      <c r="F4" s="42">
        <f>'STOCK 08-14-02'!F25</f>
        <v>0</v>
      </c>
      <c r="G4" s="42">
        <f>'STOCK 08-14-02'!G25</f>
        <v>4800</v>
      </c>
      <c r="H4" s="42">
        <f>'STOCK 08-14-02'!H25</f>
        <v>0</v>
      </c>
      <c r="I4" s="42">
        <f>'STOCK 08-14-02'!I25</f>
        <v>0</v>
      </c>
      <c r="J4" s="42">
        <f>'STOCK 08-14-02'!J25</f>
        <v>784</v>
      </c>
      <c r="K4" s="42">
        <f>'STOCK 08-14-02'!K25</f>
        <v>2173</v>
      </c>
      <c r="L4" s="42">
        <f>'STOCK 08-14-02'!L25</f>
        <v>0</v>
      </c>
      <c r="M4" s="42">
        <f>'STOCK 08-14-02'!M25</f>
        <v>0</v>
      </c>
      <c r="N4" s="42">
        <f>'STOCK 08-14-02'!N25</f>
        <v>5400</v>
      </c>
      <c r="O4" s="42">
        <f>'STOCK 08-14-02'!O25</f>
        <v>2</v>
      </c>
      <c r="P4" s="42">
        <f>'STOCK 08-14-02'!P25</f>
        <v>0</v>
      </c>
      <c r="Q4" s="42">
        <f>'STOCK 08-14-02'!Q25</f>
        <v>0</v>
      </c>
      <c r="R4" s="42">
        <f>'STOCK 08-14-02'!R25</f>
        <v>1627</v>
      </c>
      <c r="S4" s="42">
        <f>'STOCK 08-14-02'!S25</f>
        <v>0</v>
      </c>
      <c r="T4" s="42">
        <f>'STOCK 08-14-02'!T25</f>
        <v>965</v>
      </c>
      <c r="U4" s="42">
        <f>'STOCK 08-14-02'!U25</f>
        <v>204</v>
      </c>
      <c r="V4" s="42">
        <f>'STOCK 08-14-02'!V25</f>
        <v>170</v>
      </c>
      <c r="W4" s="42">
        <f>'STOCK 08-14-02'!W25</f>
        <v>0</v>
      </c>
      <c r="X4" s="42">
        <f>'STOCK 08-14-02'!X25</f>
        <v>0</v>
      </c>
      <c r="Y4" s="42">
        <f>'STOCK 08-14-02'!Y25</f>
        <v>0</v>
      </c>
      <c r="Z4" s="42">
        <f>'STOCK 08-14-02'!Z25</f>
        <v>182</v>
      </c>
      <c r="AA4" s="42">
        <f>'STOCK 08-14-02'!AA25</f>
        <v>0</v>
      </c>
      <c r="AB4" s="42">
        <f>'STOCK 08-14-02'!AB25</f>
        <v>20</v>
      </c>
    </row>
    <row r="5" spans="1:28" x14ac:dyDescent="0.25">
      <c r="A5" s="311"/>
      <c r="B5" s="20">
        <v>46070</v>
      </c>
      <c r="C5" s="82" t="s">
        <v>27</v>
      </c>
      <c r="D5" s="27"/>
      <c r="F5" s="35"/>
      <c r="H5" s="31"/>
      <c r="I5" s="13"/>
      <c r="J5" s="35">
        <v>3000</v>
      </c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46070</v>
      </c>
      <c r="C6" s="82" t="s">
        <v>129</v>
      </c>
      <c r="D6" s="27"/>
      <c r="F6" s="35"/>
      <c r="H6" s="31"/>
      <c r="I6" s="13"/>
      <c r="J6" s="35">
        <v>13000</v>
      </c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46071</v>
      </c>
      <c r="C7" s="82" t="s">
        <v>129</v>
      </c>
      <c r="D7" s="27"/>
      <c r="F7" s="35"/>
      <c r="H7" s="31"/>
      <c r="I7" s="13"/>
      <c r="J7" s="35"/>
      <c r="L7" s="35">
        <v>13000</v>
      </c>
      <c r="M7" s="35"/>
      <c r="N7" s="14"/>
      <c r="O7" s="27"/>
      <c r="S7" s="31"/>
      <c r="T7" s="13"/>
      <c r="W7" s="31"/>
      <c r="X7" s="13"/>
      <c r="Y7" s="31"/>
      <c r="AA7" s="94"/>
      <c r="AB7" s="15"/>
    </row>
    <row r="8" spans="1:28" x14ac:dyDescent="0.25">
      <c r="A8" s="311"/>
      <c r="B8" s="20">
        <v>46072</v>
      </c>
      <c r="C8" s="82" t="s">
        <v>46</v>
      </c>
      <c r="D8" s="27"/>
      <c r="F8" s="35"/>
      <c r="H8" s="31"/>
      <c r="I8" s="13"/>
      <c r="J8" s="35">
        <v>3000</v>
      </c>
      <c r="L8" s="35"/>
      <c r="M8" s="35"/>
      <c r="N8" s="14"/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>
        <v>46072</v>
      </c>
      <c r="C9" s="82" t="s">
        <v>27</v>
      </c>
      <c r="D9" s="27"/>
      <c r="F9" s="35"/>
      <c r="H9" s="31"/>
      <c r="I9" s="13"/>
      <c r="J9" s="35"/>
      <c r="L9" s="35"/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>
        <v>46072</v>
      </c>
      <c r="C10" s="82" t="s">
        <v>129</v>
      </c>
      <c r="D10" s="27"/>
      <c r="F10" s="35"/>
      <c r="H10" s="31">
        <v>20000</v>
      </c>
      <c r="I10" s="13"/>
      <c r="J10" s="35"/>
      <c r="L10" s="35"/>
      <c r="M10" s="35"/>
      <c r="N10" s="14"/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46074</v>
      </c>
      <c r="C11" s="82" t="s">
        <v>46</v>
      </c>
      <c r="D11" s="27"/>
      <c r="F11" s="35"/>
      <c r="H11" s="31"/>
      <c r="I11" s="13">
        <v>4000</v>
      </c>
      <c r="J11" s="35"/>
      <c r="L11" s="35"/>
      <c r="M11" s="35"/>
      <c r="N11" s="14"/>
      <c r="O11" s="27"/>
      <c r="S11" s="31"/>
      <c r="T11" s="13"/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82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/>
      <c r="C14" s="82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/>
      <c r="C15" s="82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ht="15.75" thickBot="1" x14ac:dyDescent="0.3">
      <c r="A16" s="312"/>
      <c r="B16" s="72"/>
      <c r="C16" s="17"/>
      <c r="D16" s="28"/>
      <c r="E16" s="18"/>
      <c r="F16" s="36"/>
      <c r="G16" s="18"/>
      <c r="H16" s="32"/>
      <c r="I16" s="16"/>
      <c r="J16" s="36"/>
      <c r="K16" s="18"/>
      <c r="L16" s="36"/>
      <c r="M16" s="36"/>
      <c r="N16" s="17"/>
      <c r="O16" s="28"/>
      <c r="P16" s="18"/>
      <c r="Q16" s="18"/>
      <c r="R16" s="18"/>
      <c r="S16" s="32"/>
      <c r="T16" s="16"/>
      <c r="U16" s="18"/>
      <c r="V16" s="18"/>
      <c r="W16" s="32"/>
      <c r="X16" s="16"/>
      <c r="Y16" s="32"/>
      <c r="Z16" s="18"/>
      <c r="AA16" s="95"/>
      <c r="AB16" s="19"/>
    </row>
    <row r="17" spans="1:28" x14ac:dyDescent="0.25">
      <c r="A17" s="310" t="s">
        <v>62</v>
      </c>
      <c r="B17" s="20">
        <v>46069</v>
      </c>
      <c r="C17" s="14" t="s">
        <v>22</v>
      </c>
      <c r="D17" s="27"/>
      <c r="F17" s="35"/>
      <c r="G17">
        <f>300+376</f>
        <v>676</v>
      </c>
      <c r="H17" s="31"/>
      <c r="I17" s="13"/>
      <c r="J17" s="35"/>
      <c r="L17" s="35"/>
      <c r="M17" s="35"/>
      <c r="N17" s="14"/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46070</v>
      </c>
      <c r="C18" s="14" t="s">
        <v>22</v>
      </c>
      <c r="D18" s="27"/>
      <c r="F18" s="35"/>
      <c r="G18">
        <f>130+300</f>
        <v>430</v>
      </c>
      <c r="H18" s="31"/>
      <c r="I18" s="13"/>
      <c r="J18" s="35">
        <v>200</v>
      </c>
      <c r="L18" s="35"/>
      <c r="M18" s="35"/>
      <c r="N18" s="14"/>
      <c r="O18" s="27"/>
      <c r="S18" s="31"/>
      <c r="T18" s="13">
        <v>250</v>
      </c>
      <c r="W18" s="31"/>
      <c r="X18" s="13"/>
      <c r="Y18" s="31"/>
      <c r="AA18" s="94"/>
      <c r="AB18" s="15"/>
    </row>
    <row r="19" spans="1:28" x14ac:dyDescent="0.25">
      <c r="A19" s="311"/>
      <c r="B19" s="20">
        <v>46071</v>
      </c>
      <c r="C19" s="14" t="s">
        <v>22</v>
      </c>
      <c r="D19" s="27"/>
      <c r="F19" s="35"/>
      <c r="G19">
        <v>2000</v>
      </c>
      <c r="H19" s="31"/>
      <c r="I19" s="13"/>
      <c r="J19" s="35"/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46071</v>
      </c>
      <c r="C20" s="14" t="s">
        <v>45</v>
      </c>
      <c r="D20" s="27"/>
      <c r="F20" s="35"/>
      <c r="H20" s="31"/>
      <c r="I20" s="13"/>
      <c r="J20" s="35"/>
      <c r="L20" s="35"/>
      <c r="M20" s="35"/>
      <c r="N20" s="14"/>
      <c r="O20" s="27"/>
      <c r="R20">
        <v>1200</v>
      </c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46072</v>
      </c>
      <c r="C21" s="14" t="s">
        <v>22</v>
      </c>
      <c r="D21" s="27"/>
      <c r="F21" s="35"/>
      <c r="H21" s="31"/>
      <c r="I21" s="13"/>
      <c r="J21" s="35">
        <v>1000</v>
      </c>
      <c r="L21" s="35"/>
      <c r="M21" s="35"/>
      <c r="N21" s="14">
        <f>1800+1000+300</f>
        <v>3100</v>
      </c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>
        <v>46073</v>
      </c>
      <c r="C22" s="14" t="s">
        <v>22</v>
      </c>
      <c r="D22" s="27"/>
      <c r="F22" s="35"/>
      <c r="H22" s="31"/>
      <c r="I22" s="13"/>
      <c r="J22" s="35">
        <v>2000</v>
      </c>
      <c r="K22">
        <v>80</v>
      </c>
      <c r="L22" s="35">
        <v>300</v>
      </c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>
        <v>46074</v>
      </c>
      <c r="C23" s="14" t="s">
        <v>22</v>
      </c>
      <c r="D23" s="27"/>
      <c r="F23" s="35"/>
      <c r="H23" s="31"/>
      <c r="I23" s="13"/>
      <c r="J23" s="35"/>
      <c r="L23" s="35"/>
      <c r="M23" s="35"/>
      <c r="N23" s="14"/>
      <c r="O23" s="27"/>
      <c r="S23" s="31"/>
      <c r="T23" s="13"/>
      <c r="W23" s="31"/>
      <c r="X23" s="13"/>
      <c r="Y23" s="31"/>
      <c r="Z23">
        <v>150</v>
      </c>
      <c r="AA23" s="94"/>
      <c r="AB23" s="15"/>
    </row>
    <row r="24" spans="1:28" x14ac:dyDescent="0.25">
      <c r="A24" s="311"/>
      <c r="B24" s="20"/>
      <c r="C24" s="14"/>
      <c r="D24" s="27"/>
      <c r="F24" s="35"/>
      <c r="H24" s="31"/>
      <c r="I24" s="13"/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ht="15.75" thickBot="1" x14ac:dyDescent="0.3">
      <c r="A25" s="312"/>
      <c r="B25" s="13"/>
      <c r="C25" s="14"/>
      <c r="D25" s="27"/>
      <c r="F25" s="35"/>
      <c r="H25" s="31"/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ht="21.75" thickBot="1" x14ac:dyDescent="0.3">
      <c r="A26" s="21" t="s">
        <v>23</v>
      </c>
      <c r="B26" s="22"/>
      <c r="C26" s="23"/>
      <c r="D26" s="29">
        <f t="shared" ref="D26:AB26" si="0">SUM(D4:D16)-SUM(D17:D25)</f>
        <v>250</v>
      </c>
      <c r="E26" s="22">
        <f t="shared" si="0"/>
        <v>95</v>
      </c>
      <c r="F26" s="37">
        <f t="shared" si="0"/>
        <v>0</v>
      </c>
      <c r="G26" s="24">
        <f t="shared" si="0"/>
        <v>1694</v>
      </c>
      <c r="H26" s="33">
        <f t="shared" si="0"/>
        <v>20000</v>
      </c>
      <c r="I26" s="22">
        <f t="shared" si="0"/>
        <v>4000</v>
      </c>
      <c r="J26" s="37">
        <f>SUM(J4:J16)-SUM(J17:J25)</f>
        <v>16584</v>
      </c>
      <c r="K26" s="24">
        <f t="shared" si="0"/>
        <v>2093</v>
      </c>
      <c r="L26" s="37">
        <f t="shared" si="0"/>
        <v>12700</v>
      </c>
      <c r="M26" s="37">
        <f t="shared" si="0"/>
        <v>0</v>
      </c>
      <c r="N26" s="23">
        <f t="shared" si="0"/>
        <v>2300</v>
      </c>
      <c r="O26" s="29">
        <f t="shared" si="0"/>
        <v>2</v>
      </c>
      <c r="P26" s="29">
        <f t="shared" si="0"/>
        <v>0</v>
      </c>
      <c r="Q26" s="29">
        <f t="shared" si="0"/>
        <v>0</v>
      </c>
      <c r="R26" s="24">
        <f t="shared" si="0"/>
        <v>427</v>
      </c>
      <c r="S26" s="33">
        <f t="shared" si="0"/>
        <v>0</v>
      </c>
      <c r="T26" s="22">
        <f t="shared" si="0"/>
        <v>715</v>
      </c>
      <c r="U26" s="22">
        <f t="shared" si="0"/>
        <v>204</v>
      </c>
      <c r="V26" s="22">
        <f t="shared" si="0"/>
        <v>170</v>
      </c>
      <c r="W26" s="33">
        <f t="shared" si="0"/>
        <v>0</v>
      </c>
      <c r="X26" s="22">
        <f t="shared" si="0"/>
        <v>0</v>
      </c>
      <c r="Y26" s="33">
        <f t="shared" si="0"/>
        <v>0</v>
      </c>
      <c r="Z26" s="22">
        <f t="shared" si="0"/>
        <v>32</v>
      </c>
      <c r="AA26" s="96">
        <f t="shared" si="0"/>
        <v>0</v>
      </c>
      <c r="AB26" s="25">
        <f t="shared" si="0"/>
        <v>20</v>
      </c>
    </row>
    <row r="28" spans="1:28" x14ac:dyDescent="0.25">
      <c r="D28">
        <f>D26*0.46</f>
        <v>115</v>
      </c>
      <c r="E28">
        <f>+E26*0.41</f>
        <v>38.949999999999996</v>
      </c>
      <c r="F28">
        <f>+F26*0.52</f>
        <v>0</v>
      </c>
      <c r="G28">
        <f>+G26*0.53</f>
        <v>897.82</v>
      </c>
      <c r="H28">
        <f>+H26*0.65</f>
        <v>13000</v>
      </c>
      <c r="I28">
        <f>+I26*0.68</f>
        <v>2720</v>
      </c>
      <c r="J28">
        <f>+J26*0.8-(3584*0.02)</f>
        <v>13195.52</v>
      </c>
      <c r="K28" s="50">
        <f>+K26*0.95</f>
        <v>1988.35</v>
      </c>
      <c r="L28">
        <f>+L26*0.85</f>
        <v>10795</v>
      </c>
      <c r="M28">
        <f>+M26*0.74</f>
        <v>0</v>
      </c>
      <c r="N28">
        <f>+N26*0.66</f>
        <v>1518</v>
      </c>
      <c r="O28">
        <f>+O26*2.35</f>
        <v>4.7</v>
      </c>
      <c r="P28">
        <f>+P26*2.1</f>
        <v>0</v>
      </c>
      <c r="Q28">
        <f>Q26*1.95</f>
        <v>0</v>
      </c>
      <c r="R28">
        <f>+R26*2.25-(127*0.18)</f>
        <v>937.89</v>
      </c>
      <c r="S28">
        <f>+S26*1.57</f>
        <v>0</v>
      </c>
      <c r="T28">
        <f>+T26*2.35</f>
        <v>1680.25</v>
      </c>
      <c r="U28">
        <f>+U26*2.35</f>
        <v>479.40000000000003</v>
      </c>
      <c r="V28">
        <f>+V26*2.7</f>
        <v>459.00000000000006</v>
      </c>
      <c r="W28">
        <f>+W26*2.15</f>
        <v>0</v>
      </c>
      <c r="X28">
        <f>+X26*0.44</f>
        <v>0</v>
      </c>
      <c r="Y28">
        <f>+Y26*0.34</f>
        <v>0</v>
      </c>
      <c r="Z28" s="50">
        <f>+Z26*2.3</f>
        <v>73.599999999999994</v>
      </c>
      <c r="AA28">
        <f>+AA26*0.58</f>
        <v>0</v>
      </c>
      <c r="AB28">
        <f>+AB26*1.75</f>
        <v>35</v>
      </c>
    </row>
    <row r="29" spans="1:28" x14ac:dyDescent="0.25">
      <c r="AB29" s="39">
        <f>SUM(D28:AB28)</f>
        <v>47938.479999999996</v>
      </c>
    </row>
    <row r="30" spans="1:28" x14ac:dyDescent="0.25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103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x14ac:dyDescent="0.25">
      <c r="J31">
        <f>584*0.71</f>
        <v>414.64</v>
      </c>
      <c r="R31">
        <f>127*2.07</f>
        <v>262.89</v>
      </c>
    </row>
    <row r="32" spans="1:28" x14ac:dyDescent="0.25">
      <c r="J32">
        <f>416*0.78</f>
        <v>324.48</v>
      </c>
      <c r="R32">
        <f>23*2.25</f>
        <v>51.75</v>
      </c>
    </row>
    <row r="33" spans="3:20" x14ac:dyDescent="0.25">
      <c r="J33">
        <f>+J31+J32</f>
        <v>739.12</v>
      </c>
      <c r="N33" s="60"/>
      <c r="R33" s="50">
        <f>SUM(R31:R32)</f>
        <v>314.64</v>
      </c>
    </row>
    <row r="34" spans="3:20" x14ac:dyDescent="0.25">
      <c r="J34" s="60">
        <f>J33/1000</f>
        <v>0.73912</v>
      </c>
      <c r="R34" s="85">
        <f>+R33/150</f>
        <v>2.0975999999999999</v>
      </c>
      <c r="T34" s="84"/>
    </row>
    <row r="35" spans="3:20" x14ac:dyDescent="0.25">
      <c r="K35" s="60"/>
      <c r="R35" s="60"/>
    </row>
    <row r="40" spans="3:20" x14ac:dyDescent="0.25">
      <c r="C40" s="98" t="s">
        <v>118</v>
      </c>
      <c r="D40">
        <f>5050+180</f>
        <v>5230</v>
      </c>
      <c r="E40">
        <v>140</v>
      </c>
      <c r="F40">
        <f>-310+70+80</f>
        <v>-160</v>
      </c>
      <c r="G40">
        <f>8000+1340-200</f>
        <v>9140</v>
      </c>
      <c r="H40">
        <f>12540+400</f>
        <v>12940</v>
      </c>
      <c r="I40">
        <f>3670+1320-7150</f>
        <v>-2160</v>
      </c>
      <c r="J40">
        <f>12700+870+980+24320+600</f>
        <v>39470</v>
      </c>
      <c r="K40">
        <f>38950+1000+1080+600</f>
        <v>41630</v>
      </c>
      <c r="L40">
        <f>23176+4500+600+1000+35680+3900</f>
        <v>68856</v>
      </c>
    </row>
    <row r="41" spans="3:20" x14ac:dyDescent="0.25">
      <c r="C41" t="s">
        <v>119</v>
      </c>
      <c r="D41">
        <v>6500</v>
      </c>
      <c r="E41">
        <v>6500</v>
      </c>
      <c r="F41">
        <v>6500</v>
      </c>
      <c r="G41">
        <v>6500</v>
      </c>
      <c r="H41">
        <v>5800</v>
      </c>
      <c r="I41">
        <v>5800</v>
      </c>
      <c r="J41">
        <v>5800</v>
      </c>
      <c r="K41">
        <v>5100</v>
      </c>
      <c r="L41">
        <v>5100</v>
      </c>
    </row>
    <row r="42" spans="3:20" x14ac:dyDescent="0.25">
      <c r="C42" t="s">
        <v>120</v>
      </c>
      <c r="D42">
        <v>33280</v>
      </c>
      <c r="E42">
        <v>33280</v>
      </c>
      <c r="F42">
        <f>38060-1480</f>
        <v>36580</v>
      </c>
      <c r="G42">
        <v>27560</v>
      </c>
      <c r="H42">
        <v>24080</v>
      </c>
      <c r="I42">
        <v>42702</v>
      </c>
      <c r="J42">
        <v>0</v>
      </c>
      <c r="K42">
        <v>0</v>
      </c>
      <c r="L42">
        <f>1081-340</f>
        <v>741</v>
      </c>
    </row>
    <row r="43" spans="3:20" x14ac:dyDescent="0.25">
      <c r="C43" t="s">
        <v>123</v>
      </c>
      <c r="D43">
        <v>2960</v>
      </c>
      <c r="E43">
        <v>2960</v>
      </c>
      <c r="F43">
        <f>1150</f>
        <v>1150</v>
      </c>
      <c r="G43">
        <v>1980</v>
      </c>
      <c r="H43">
        <v>4000</v>
      </c>
      <c r="I43">
        <v>0</v>
      </c>
      <c r="K43">
        <v>0</v>
      </c>
      <c r="L43">
        <v>0</v>
      </c>
    </row>
    <row r="44" spans="3:20" x14ac:dyDescent="0.25">
      <c r="C44" t="s">
        <v>122</v>
      </c>
      <c r="D44">
        <v>1300</v>
      </c>
      <c r="E44">
        <v>1300</v>
      </c>
      <c r="F44">
        <v>1300</v>
      </c>
      <c r="G44">
        <v>1300</v>
      </c>
      <c r="H44">
        <v>1140</v>
      </c>
      <c r="I44">
        <v>1140</v>
      </c>
      <c r="J44">
        <v>1140</v>
      </c>
      <c r="K44">
        <v>0</v>
      </c>
      <c r="L44">
        <v>0</v>
      </c>
    </row>
    <row r="45" spans="3:20" x14ac:dyDescent="0.25">
      <c r="C45" t="s">
        <v>127</v>
      </c>
      <c r="D45">
        <v>-9815</v>
      </c>
      <c r="E45">
        <v>-4815</v>
      </c>
      <c r="F45">
        <v>-4815</v>
      </c>
      <c r="G45">
        <v>-4815</v>
      </c>
      <c r="H45">
        <v>-4815</v>
      </c>
      <c r="I45">
        <v>-4815</v>
      </c>
      <c r="J45">
        <v>-3609</v>
      </c>
      <c r="K45">
        <v>-3609</v>
      </c>
      <c r="L45">
        <f>-1324-1120</f>
        <v>-2444</v>
      </c>
    </row>
    <row r="46" spans="3:20" x14ac:dyDescent="0.25">
      <c r="C46" t="s">
        <v>128</v>
      </c>
      <c r="L46">
        <f>-2336.5*12</f>
        <v>-28038</v>
      </c>
    </row>
    <row r="48" spans="3:20" x14ac:dyDescent="0.25">
      <c r="D48">
        <f>SUM(D40:D47)</f>
        <v>39455</v>
      </c>
      <c r="E48">
        <f>SUM(E40:E45)</f>
        <v>39365</v>
      </c>
      <c r="F48">
        <f>SUM(F40:F45)</f>
        <v>40555</v>
      </c>
      <c r="G48">
        <f>SUM(G40:G45)</f>
        <v>41665</v>
      </c>
      <c r="H48">
        <f>SUM(H40:H45)</f>
        <v>43145</v>
      </c>
      <c r="I48">
        <f>SUM(I40:I45)</f>
        <v>42667</v>
      </c>
      <c r="J48">
        <f>SUM(J40:J47)</f>
        <v>42801</v>
      </c>
      <c r="K48">
        <f>SUM(K40:K47)</f>
        <v>43121</v>
      </c>
      <c r="L48">
        <f>SUM(L40:L47)</f>
        <v>44215</v>
      </c>
    </row>
    <row r="49" spans="3:12" x14ac:dyDescent="0.25">
      <c r="C49" t="s">
        <v>124</v>
      </c>
      <c r="D49">
        <v>100</v>
      </c>
      <c r="E49">
        <v>100</v>
      </c>
      <c r="F49">
        <v>100</v>
      </c>
      <c r="G49">
        <v>100</v>
      </c>
      <c r="H49">
        <f>100+350</f>
        <v>450</v>
      </c>
      <c r="I49">
        <v>100</v>
      </c>
      <c r="J49">
        <v>100</v>
      </c>
    </row>
    <row r="50" spans="3:12" x14ac:dyDescent="0.25">
      <c r="C50" t="s">
        <v>125</v>
      </c>
      <c r="D50">
        <f t="shared" ref="D50:I50" si="1">+D48-D49</f>
        <v>39355</v>
      </c>
      <c r="E50">
        <f t="shared" si="1"/>
        <v>39265</v>
      </c>
      <c r="F50">
        <f t="shared" si="1"/>
        <v>40455</v>
      </c>
      <c r="G50">
        <f t="shared" si="1"/>
        <v>41565</v>
      </c>
      <c r="H50">
        <f t="shared" si="1"/>
        <v>42695</v>
      </c>
      <c r="I50">
        <f t="shared" si="1"/>
        <v>42567</v>
      </c>
      <c r="J50">
        <f>+J48-J49</f>
        <v>42701</v>
      </c>
    </row>
    <row r="51" spans="3:12" x14ac:dyDescent="0.25">
      <c r="G51">
        <f>+G50-F50</f>
        <v>1110</v>
      </c>
      <c r="H51">
        <f>+H50-G50</f>
        <v>1130</v>
      </c>
      <c r="L51">
        <f>+L48-K48</f>
        <v>1094</v>
      </c>
    </row>
    <row r="52" spans="3:12" x14ac:dyDescent="0.25">
      <c r="I52">
        <f>+H50-I50</f>
        <v>128</v>
      </c>
      <c r="J52">
        <f>+J50-I50</f>
        <v>134</v>
      </c>
    </row>
    <row r="55" spans="3:12" x14ac:dyDescent="0.25">
      <c r="J55" s="102">
        <v>20611410159</v>
      </c>
    </row>
    <row r="56" spans="3:12" x14ac:dyDescent="0.25">
      <c r="J56" s="102">
        <v>41200545</v>
      </c>
    </row>
  </sheetData>
  <mergeCells count="7">
    <mergeCell ref="X2:Y2"/>
    <mergeCell ref="A4:A16"/>
    <mergeCell ref="A17:A25"/>
    <mergeCell ref="D2:H2"/>
    <mergeCell ref="I2:N2"/>
    <mergeCell ref="O2:S2"/>
    <mergeCell ref="T2:W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5297-B8E6-412A-BB2C-633043F5C255}">
  <dimension ref="A1:AG84"/>
  <sheetViews>
    <sheetView zoomScale="60" zoomScaleNormal="60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T55" sqref="T55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34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2" width="12" customWidth="1"/>
    <col min="13" max="13" width="11.28515625" customWidth="1"/>
    <col min="14" max="14" width="10.42578125" bestFit="1" customWidth="1"/>
    <col min="15" max="15" width="8.7109375" bestFit="1" customWidth="1"/>
    <col min="16" max="16" width="10.5703125" customWidth="1"/>
    <col min="17" max="17" width="8.7109375" customWidth="1"/>
    <col min="18" max="18" width="11.28515625" customWidth="1"/>
    <col min="19" max="19" width="10.85546875" customWidth="1"/>
    <col min="20" max="22" width="10.7109375" customWidth="1"/>
    <col min="23" max="23" width="11.5703125" customWidth="1"/>
    <col min="24" max="24" width="14.42578125" customWidth="1"/>
    <col min="25" max="25" width="9.85546875" customWidth="1"/>
    <col min="26" max="26" width="16.7109375" customWidth="1"/>
    <col min="27" max="27" width="12.28515625" customWidth="1"/>
    <col min="28" max="28" width="14.5703125" customWidth="1"/>
    <col min="32" max="32" width="16.140625" customWidth="1"/>
  </cols>
  <sheetData>
    <row r="1" spans="1:28" ht="33" customHeight="1" thickBot="1" x14ac:dyDescent="0.3"/>
    <row r="2" spans="1:28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09"/>
      <c r="O2" s="308" t="s">
        <v>2</v>
      </c>
      <c r="P2" s="313"/>
      <c r="Q2" s="313"/>
      <c r="R2" s="313"/>
      <c r="S2" s="309"/>
      <c r="T2" s="308" t="s">
        <v>3</v>
      </c>
      <c r="U2" s="313"/>
      <c r="V2" s="313"/>
      <c r="W2" s="309"/>
      <c r="X2" s="308" t="s">
        <v>4</v>
      </c>
      <c r="Y2" s="309"/>
      <c r="Z2" s="92" t="s">
        <v>114</v>
      </c>
      <c r="AA2" s="93" t="s">
        <v>105</v>
      </c>
      <c r="AB2" s="46" t="s">
        <v>91</v>
      </c>
    </row>
    <row r="3" spans="1:28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8" t="s">
        <v>13</v>
      </c>
      <c r="I3" s="9" t="s">
        <v>126</v>
      </c>
      <c r="J3" s="7" t="s">
        <v>11</v>
      </c>
      <c r="K3" s="7" t="s">
        <v>12</v>
      </c>
      <c r="L3" s="7" t="s">
        <v>13</v>
      </c>
      <c r="M3" s="7" t="s">
        <v>15</v>
      </c>
      <c r="N3" s="8" t="s">
        <v>136</v>
      </c>
      <c r="O3" s="6" t="s">
        <v>12</v>
      </c>
      <c r="P3" s="7" t="s">
        <v>69</v>
      </c>
      <c r="Q3" s="7" t="s">
        <v>13</v>
      </c>
      <c r="R3" s="7" t="s">
        <v>16</v>
      </c>
      <c r="S3" s="8" t="s">
        <v>8</v>
      </c>
      <c r="T3" s="6" t="s">
        <v>16</v>
      </c>
      <c r="U3" s="7" t="s">
        <v>77</v>
      </c>
      <c r="V3" s="7" t="s">
        <v>12</v>
      </c>
      <c r="W3" s="8" t="s">
        <v>69</v>
      </c>
      <c r="X3" s="6" t="s">
        <v>17</v>
      </c>
      <c r="Y3" s="8" t="s">
        <v>18</v>
      </c>
      <c r="Z3" s="7" t="s">
        <v>116</v>
      </c>
      <c r="AA3" s="10" t="s">
        <v>106</v>
      </c>
      <c r="AB3" s="10" t="s">
        <v>92</v>
      </c>
    </row>
    <row r="4" spans="1:28" x14ac:dyDescent="0.25">
      <c r="A4" s="310" t="s">
        <v>19</v>
      </c>
      <c r="B4" s="49"/>
      <c r="C4" s="2"/>
      <c r="D4" s="42">
        <f>'STOCK 08-14-02'!D25</f>
        <v>250</v>
      </c>
      <c r="E4" s="42">
        <f>'STOCK 08-14-02'!E25</f>
        <v>95</v>
      </c>
      <c r="F4" s="42">
        <f>'STOCK 08-14-02'!F25</f>
        <v>0</v>
      </c>
      <c r="G4" s="42">
        <v>1694</v>
      </c>
      <c r="H4" s="42">
        <v>20000</v>
      </c>
      <c r="I4" s="42">
        <v>4000</v>
      </c>
      <c r="J4" s="42">
        <v>16584</v>
      </c>
      <c r="K4" s="42">
        <v>2093</v>
      </c>
      <c r="L4" s="42">
        <v>12700</v>
      </c>
      <c r="M4" s="42">
        <f>'STOCK 08-14-02'!M25</f>
        <v>0</v>
      </c>
      <c r="N4" s="42">
        <v>2300</v>
      </c>
      <c r="O4" s="42">
        <f>'STOCK 08-14-02'!O25</f>
        <v>2</v>
      </c>
      <c r="P4" s="42">
        <f>'STOCK 08-14-02'!P25</f>
        <v>0</v>
      </c>
      <c r="Q4" s="42">
        <f>'STOCK 08-14-02'!Q25</f>
        <v>0</v>
      </c>
      <c r="R4" s="42">
        <v>427</v>
      </c>
      <c r="S4" s="42">
        <f>'STOCK 08-14-02'!S25</f>
        <v>0</v>
      </c>
      <c r="T4" s="42">
        <v>715</v>
      </c>
      <c r="U4" s="42">
        <f>'STOCK 08-14-02'!U25</f>
        <v>204</v>
      </c>
      <c r="V4" s="42">
        <f>'STOCK 08-14-02'!V25</f>
        <v>170</v>
      </c>
      <c r="W4" s="42">
        <f>'STOCK 08-14-02'!W25</f>
        <v>0</v>
      </c>
      <c r="X4" s="42">
        <f>'STOCK 08-14-02'!X25</f>
        <v>0</v>
      </c>
      <c r="Y4" s="42">
        <f>'STOCK 08-14-02'!Y25</f>
        <v>0</v>
      </c>
      <c r="Z4" s="42">
        <v>32</v>
      </c>
      <c r="AA4" s="42">
        <f>'STOCK 08-14-02'!AA25</f>
        <v>0</v>
      </c>
      <c r="AB4" s="42">
        <f>'STOCK 08-14-02'!AB25</f>
        <v>20</v>
      </c>
    </row>
    <row r="5" spans="1:28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14"/>
      <c r="O5" s="27"/>
      <c r="S5" s="31"/>
      <c r="T5" s="13"/>
      <c r="W5" s="31"/>
      <c r="X5" s="13"/>
      <c r="Y5" s="31"/>
      <c r="AA5" s="94"/>
      <c r="AB5" s="15"/>
    </row>
    <row r="6" spans="1:28" x14ac:dyDescent="0.25">
      <c r="A6" s="311"/>
      <c r="B6" s="20">
        <v>46077</v>
      </c>
      <c r="C6" s="82" t="s">
        <v>133</v>
      </c>
      <c r="D6" s="27"/>
      <c r="F6" s="35"/>
      <c r="H6" s="31">
        <v>20000</v>
      </c>
      <c r="I6" s="13"/>
      <c r="J6" s="35"/>
      <c r="L6" s="35"/>
      <c r="M6" s="35"/>
      <c r="N6" s="14"/>
      <c r="O6" s="27"/>
      <c r="S6" s="31"/>
      <c r="T6" s="13"/>
      <c r="W6" s="31"/>
      <c r="X6" s="13"/>
      <c r="Y6" s="31"/>
      <c r="AA6" s="94"/>
      <c r="AB6" s="15"/>
    </row>
    <row r="7" spans="1:28" x14ac:dyDescent="0.25">
      <c r="A7" s="311"/>
      <c r="B7" s="20">
        <v>46078</v>
      </c>
      <c r="C7" s="82" t="s">
        <v>134</v>
      </c>
      <c r="D7" s="27"/>
      <c r="F7" s="35"/>
      <c r="H7" s="31"/>
      <c r="I7" s="13"/>
      <c r="J7" s="35"/>
      <c r="L7" s="35"/>
      <c r="M7" s="35"/>
      <c r="N7" s="14"/>
      <c r="O7" s="27"/>
      <c r="S7" s="31"/>
      <c r="T7" s="13">
        <v>1000</v>
      </c>
      <c r="W7" s="31"/>
      <c r="X7" s="13"/>
      <c r="Y7" s="31"/>
      <c r="AA7" s="94"/>
      <c r="AB7" s="15"/>
    </row>
    <row r="8" spans="1:28" x14ac:dyDescent="0.25">
      <c r="A8" s="311"/>
      <c r="B8" s="20">
        <v>46078</v>
      </c>
      <c r="C8" s="82" t="s">
        <v>46</v>
      </c>
      <c r="D8" s="27"/>
      <c r="F8" s="35"/>
      <c r="H8" s="31"/>
      <c r="I8" s="13"/>
      <c r="J8" s="35"/>
      <c r="L8" s="35"/>
      <c r="M8" s="35"/>
      <c r="N8" s="14">
        <v>3000</v>
      </c>
      <c r="O8" s="27"/>
      <c r="S8" s="31"/>
      <c r="T8" s="13"/>
      <c r="W8" s="31"/>
      <c r="X8" s="13"/>
      <c r="Y8" s="31"/>
      <c r="AA8" s="94"/>
      <c r="AB8" s="15"/>
    </row>
    <row r="9" spans="1:28" x14ac:dyDescent="0.25">
      <c r="A9" s="311"/>
      <c r="B9" s="20"/>
      <c r="C9" s="82"/>
      <c r="D9" s="27"/>
      <c r="F9" s="35"/>
      <c r="H9" s="31"/>
      <c r="I9" s="13"/>
      <c r="J9" s="35"/>
      <c r="L9" s="35">
        <v>14000</v>
      </c>
      <c r="M9" s="35"/>
      <c r="N9" s="14"/>
      <c r="O9" s="27"/>
      <c r="S9" s="31"/>
      <c r="T9" s="13"/>
      <c r="W9" s="31"/>
      <c r="X9" s="13"/>
      <c r="Y9" s="31"/>
      <c r="AA9" s="94"/>
      <c r="AB9" s="15"/>
    </row>
    <row r="10" spans="1:28" x14ac:dyDescent="0.25">
      <c r="A10" s="311"/>
      <c r="B10" s="20"/>
      <c r="C10" s="82" t="s">
        <v>138</v>
      </c>
      <c r="D10" s="27"/>
      <c r="F10" s="35"/>
      <c r="H10" s="31"/>
      <c r="I10" s="13"/>
      <c r="J10" s="35"/>
      <c r="L10" s="35"/>
      <c r="M10" s="35"/>
      <c r="N10" s="14">
        <v>2000</v>
      </c>
      <c r="O10" s="27"/>
      <c r="S10" s="31"/>
      <c r="T10" s="13"/>
      <c r="W10" s="31"/>
      <c r="X10" s="13"/>
      <c r="Y10" s="31"/>
      <c r="AA10" s="94"/>
      <c r="AB10" s="15"/>
    </row>
    <row r="11" spans="1:28" x14ac:dyDescent="0.25">
      <c r="A11" s="311"/>
      <c r="B11" s="20">
        <v>46081</v>
      </c>
      <c r="C11" s="82" t="s">
        <v>46</v>
      </c>
      <c r="D11" s="27"/>
      <c r="F11" s="35"/>
      <c r="H11" s="31"/>
      <c r="I11" s="13"/>
      <c r="J11" s="35"/>
      <c r="L11" s="35"/>
      <c r="M11" s="35"/>
      <c r="N11" s="14"/>
      <c r="O11" s="27"/>
      <c r="S11" s="31"/>
      <c r="T11" s="13">
        <v>1000</v>
      </c>
      <c r="W11" s="31"/>
      <c r="X11" s="13"/>
      <c r="Y11" s="31"/>
      <c r="AA11" s="94"/>
      <c r="AB11" s="15"/>
    </row>
    <row r="12" spans="1:28" x14ac:dyDescent="0.25">
      <c r="A12" s="311"/>
      <c r="B12" s="20"/>
      <c r="C12" s="82"/>
      <c r="D12" s="27"/>
      <c r="F12" s="35"/>
      <c r="H12" s="31"/>
      <c r="I12" s="13"/>
      <c r="J12" s="35"/>
      <c r="L12" s="35"/>
      <c r="M12" s="35"/>
      <c r="N12" s="14"/>
      <c r="O12" s="27"/>
      <c r="S12" s="31"/>
      <c r="T12" s="13"/>
      <c r="W12" s="31"/>
      <c r="X12" s="13"/>
      <c r="Y12" s="31"/>
      <c r="AA12" s="94"/>
      <c r="AB12" s="15"/>
    </row>
    <row r="13" spans="1:28" x14ac:dyDescent="0.25">
      <c r="A13" s="311"/>
      <c r="B13" s="20"/>
      <c r="C13" s="82"/>
      <c r="D13" s="27"/>
      <c r="F13" s="35"/>
      <c r="H13" s="31"/>
      <c r="I13" s="13"/>
      <c r="J13" s="35"/>
      <c r="L13" s="35"/>
      <c r="M13" s="35"/>
      <c r="N13" s="14"/>
      <c r="O13" s="27"/>
      <c r="S13" s="31"/>
      <c r="T13" s="13"/>
      <c r="W13" s="31"/>
      <c r="X13" s="13"/>
      <c r="Y13" s="31"/>
      <c r="AA13" s="94"/>
      <c r="AB13" s="15"/>
    </row>
    <row r="14" spans="1:28" x14ac:dyDescent="0.25">
      <c r="A14" s="311"/>
      <c r="B14" s="20"/>
      <c r="C14" s="82"/>
      <c r="D14" s="27"/>
      <c r="F14" s="35"/>
      <c r="H14" s="31"/>
      <c r="I14" s="13"/>
      <c r="J14" s="35"/>
      <c r="L14" s="35"/>
      <c r="M14" s="35"/>
      <c r="N14" s="14"/>
      <c r="O14" s="27"/>
      <c r="S14" s="31"/>
      <c r="T14" s="13"/>
      <c r="W14" s="31"/>
      <c r="X14" s="13"/>
      <c r="Y14" s="31"/>
      <c r="AA14" s="94"/>
      <c r="AB14" s="15"/>
    </row>
    <row r="15" spans="1:28" x14ac:dyDescent="0.25">
      <c r="A15" s="311"/>
      <c r="B15" s="20"/>
      <c r="C15" s="82"/>
      <c r="D15" s="27"/>
      <c r="F15" s="35"/>
      <c r="H15" s="31"/>
      <c r="I15" s="13"/>
      <c r="J15" s="35"/>
      <c r="L15" s="35"/>
      <c r="M15" s="35"/>
      <c r="N15" s="14"/>
      <c r="O15" s="27"/>
      <c r="S15" s="31"/>
      <c r="T15" s="13"/>
      <c r="W15" s="31"/>
      <c r="X15" s="13"/>
      <c r="Y15" s="31"/>
      <c r="AA15" s="94"/>
      <c r="AB15" s="15"/>
    </row>
    <row r="16" spans="1:28" ht="15.75" thickBot="1" x14ac:dyDescent="0.3">
      <c r="A16" s="312"/>
      <c r="B16" s="72"/>
      <c r="C16" s="17"/>
      <c r="D16" s="28"/>
      <c r="E16" s="18"/>
      <c r="F16" s="36"/>
      <c r="G16" s="18"/>
      <c r="H16" s="32"/>
      <c r="I16" s="16"/>
      <c r="J16" s="36"/>
      <c r="K16" s="18"/>
      <c r="L16" s="36"/>
      <c r="M16" s="36"/>
      <c r="N16" s="17"/>
      <c r="O16" s="28"/>
      <c r="P16" s="18"/>
      <c r="Q16" s="18"/>
      <c r="R16" s="18"/>
      <c r="S16" s="32"/>
      <c r="T16" s="16"/>
      <c r="U16" s="18"/>
      <c r="V16" s="18"/>
      <c r="W16" s="32"/>
      <c r="X16" s="16"/>
      <c r="Y16" s="32"/>
      <c r="Z16" s="18"/>
      <c r="AA16" s="95"/>
      <c r="AB16" s="19"/>
    </row>
    <row r="17" spans="1:28" x14ac:dyDescent="0.25">
      <c r="A17" s="310" t="s">
        <v>62</v>
      </c>
      <c r="B17" s="20">
        <v>46076</v>
      </c>
      <c r="C17" s="14" t="s">
        <v>140</v>
      </c>
      <c r="D17" s="27"/>
      <c r="F17" s="35"/>
      <c r="H17" s="105">
        <v>20</v>
      </c>
      <c r="I17" s="13"/>
      <c r="J17" s="35"/>
      <c r="L17" s="35"/>
      <c r="M17" s="35"/>
      <c r="N17" s="14">
        <v>690</v>
      </c>
      <c r="O17" s="27"/>
      <c r="S17" s="31"/>
      <c r="T17" s="13"/>
      <c r="W17" s="31"/>
      <c r="X17" s="13"/>
      <c r="Y17" s="31"/>
      <c r="AA17" s="94"/>
      <c r="AB17" s="15"/>
    </row>
    <row r="18" spans="1:28" x14ac:dyDescent="0.25">
      <c r="A18" s="311"/>
      <c r="B18" s="20">
        <v>46076</v>
      </c>
      <c r="C18" s="14" t="s">
        <v>22</v>
      </c>
      <c r="D18" s="27"/>
      <c r="F18" s="35"/>
      <c r="H18" s="31"/>
      <c r="I18" s="13"/>
      <c r="J18" s="35">
        <v>600</v>
      </c>
      <c r="L18" s="35"/>
      <c r="M18" s="35"/>
      <c r="N18" s="14">
        <v>0</v>
      </c>
      <c r="O18" s="27"/>
      <c r="S18" s="31"/>
      <c r="T18" s="13"/>
      <c r="W18" s="31"/>
      <c r="X18" s="13"/>
      <c r="Y18" s="31"/>
      <c r="AA18" s="94"/>
      <c r="AB18" s="15"/>
    </row>
    <row r="19" spans="1:28" x14ac:dyDescent="0.25">
      <c r="A19" s="311"/>
      <c r="B19" s="20">
        <v>46076</v>
      </c>
      <c r="C19" s="14" t="s">
        <v>22</v>
      </c>
      <c r="D19" s="27"/>
      <c r="F19" s="35"/>
      <c r="H19" s="31"/>
      <c r="I19" s="13">
        <v>1000</v>
      </c>
      <c r="J19" s="35">
        <v>0</v>
      </c>
      <c r="L19" s="35"/>
      <c r="M19" s="35"/>
      <c r="N19" s="14"/>
      <c r="O19" s="27"/>
      <c r="S19" s="31"/>
      <c r="T19" s="13"/>
      <c r="W19" s="31"/>
      <c r="X19" s="13"/>
      <c r="Y19" s="31"/>
      <c r="AA19" s="94"/>
      <c r="AB19" s="15"/>
    </row>
    <row r="20" spans="1:28" x14ac:dyDescent="0.25">
      <c r="A20" s="311"/>
      <c r="B20" s="20">
        <v>46076</v>
      </c>
      <c r="C20" s="14" t="s">
        <v>79</v>
      </c>
      <c r="D20" s="27"/>
      <c r="F20" s="35"/>
      <c r="G20">
        <v>1500</v>
      </c>
      <c r="H20" s="31"/>
      <c r="I20" s="13"/>
      <c r="J20" s="35"/>
      <c r="L20" s="35"/>
      <c r="M20" s="35"/>
      <c r="N20" s="14"/>
      <c r="O20" s="27"/>
      <c r="S20" s="31"/>
      <c r="T20" s="13"/>
      <c r="W20" s="31"/>
      <c r="X20" s="13"/>
      <c r="Y20" s="31"/>
      <c r="AA20" s="94"/>
      <c r="AB20" s="15"/>
    </row>
    <row r="21" spans="1:28" x14ac:dyDescent="0.25">
      <c r="A21" s="311"/>
      <c r="B21" s="20">
        <v>46076</v>
      </c>
      <c r="C21" s="14" t="s">
        <v>22</v>
      </c>
      <c r="D21" s="27"/>
      <c r="F21" s="35"/>
      <c r="H21" s="31"/>
      <c r="I21" s="13"/>
      <c r="J21" s="35"/>
      <c r="L21" s="35">
        <v>448</v>
      </c>
      <c r="M21" s="35"/>
      <c r="N21" s="14"/>
      <c r="O21" s="27"/>
      <c r="S21" s="31"/>
      <c r="T21" s="13"/>
      <c r="W21" s="31"/>
      <c r="X21" s="13"/>
      <c r="Y21" s="31"/>
      <c r="AA21" s="94"/>
      <c r="AB21" s="15"/>
    </row>
    <row r="22" spans="1:28" x14ac:dyDescent="0.25">
      <c r="A22" s="311"/>
      <c r="B22" s="20">
        <v>46076</v>
      </c>
      <c r="C22" s="14" t="s">
        <v>22</v>
      </c>
      <c r="D22" s="27"/>
      <c r="F22" s="35"/>
      <c r="H22" s="31"/>
      <c r="I22" s="13"/>
      <c r="J22" s="35"/>
      <c r="L22" s="35">
        <v>2500</v>
      </c>
      <c r="M22" s="35"/>
      <c r="N22" s="14"/>
      <c r="O22" s="27"/>
      <c r="S22" s="31"/>
      <c r="T22" s="13"/>
      <c r="W22" s="31"/>
      <c r="X22" s="13"/>
      <c r="Y22" s="31"/>
      <c r="AA22" s="94"/>
      <c r="AB22" s="15"/>
    </row>
    <row r="23" spans="1:28" x14ac:dyDescent="0.25">
      <c r="A23" s="311"/>
      <c r="B23" s="20">
        <v>46076</v>
      </c>
      <c r="C23" s="14" t="s">
        <v>131</v>
      </c>
      <c r="D23" s="27"/>
      <c r="F23" s="35"/>
      <c r="H23" s="31"/>
      <c r="I23" s="13"/>
      <c r="J23" s="35">
        <v>6000</v>
      </c>
      <c r="L23" s="35"/>
      <c r="M23" s="35"/>
      <c r="N23" s="14"/>
      <c r="O23" s="27"/>
      <c r="S23" s="31"/>
      <c r="T23" s="13"/>
      <c r="W23" s="31"/>
      <c r="X23" s="13"/>
      <c r="Y23" s="31"/>
      <c r="AA23" s="94"/>
      <c r="AB23" s="15"/>
    </row>
    <row r="24" spans="1:28" x14ac:dyDescent="0.25">
      <c r="A24" s="311"/>
      <c r="B24" s="20">
        <v>46077</v>
      </c>
      <c r="C24" s="14" t="s">
        <v>22</v>
      </c>
      <c r="D24" s="27"/>
      <c r="F24" s="35"/>
      <c r="H24" s="31"/>
      <c r="I24" s="13">
        <v>1000</v>
      </c>
      <c r="J24" s="35"/>
      <c r="L24" s="35"/>
      <c r="M24" s="35"/>
      <c r="N24" s="14"/>
      <c r="O24" s="27"/>
      <c r="S24" s="31"/>
      <c r="T24" s="13"/>
      <c r="W24" s="31"/>
      <c r="X24" s="13"/>
      <c r="Y24" s="31"/>
      <c r="AA24" s="94"/>
      <c r="AB24" s="15"/>
    </row>
    <row r="25" spans="1:28" x14ac:dyDescent="0.25">
      <c r="A25" s="311"/>
      <c r="B25" s="20">
        <v>46077</v>
      </c>
      <c r="C25" s="14" t="s">
        <v>141</v>
      </c>
      <c r="D25" s="27"/>
      <c r="F25" s="35"/>
      <c r="H25" s="106">
        <v>4000</v>
      </c>
      <c r="I25" s="13"/>
      <c r="J25" s="35"/>
      <c r="L25" s="35"/>
      <c r="M25" s="35"/>
      <c r="N25" s="14"/>
      <c r="O25" s="27"/>
      <c r="S25" s="31"/>
      <c r="T25" s="13"/>
      <c r="W25" s="31"/>
      <c r="X25" s="13"/>
      <c r="Y25" s="31"/>
      <c r="AA25" s="94"/>
      <c r="AB25" s="15"/>
    </row>
    <row r="26" spans="1:28" x14ac:dyDescent="0.25">
      <c r="A26" s="311"/>
      <c r="B26" s="20">
        <v>46077</v>
      </c>
      <c r="C26" s="14" t="s">
        <v>22</v>
      </c>
      <c r="D26" s="27"/>
      <c r="F26" s="35"/>
      <c r="H26" s="31"/>
      <c r="I26" s="13">
        <v>500</v>
      </c>
      <c r="J26" s="35"/>
      <c r="L26" s="35"/>
      <c r="M26" s="35"/>
      <c r="N26" s="14"/>
      <c r="O26" s="27"/>
      <c r="S26" s="31"/>
      <c r="T26" s="13"/>
      <c r="W26" s="31"/>
      <c r="X26" s="13"/>
      <c r="Y26" s="31"/>
      <c r="AA26" s="94"/>
      <c r="AB26" s="15"/>
    </row>
    <row r="27" spans="1:28" x14ac:dyDescent="0.25">
      <c r="A27" s="311"/>
      <c r="B27" s="20">
        <v>46077</v>
      </c>
      <c r="C27" s="14" t="s">
        <v>22</v>
      </c>
      <c r="D27" s="27"/>
      <c r="F27" s="35"/>
      <c r="H27" s="31"/>
      <c r="I27" s="13">
        <v>1000</v>
      </c>
      <c r="J27" s="35"/>
      <c r="L27" s="35"/>
      <c r="M27" s="35"/>
      <c r="N27" s="14"/>
      <c r="O27" s="27"/>
      <c r="S27" s="31"/>
      <c r="T27" s="13"/>
      <c r="W27" s="31"/>
      <c r="X27" s="13"/>
      <c r="Y27" s="31"/>
      <c r="AA27" s="94"/>
      <c r="AB27" s="15"/>
    </row>
    <row r="28" spans="1:28" x14ac:dyDescent="0.25">
      <c r="A28" s="311"/>
      <c r="B28" s="20">
        <v>46077</v>
      </c>
      <c r="C28" s="14" t="s">
        <v>143</v>
      </c>
      <c r="D28" s="27"/>
      <c r="F28" s="35"/>
      <c r="H28" s="31">
        <v>2000</v>
      </c>
      <c r="I28" s="13"/>
      <c r="J28" s="35">
        <v>2000</v>
      </c>
      <c r="L28" s="35"/>
      <c r="M28" s="35"/>
      <c r="N28" s="14"/>
      <c r="O28" s="27"/>
      <c r="S28" s="31"/>
      <c r="T28" s="13"/>
      <c r="W28" s="31"/>
      <c r="X28" s="13"/>
      <c r="Y28" s="31"/>
      <c r="AA28" s="94"/>
      <c r="AB28" s="15"/>
    </row>
    <row r="29" spans="1:28" x14ac:dyDescent="0.25">
      <c r="A29" s="311"/>
      <c r="B29" s="20">
        <v>46077</v>
      </c>
      <c r="C29" s="14" t="s">
        <v>22</v>
      </c>
      <c r="D29" s="27"/>
      <c r="F29" s="35"/>
      <c r="H29" s="31"/>
      <c r="I29" s="13"/>
      <c r="J29" s="35">
        <v>100</v>
      </c>
      <c r="L29" s="35"/>
      <c r="M29" s="35"/>
      <c r="N29" s="14"/>
      <c r="O29" s="27"/>
      <c r="S29" s="31"/>
      <c r="T29" s="13"/>
      <c r="W29" s="31"/>
      <c r="X29" s="13"/>
      <c r="Y29" s="31"/>
      <c r="AA29" s="94"/>
      <c r="AB29" s="15"/>
    </row>
    <row r="30" spans="1:28" x14ac:dyDescent="0.25">
      <c r="A30" s="311"/>
      <c r="B30" s="20">
        <v>46077</v>
      </c>
      <c r="C30" s="14" t="s">
        <v>22</v>
      </c>
      <c r="D30" s="27"/>
      <c r="F30" s="35"/>
      <c r="H30" s="31"/>
      <c r="I30" s="13"/>
      <c r="J30" s="35">
        <v>4000</v>
      </c>
      <c r="L30" s="35"/>
      <c r="M30" s="35"/>
      <c r="N30" s="14"/>
      <c r="O30" s="27"/>
      <c r="S30" s="31"/>
      <c r="T30" s="13"/>
      <c r="W30" s="31"/>
      <c r="X30" s="13"/>
      <c r="Y30" s="31"/>
      <c r="AA30" s="94"/>
      <c r="AB30" s="15"/>
    </row>
    <row r="31" spans="1:28" x14ac:dyDescent="0.25">
      <c r="A31" s="311"/>
      <c r="B31" s="20">
        <v>46077</v>
      </c>
      <c r="C31" s="14" t="s">
        <v>22</v>
      </c>
      <c r="D31" s="27"/>
      <c r="F31" s="35"/>
      <c r="H31" s="31"/>
      <c r="I31" s="13"/>
      <c r="J31" s="35"/>
      <c r="L31" s="35"/>
      <c r="M31" s="35"/>
      <c r="N31" s="14">
        <v>1800</v>
      </c>
      <c r="O31" s="27"/>
      <c r="S31" s="31"/>
      <c r="T31" s="13"/>
      <c r="W31" s="31"/>
      <c r="X31" s="13"/>
      <c r="Y31" s="31"/>
      <c r="AA31" s="94"/>
      <c r="AB31" s="15"/>
    </row>
    <row r="32" spans="1:28" x14ac:dyDescent="0.25">
      <c r="A32" s="311"/>
      <c r="B32" s="20">
        <v>46077</v>
      </c>
      <c r="C32" s="14" t="s">
        <v>22</v>
      </c>
      <c r="D32" s="27"/>
      <c r="F32" s="35"/>
      <c r="H32" s="31"/>
      <c r="I32" s="13"/>
      <c r="J32" s="35"/>
      <c r="L32" s="35"/>
      <c r="M32" s="35"/>
      <c r="N32" s="14">
        <v>1500</v>
      </c>
      <c r="O32" s="27"/>
      <c r="S32" s="31"/>
      <c r="T32" s="13"/>
      <c r="W32" s="31"/>
      <c r="X32" s="13"/>
      <c r="Y32" s="31"/>
      <c r="AA32" s="94"/>
      <c r="AB32" s="15"/>
    </row>
    <row r="33" spans="1:30" x14ac:dyDescent="0.25">
      <c r="A33" s="311"/>
      <c r="B33" s="20">
        <v>46077</v>
      </c>
      <c r="C33" s="14" t="s">
        <v>132</v>
      </c>
      <c r="D33" s="27"/>
      <c r="F33" s="35"/>
      <c r="H33" s="31"/>
      <c r="I33" s="13"/>
      <c r="J33" s="35"/>
      <c r="L33" s="35">
        <v>1000</v>
      </c>
      <c r="M33" s="35"/>
      <c r="N33" s="14"/>
      <c r="O33" s="27"/>
      <c r="S33" s="31"/>
      <c r="T33" s="13"/>
      <c r="W33" s="31"/>
      <c r="X33" s="13"/>
      <c r="Y33" s="31"/>
      <c r="AA33" s="94"/>
      <c r="AB33" s="15"/>
    </row>
    <row r="34" spans="1:30" x14ac:dyDescent="0.25">
      <c r="A34" s="311"/>
      <c r="B34" s="20">
        <v>46077</v>
      </c>
      <c r="C34" s="14" t="s">
        <v>144</v>
      </c>
      <c r="D34" s="27"/>
      <c r="F34" s="35"/>
      <c r="H34" s="31"/>
      <c r="I34" s="13"/>
      <c r="J34" s="35">
        <v>2000</v>
      </c>
      <c r="L34" s="35"/>
      <c r="M34" s="35"/>
      <c r="N34" s="14"/>
      <c r="O34" s="27"/>
      <c r="S34" s="31"/>
      <c r="T34" s="13"/>
      <c r="W34" s="31"/>
      <c r="X34" s="13"/>
      <c r="Y34" s="31"/>
      <c r="AA34" s="94"/>
      <c r="AB34" s="15"/>
    </row>
    <row r="35" spans="1:30" x14ac:dyDescent="0.25">
      <c r="A35" s="311"/>
      <c r="B35" s="20">
        <v>46078</v>
      </c>
      <c r="C35" s="14" t="s">
        <v>22</v>
      </c>
      <c r="D35" s="27"/>
      <c r="F35" s="35"/>
      <c r="H35" s="31"/>
      <c r="I35" s="13"/>
      <c r="J35" s="35"/>
      <c r="L35" s="35"/>
      <c r="M35" s="35"/>
      <c r="N35" s="14"/>
      <c r="O35" s="27"/>
      <c r="S35" s="31"/>
      <c r="T35" s="13">
        <v>700</v>
      </c>
      <c r="W35" s="31"/>
      <c r="X35" s="13"/>
      <c r="Y35" s="31"/>
      <c r="AA35" s="94"/>
      <c r="AB35" s="15"/>
    </row>
    <row r="36" spans="1:30" x14ac:dyDescent="0.25">
      <c r="A36" s="311"/>
      <c r="B36" s="20">
        <v>46078</v>
      </c>
      <c r="C36" s="14" t="s">
        <v>22</v>
      </c>
      <c r="D36" s="27"/>
      <c r="F36" s="35"/>
      <c r="H36" s="31"/>
      <c r="I36" s="13"/>
      <c r="J36" s="35"/>
      <c r="L36" s="35"/>
      <c r="M36" s="35"/>
      <c r="N36" s="14"/>
      <c r="O36" s="27"/>
      <c r="S36" s="31"/>
      <c r="T36" s="13">
        <v>100</v>
      </c>
      <c r="W36" s="31"/>
      <c r="X36" s="13"/>
      <c r="Y36" s="31"/>
      <c r="AA36" s="94"/>
      <c r="AB36" s="15"/>
    </row>
    <row r="37" spans="1:30" x14ac:dyDescent="0.25">
      <c r="A37" s="311"/>
      <c r="B37" s="20">
        <v>46078</v>
      </c>
      <c r="C37" s="14" t="s">
        <v>22</v>
      </c>
      <c r="D37" s="27"/>
      <c r="F37" s="35"/>
      <c r="H37" s="31"/>
      <c r="I37" s="13"/>
      <c r="J37" s="35">
        <v>70</v>
      </c>
      <c r="L37" s="35"/>
      <c r="M37" s="35"/>
      <c r="N37" s="14"/>
      <c r="O37" s="27"/>
      <c r="S37" s="31"/>
      <c r="T37" s="13"/>
      <c r="W37" s="31"/>
      <c r="X37" s="13"/>
      <c r="Y37" s="31"/>
      <c r="AA37" s="94"/>
      <c r="AB37" s="15"/>
    </row>
    <row r="38" spans="1:30" x14ac:dyDescent="0.25">
      <c r="A38" s="311"/>
      <c r="B38" s="20">
        <v>46079</v>
      </c>
      <c r="C38" s="14" t="s">
        <v>22</v>
      </c>
      <c r="D38" s="27"/>
      <c r="F38" s="35"/>
      <c r="H38" s="31"/>
      <c r="I38" s="13"/>
      <c r="J38" s="35"/>
      <c r="L38" s="35"/>
      <c r="M38" s="35"/>
      <c r="N38" s="14">
        <v>5</v>
      </c>
      <c r="O38" s="27"/>
      <c r="S38" s="31"/>
      <c r="T38" s="13"/>
      <c r="W38" s="31"/>
      <c r="X38" s="13"/>
      <c r="Y38" s="31"/>
      <c r="AA38" s="94"/>
      <c r="AB38" s="15"/>
    </row>
    <row r="39" spans="1:30" x14ac:dyDescent="0.25">
      <c r="A39" s="311"/>
      <c r="B39" s="20">
        <v>46079</v>
      </c>
      <c r="C39" s="14" t="s">
        <v>22</v>
      </c>
      <c r="D39" s="27"/>
      <c r="F39" s="35"/>
      <c r="H39" s="31"/>
      <c r="I39" s="13"/>
      <c r="J39" s="35"/>
      <c r="L39" s="35">
        <v>5</v>
      </c>
      <c r="M39" s="35">
        <v>0</v>
      </c>
      <c r="N39" s="14"/>
      <c r="O39" s="27"/>
      <c r="S39" s="31"/>
      <c r="T39" s="13"/>
      <c r="W39" s="31"/>
      <c r="X39" s="13"/>
      <c r="Y39" s="31"/>
      <c r="AA39" s="94"/>
      <c r="AB39" s="15"/>
    </row>
    <row r="40" spans="1:30" x14ac:dyDescent="0.25">
      <c r="A40" s="311"/>
      <c r="B40" s="20">
        <v>46079</v>
      </c>
      <c r="C40" s="14" t="s">
        <v>142</v>
      </c>
      <c r="D40" s="27"/>
      <c r="F40" s="35"/>
      <c r="H40" s="105">
        <v>800</v>
      </c>
      <c r="I40" s="13"/>
      <c r="J40" s="35"/>
      <c r="K40">
        <v>5</v>
      </c>
      <c r="L40" s="35"/>
      <c r="M40" s="35"/>
      <c r="N40" s="14"/>
      <c r="O40" s="27"/>
      <c r="S40" s="31"/>
      <c r="T40" s="13"/>
      <c r="W40" s="31"/>
      <c r="X40" s="13"/>
      <c r="Y40" s="31"/>
      <c r="AA40" s="94"/>
      <c r="AB40" s="15"/>
    </row>
    <row r="41" spans="1:30" x14ac:dyDescent="0.25">
      <c r="A41" s="311"/>
      <c r="B41" s="20">
        <v>46079</v>
      </c>
      <c r="C41" s="14" t="s">
        <v>22</v>
      </c>
      <c r="D41" s="27"/>
      <c r="F41" s="35"/>
      <c r="H41" s="31"/>
      <c r="I41" s="13"/>
      <c r="J41" s="35"/>
      <c r="L41" s="35">
        <v>1000</v>
      </c>
      <c r="M41" s="35"/>
      <c r="N41" s="14"/>
      <c r="O41" s="27"/>
      <c r="S41" s="31"/>
      <c r="T41" s="13"/>
      <c r="W41" s="31"/>
      <c r="X41" s="13"/>
      <c r="Y41" s="31"/>
      <c r="AA41" s="94"/>
      <c r="AB41" s="15"/>
    </row>
    <row r="42" spans="1:30" x14ac:dyDescent="0.25">
      <c r="A42" s="311"/>
      <c r="B42" s="20">
        <v>46079</v>
      </c>
      <c r="C42" s="14" t="s">
        <v>22</v>
      </c>
      <c r="D42" s="27"/>
      <c r="F42" s="35"/>
      <c r="H42" s="31"/>
      <c r="I42" s="13"/>
      <c r="J42" s="35">
        <v>1000</v>
      </c>
      <c r="L42" s="35"/>
      <c r="M42" s="35"/>
      <c r="N42" s="14"/>
      <c r="O42" s="27"/>
      <c r="S42" s="31"/>
      <c r="T42" s="13"/>
      <c r="W42" s="31"/>
      <c r="X42" s="13"/>
      <c r="Y42" s="31"/>
      <c r="AA42" s="94"/>
      <c r="AB42" s="15"/>
    </row>
    <row r="43" spans="1:30" x14ac:dyDescent="0.25">
      <c r="A43" s="311"/>
      <c r="B43" s="20">
        <v>46080</v>
      </c>
      <c r="C43" s="14" t="s">
        <v>135</v>
      </c>
      <c r="D43" s="27"/>
      <c r="F43" s="35"/>
      <c r="H43" s="31">
        <v>4000</v>
      </c>
      <c r="I43" s="13"/>
      <c r="J43" s="35"/>
      <c r="L43" s="35"/>
      <c r="M43" s="35"/>
      <c r="N43" s="14"/>
      <c r="O43" s="27"/>
      <c r="S43" s="31"/>
      <c r="T43" s="13"/>
      <c r="W43" s="31"/>
      <c r="X43" s="13"/>
      <c r="Y43" s="31"/>
      <c r="AA43" s="94"/>
      <c r="AB43" s="15"/>
    </row>
    <row r="44" spans="1:30" x14ac:dyDescent="0.25">
      <c r="A44" s="311"/>
      <c r="B44" s="20">
        <v>46080</v>
      </c>
      <c r="C44" s="14" t="s">
        <v>22</v>
      </c>
      <c r="D44" s="27"/>
      <c r="F44" s="35"/>
      <c r="H44" s="31"/>
      <c r="I44" s="13"/>
      <c r="J44" s="35"/>
      <c r="L44" s="35"/>
      <c r="M44" s="35"/>
      <c r="N44" s="14"/>
      <c r="O44" s="27"/>
      <c r="S44" s="31"/>
      <c r="T44" s="13">
        <v>40</v>
      </c>
      <c r="W44" s="31"/>
      <c r="X44" s="13"/>
      <c r="Y44" s="31"/>
      <c r="AA44" s="94"/>
      <c r="AB44" s="15"/>
    </row>
    <row r="45" spans="1:30" x14ac:dyDescent="0.25">
      <c r="A45" s="311"/>
      <c r="B45" s="20">
        <v>46080</v>
      </c>
      <c r="C45" s="14" t="s">
        <v>22</v>
      </c>
      <c r="D45" s="27"/>
      <c r="F45" s="35"/>
      <c r="H45" s="31"/>
      <c r="I45" s="13"/>
      <c r="J45" s="35"/>
      <c r="L45" s="35"/>
      <c r="M45" s="35"/>
      <c r="N45" s="14">
        <v>900</v>
      </c>
      <c r="O45" s="27"/>
      <c r="S45" s="31"/>
      <c r="T45" s="13"/>
      <c r="W45" s="31"/>
      <c r="X45" s="13"/>
      <c r="Y45" s="31"/>
      <c r="AA45" s="94"/>
      <c r="AB45" s="15"/>
      <c r="AD45">
        <f>50*5.5</f>
        <v>275</v>
      </c>
    </row>
    <row r="46" spans="1:30" x14ac:dyDescent="0.25">
      <c r="A46" s="311"/>
      <c r="B46" s="20">
        <v>46081</v>
      </c>
      <c r="C46" s="14" t="s">
        <v>137</v>
      </c>
      <c r="D46" s="27"/>
      <c r="F46" s="35"/>
      <c r="H46" s="31"/>
      <c r="I46" s="13"/>
      <c r="J46" s="35">
        <v>217</v>
      </c>
      <c r="L46" s="35"/>
      <c r="M46" s="35"/>
      <c r="N46" s="14"/>
      <c r="O46" s="27"/>
      <c r="S46" s="31"/>
      <c r="T46" s="13"/>
      <c r="W46" s="31"/>
      <c r="X46" s="13"/>
      <c r="Y46" s="31"/>
      <c r="AA46" s="94"/>
      <c r="AB46" s="15"/>
      <c r="AD46">
        <v>-10</v>
      </c>
    </row>
    <row r="47" spans="1:30" x14ac:dyDescent="0.25">
      <c r="A47" s="311"/>
      <c r="B47" s="20">
        <v>46081</v>
      </c>
      <c r="C47" s="14" t="s">
        <v>22</v>
      </c>
      <c r="D47" s="27"/>
      <c r="F47" s="35"/>
      <c r="H47" s="31"/>
      <c r="I47" s="13"/>
      <c r="J47" s="35"/>
      <c r="L47" s="35">
        <v>3000</v>
      </c>
      <c r="M47" s="35"/>
      <c r="N47" s="14"/>
      <c r="O47" s="27"/>
      <c r="S47" s="31"/>
      <c r="T47" s="13"/>
      <c r="W47" s="31"/>
      <c r="X47" s="13"/>
      <c r="Y47" s="31"/>
      <c r="AA47" s="94"/>
      <c r="AB47" s="15"/>
    </row>
    <row r="48" spans="1:30" x14ac:dyDescent="0.25">
      <c r="A48" s="311"/>
      <c r="B48" s="20">
        <v>46081</v>
      </c>
      <c r="C48" s="14" t="s">
        <v>22</v>
      </c>
      <c r="D48" s="27"/>
      <c r="F48" s="35"/>
      <c r="H48" s="31"/>
      <c r="I48" s="13"/>
      <c r="J48" s="35"/>
      <c r="L48" s="35" t="s">
        <v>139</v>
      </c>
      <c r="M48" s="35"/>
      <c r="N48" s="14">
        <v>2000</v>
      </c>
      <c r="O48" s="27"/>
      <c r="S48" s="31"/>
      <c r="T48" s="13"/>
      <c r="W48" s="31"/>
      <c r="X48" s="13"/>
      <c r="Y48" s="31"/>
      <c r="AA48" s="94"/>
      <c r="AB48" s="15"/>
    </row>
    <row r="49" spans="1:28" x14ac:dyDescent="0.25">
      <c r="A49" s="311"/>
      <c r="B49" s="20">
        <v>46081</v>
      </c>
      <c r="C49" s="14" t="s">
        <v>22</v>
      </c>
      <c r="D49" s="27"/>
      <c r="F49" s="35"/>
      <c r="H49" s="31"/>
      <c r="I49" s="13"/>
      <c r="J49" s="35"/>
      <c r="L49" s="35"/>
      <c r="M49" s="35"/>
      <c r="N49" s="14"/>
      <c r="O49" s="27"/>
      <c r="R49">
        <v>6</v>
      </c>
      <c r="S49" s="31"/>
      <c r="T49" s="13"/>
      <c r="W49" s="31"/>
      <c r="X49" s="13"/>
      <c r="Y49" s="31"/>
      <c r="AA49" s="94"/>
      <c r="AB49" s="15"/>
    </row>
    <row r="50" spans="1:28" x14ac:dyDescent="0.25">
      <c r="A50" s="311"/>
      <c r="B50" s="20"/>
      <c r="C50" s="14"/>
      <c r="D50" s="27"/>
      <c r="F50" s="35"/>
      <c r="H50" s="31"/>
      <c r="I50" s="13"/>
      <c r="J50" s="35"/>
      <c r="L50" s="35"/>
      <c r="M50" s="35"/>
      <c r="N50" s="14"/>
      <c r="O50" s="27"/>
      <c r="S50" s="31"/>
      <c r="T50" s="13"/>
      <c r="W50" s="31"/>
      <c r="X50" s="13"/>
      <c r="Y50" s="31"/>
      <c r="AA50" s="94"/>
      <c r="AB50" s="15"/>
    </row>
    <row r="51" spans="1:28" x14ac:dyDescent="0.25">
      <c r="A51" s="311"/>
      <c r="B51" s="20"/>
      <c r="C51" s="14"/>
      <c r="D51" s="27"/>
      <c r="F51" s="35"/>
      <c r="H51" s="31"/>
      <c r="I51" s="13"/>
      <c r="J51" s="35"/>
      <c r="L51" s="35"/>
      <c r="M51" s="35"/>
      <c r="N51" s="14"/>
      <c r="O51" s="27"/>
      <c r="S51" s="31"/>
      <c r="T51" s="13"/>
      <c r="W51" s="31"/>
      <c r="X51" s="13"/>
      <c r="Y51" s="31"/>
      <c r="AA51" s="94"/>
      <c r="AB51" s="15"/>
    </row>
    <row r="52" spans="1:28" x14ac:dyDescent="0.25">
      <c r="A52" s="311"/>
      <c r="B52" s="20"/>
      <c r="C52" s="14"/>
      <c r="D52" s="27"/>
      <c r="F52" s="35"/>
      <c r="H52" s="31"/>
      <c r="I52" s="13"/>
      <c r="J52" s="35"/>
      <c r="L52" s="35"/>
      <c r="M52" s="35"/>
      <c r="N52" s="14"/>
      <c r="O52" s="27"/>
      <c r="S52" s="31"/>
      <c r="T52" s="13"/>
      <c r="W52" s="31"/>
      <c r="X52" s="13"/>
      <c r="Y52" s="31"/>
      <c r="AA52" s="94"/>
      <c r="AB52" s="15"/>
    </row>
    <row r="53" spans="1:28" ht="15.75" thickBot="1" x14ac:dyDescent="0.3">
      <c r="A53" s="312"/>
      <c r="B53" s="13"/>
      <c r="C53" s="14"/>
      <c r="D53" s="27"/>
      <c r="F53" s="35"/>
      <c r="H53" s="31"/>
      <c r="I53" s="13"/>
      <c r="J53" s="35"/>
      <c r="L53" s="35"/>
      <c r="M53" s="35"/>
      <c r="N53" s="14"/>
      <c r="O53" s="27"/>
      <c r="S53" s="31"/>
      <c r="T53" s="13"/>
      <c r="W53" s="31"/>
      <c r="X53" s="13"/>
      <c r="Y53" s="31"/>
      <c r="AA53" s="94"/>
      <c r="AB53" s="15"/>
    </row>
    <row r="54" spans="1:28" ht="21.75" thickBot="1" x14ac:dyDescent="0.3">
      <c r="A54" s="21" t="s">
        <v>23</v>
      </c>
      <c r="B54" s="22"/>
      <c r="C54" s="23"/>
      <c r="D54" s="29">
        <f t="shared" ref="D54:AB54" si="0">SUM(D4:D16)-SUM(D17:D53)</f>
        <v>250</v>
      </c>
      <c r="E54" s="22">
        <f t="shared" si="0"/>
        <v>95</v>
      </c>
      <c r="F54" s="37">
        <f t="shared" si="0"/>
        <v>0</v>
      </c>
      <c r="G54" s="24">
        <f t="shared" si="0"/>
        <v>194</v>
      </c>
      <c r="H54" s="33">
        <f t="shared" si="0"/>
        <v>29180</v>
      </c>
      <c r="I54" s="22">
        <f t="shared" si="0"/>
        <v>500</v>
      </c>
      <c r="J54" s="37">
        <f t="shared" si="0"/>
        <v>597</v>
      </c>
      <c r="K54" s="24">
        <f t="shared" si="0"/>
        <v>2088</v>
      </c>
      <c r="L54" s="37">
        <f t="shared" si="0"/>
        <v>18747</v>
      </c>
      <c r="M54" s="37">
        <f t="shared" si="0"/>
        <v>0</v>
      </c>
      <c r="N54" s="23">
        <f t="shared" si="0"/>
        <v>405</v>
      </c>
      <c r="O54" s="29">
        <f t="shared" si="0"/>
        <v>2</v>
      </c>
      <c r="P54" s="29">
        <f t="shared" si="0"/>
        <v>0</v>
      </c>
      <c r="Q54" s="29">
        <f t="shared" si="0"/>
        <v>0</v>
      </c>
      <c r="R54" s="24">
        <f t="shared" si="0"/>
        <v>421</v>
      </c>
      <c r="S54" s="33">
        <f t="shared" si="0"/>
        <v>0</v>
      </c>
      <c r="T54" s="22">
        <f>SUM(T4:T16)-SUM(T17:T53)</f>
        <v>1875</v>
      </c>
      <c r="U54" s="22">
        <f t="shared" si="0"/>
        <v>204</v>
      </c>
      <c r="V54" s="22">
        <f t="shared" si="0"/>
        <v>170</v>
      </c>
      <c r="W54" s="33">
        <f t="shared" si="0"/>
        <v>0</v>
      </c>
      <c r="X54" s="22">
        <f t="shared" si="0"/>
        <v>0</v>
      </c>
      <c r="Y54" s="33">
        <f t="shared" si="0"/>
        <v>0</v>
      </c>
      <c r="Z54" s="22">
        <f t="shared" si="0"/>
        <v>32</v>
      </c>
      <c r="AA54" s="96">
        <f t="shared" si="0"/>
        <v>0</v>
      </c>
      <c r="AB54" s="25">
        <f t="shared" si="0"/>
        <v>20</v>
      </c>
    </row>
    <row r="56" spans="1:28" x14ac:dyDescent="0.25">
      <c r="D56">
        <f>D54*0.46</f>
        <v>115</v>
      </c>
      <c r="E56">
        <f>+E54*0.41</f>
        <v>38.949999999999996</v>
      </c>
      <c r="F56">
        <f>+F54*0.52</f>
        <v>0</v>
      </c>
      <c r="G56">
        <f>+G54*0.53</f>
        <v>102.82000000000001</v>
      </c>
      <c r="H56">
        <f>+H54*0.65</f>
        <v>18967</v>
      </c>
      <c r="I56">
        <f>+I54*0.68</f>
        <v>340</v>
      </c>
      <c r="J56">
        <f>+J54*0.8-(3584*0.02)</f>
        <v>405.92</v>
      </c>
      <c r="K56" s="50">
        <f>+K54*0.95</f>
        <v>1983.6</v>
      </c>
      <c r="L56">
        <f>+L54*0.85</f>
        <v>15934.949999999999</v>
      </c>
      <c r="M56">
        <f>+M54*0.74</f>
        <v>0</v>
      </c>
      <c r="N56">
        <f>+N54*0.66</f>
        <v>267.3</v>
      </c>
      <c r="O56">
        <f>+O54*2.35</f>
        <v>4.7</v>
      </c>
      <c r="P56">
        <f>+P54*2.1</f>
        <v>0</v>
      </c>
      <c r="Q56">
        <f>Q54*1.95</f>
        <v>0</v>
      </c>
      <c r="R56">
        <f>+R54*2.25-(127*0.18)</f>
        <v>924.39</v>
      </c>
      <c r="S56">
        <f>+S54*1.57</f>
        <v>0</v>
      </c>
      <c r="T56">
        <f>+T54*2.35</f>
        <v>4406.25</v>
      </c>
      <c r="U56">
        <f>+U54*2.35</f>
        <v>479.40000000000003</v>
      </c>
      <c r="V56">
        <f>+V54*2.7</f>
        <v>459.00000000000006</v>
      </c>
      <c r="W56">
        <f>+W54*2.15</f>
        <v>0</v>
      </c>
      <c r="X56">
        <f>+X54*0.44</f>
        <v>0</v>
      </c>
      <c r="Y56">
        <f>+Y54*0.34</f>
        <v>0</v>
      </c>
      <c r="Z56" s="50">
        <f>+Z54*2.3</f>
        <v>73.599999999999994</v>
      </c>
      <c r="AA56">
        <f>+AA54*0.58</f>
        <v>0</v>
      </c>
      <c r="AB56">
        <f>+AB54*1.75</f>
        <v>35</v>
      </c>
    </row>
    <row r="57" spans="1:28" x14ac:dyDescent="0.25">
      <c r="AB57" s="39">
        <f>SUM(D56:AB56)</f>
        <v>44537.88</v>
      </c>
    </row>
    <row r="58" spans="1:28" ht="15.75" thickBot="1" x14ac:dyDescent="0.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103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15.75" thickBot="1" x14ac:dyDescent="0.3">
      <c r="C59" s="91">
        <v>46078</v>
      </c>
      <c r="D59">
        <v>0</v>
      </c>
      <c r="E59" s="79"/>
      <c r="F59" s="104"/>
      <c r="G59" s="104"/>
      <c r="H59" s="104"/>
      <c r="I59" s="104">
        <v>500</v>
      </c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80"/>
    </row>
    <row r="61" spans="1:28" x14ac:dyDescent="0.25">
      <c r="N61" s="60"/>
      <c r="R61" s="50"/>
    </row>
    <row r="62" spans="1:28" x14ac:dyDescent="0.25">
      <c r="J62" s="60"/>
      <c r="R62" s="85"/>
      <c r="T62" s="84"/>
    </row>
    <row r="63" spans="1:28" x14ac:dyDescent="0.25">
      <c r="K63" s="60"/>
      <c r="R63" s="60"/>
    </row>
    <row r="65" spans="3:33" ht="30" customHeight="1" x14ac:dyDescent="0.25">
      <c r="AF65" t="s">
        <v>130</v>
      </c>
      <c r="AG65">
        <v>1667</v>
      </c>
    </row>
    <row r="66" spans="3:33" x14ac:dyDescent="0.25">
      <c r="AG66">
        <v>1070</v>
      </c>
    </row>
    <row r="67" spans="3:33" x14ac:dyDescent="0.25">
      <c r="AG67">
        <f>AG65-AG66</f>
        <v>597</v>
      </c>
    </row>
    <row r="68" spans="3:33" x14ac:dyDescent="0.25">
      <c r="C68" s="98" t="s">
        <v>118</v>
      </c>
      <c r="D68">
        <f>5050+180</f>
        <v>5230</v>
      </c>
      <c r="E68">
        <v>140</v>
      </c>
      <c r="F68">
        <f>-310+70+80</f>
        <v>-160</v>
      </c>
      <c r="G68">
        <f>8000+1340-200</f>
        <v>9140</v>
      </c>
      <c r="H68">
        <f>12540+400</f>
        <v>12940</v>
      </c>
      <c r="I68">
        <f>3670+1320-7150</f>
        <v>-2160</v>
      </c>
      <c r="J68">
        <f>12700+870+980+24320+600</f>
        <v>39470</v>
      </c>
      <c r="K68">
        <f>38950+1000+1080+600</f>
        <v>41630</v>
      </c>
      <c r="L68">
        <f>23176+4500+600+1000+35680+3900</f>
        <v>68856</v>
      </c>
    </row>
    <row r="69" spans="3:33" x14ac:dyDescent="0.25">
      <c r="C69" t="s">
        <v>119</v>
      </c>
      <c r="D69">
        <v>6500</v>
      </c>
      <c r="E69">
        <v>6500</v>
      </c>
      <c r="F69">
        <v>6500</v>
      </c>
      <c r="G69">
        <v>6500</v>
      </c>
      <c r="H69">
        <v>5800</v>
      </c>
      <c r="I69">
        <v>5800</v>
      </c>
      <c r="J69">
        <v>5800</v>
      </c>
      <c r="K69">
        <v>5100</v>
      </c>
      <c r="L69">
        <v>5100</v>
      </c>
    </row>
    <row r="70" spans="3:33" x14ac:dyDescent="0.25">
      <c r="C70" t="s">
        <v>120</v>
      </c>
      <c r="D70">
        <v>33280</v>
      </c>
      <c r="E70">
        <v>33280</v>
      </c>
      <c r="F70">
        <f>38060-1480</f>
        <v>36580</v>
      </c>
      <c r="G70">
        <v>27560</v>
      </c>
      <c r="H70">
        <v>24080</v>
      </c>
      <c r="I70">
        <v>42702</v>
      </c>
      <c r="J70">
        <v>0</v>
      </c>
      <c r="K70">
        <v>0</v>
      </c>
      <c r="L70">
        <f>1081-340</f>
        <v>741</v>
      </c>
    </row>
    <row r="71" spans="3:33" x14ac:dyDescent="0.25">
      <c r="C71" t="s">
        <v>123</v>
      </c>
      <c r="D71">
        <v>2960</v>
      </c>
      <c r="E71">
        <v>2960</v>
      </c>
      <c r="F71">
        <f>1150</f>
        <v>1150</v>
      </c>
      <c r="G71">
        <v>1980</v>
      </c>
      <c r="H71">
        <v>4000</v>
      </c>
      <c r="I71">
        <v>0</v>
      </c>
      <c r="K71">
        <v>0</v>
      </c>
      <c r="L71">
        <v>0</v>
      </c>
    </row>
    <row r="72" spans="3:33" x14ac:dyDescent="0.25">
      <c r="C72" t="s">
        <v>122</v>
      </c>
      <c r="D72">
        <v>1300</v>
      </c>
      <c r="E72">
        <v>1300</v>
      </c>
      <c r="F72">
        <v>1300</v>
      </c>
      <c r="G72">
        <v>1300</v>
      </c>
      <c r="H72">
        <v>1140</v>
      </c>
      <c r="I72">
        <v>1140</v>
      </c>
      <c r="J72">
        <v>1140</v>
      </c>
      <c r="K72">
        <v>0</v>
      </c>
      <c r="L72">
        <v>0</v>
      </c>
    </row>
    <row r="73" spans="3:33" x14ac:dyDescent="0.25">
      <c r="C73" t="s">
        <v>127</v>
      </c>
      <c r="D73">
        <v>-9815</v>
      </c>
      <c r="E73">
        <v>-4815</v>
      </c>
      <c r="F73">
        <v>-4815</v>
      </c>
      <c r="G73">
        <v>-4815</v>
      </c>
      <c r="H73">
        <v>-4815</v>
      </c>
      <c r="I73">
        <v>-4815</v>
      </c>
      <c r="J73">
        <v>-3609</v>
      </c>
      <c r="K73">
        <v>-3609</v>
      </c>
      <c r="L73">
        <f>-1324-1120</f>
        <v>-2444</v>
      </c>
    </row>
    <row r="74" spans="3:33" x14ac:dyDescent="0.25">
      <c r="C74" t="s">
        <v>128</v>
      </c>
      <c r="L74">
        <f>-2336.5*12</f>
        <v>-28038</v>
      </c>
    </row>
    <row r="76" spans="3:33" x14ac:dyDescent="0.25">
      <c r="D76">
        <f>SUM(D68:D75)</f>
        <v>39455</v>
      </c>
      <c r="E76">
        <f>SUM(E68:E73)</f>
        <v>39365</v>
      </c>
      <c r="F76">
        <f>SUM(F68:F73)</f>
        <v>40555</v>
      </c>
      <c r="G76">
        <f>SUM(G68:G73)</f>
        <v>41665</v>
      </c>
      <c r="H76">
        <f>SUM(H68:H73)</f>
        <v>43145</v>
      </c>
      <c r="I76">
        <f>SUM(I68:I73)</f>
        <v>42667</v>
      </c>
      <c r="J76">
        <f>SUM(J68:J75)</f>
        <v>42801</v>
      </c>
      <c r="K76">
        <f>SUM(K68:K75)</f>
        <v>43121</v>
      </c>
      <c r="L76">
        <f>SUM(L68:L75)</f>
        <v>44215</v>
      </c>
    </row>
    <row r="77" spans="3:33" x14ac:dyDescent="0.25">
      <c r="C77" t="s">
        <v>124</v>
      </c>
      <c r="D77">
        <v>100</v>
      </c>
      <c r="E77">
        <v>100</v>
      </c>
      <c r="F77">
        <v>100</v>
      </c>
      <c r="G77">
        <v>100</v>
      </c>
      <c r="H77">
        <f>100+350</f>
        <v>450</v>
      </c>
      <c r="I77">
        <v>100</v>
      </c>
      <c r="J77">
        <v>100</v>
      </c>
    </row>
    <row r="78" spans="3:33" x14ac:dyDescent="0.25">
      <c r="C78" t="s">
        <v>125</v>
      </c>
      <c r="D78">
        <f t="shared" ref="D78:I78" si="1">+D76-D77</f>
        <v>39355</v>
      </c>
      <c r="E78">
        <f t="shared" si="1"/>
        <v>39265</v>
      </c>
      <c r="F78">
        <f t="shared" si="1"/>
        <v>40455</v>
      </c>
      <c r="G78">
        <f t="shared" si="1"/>
        <v>41565</v>
      </c>
      <c r="H78">
        <f t="shared" si="1"/>
        <v>42695</v>
      </c>
      <c r="I78">
        <f t="shared" si="1"/>
        <v>42567</v>
      </c>
      <c r="J78">
        <f>+J76-J77</f>
        <v>42701</v>
      </c>
    </row>
    <row r="79" spans="3:33" x14ac:dyDescent="0.25">
      <c r="G79">
        <f>+G78-F78</f>
        <v>1110</v>
      </c>
      <c r="H79">
        <f>+H78-G78</f>
        <v>1130</v>
      </c>
      <c r="L79">
        <f>+L76-K76</f>
        <v>1094</v>
      </c>
    </row>
    <row r="80" spans="3:33" x14ac:dyDescent="0.25">
      <c r="I80">
        <f>+H78-I78</f>
        <v>128</v>
      </c>
      <c r="J80">
        <f>+J78-I78</f>
        <v>134</v>
      </c>
    </row>
    <row r="83" spans="10:10" x14ac:dyDescent="0.25">
      <c r="J83" s="102">
        <v>20611410159</v>
      </c>
    </row>
    <row r="84" spans="10:10" x14ac:dyDescent="0.25">
      <c r="J84" s="102">
        <v>41200545</v>
      </c>
    </row>
  </sheetData>
  <mergeCells count="7">
    <mergeCell ref="X2:Y2"/>
    <mergeCell ref="A4:A16"/>
    <mergeCell ref="A17:A53"/>
    <mergeCell ref="D2:H2"/>
    <mergeCell ref="I2:N2"/>
    <mergeCell ref="O2:S2"/>
    <mergeCell ref="T2:W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CEA5-25C8-4067-81BC-C303D91DB946}">
  <dimension ref="A1:AK95"/>
  <sheetViews>
    <sheetView zoomScale="60" zoomScaleNormal="60" workbookViewId="0">
      <pane xSplit="3" ySplit="3" topLeftCell="D22" activePane="bottomRight" state="frozen"/>
      <selection pane="topRight" activeCell="D1" sqref="D1"/>
      <selection pane="bottomLeft" activeCell="A4" sqref="A4"/>
      <selection pane="bottomRight" activeCell="B54" sqref="A54:XFD5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7" width="11.140625" customWidth="1"/>
    <col min="8" max="8" width="9.42578125" bestFit="1" customWidth="1"/>
    <col min="9" max="9" width="10.7109375" customWidth="1"/>
    <col min="10" max="10" width="11.28515625" customWidth="1"/>
    <col min="11" max="11" width="10.140625" customWidth="1"/>
    <col min="12" max="13" width="12" customWidth="1"/>
    <col min="14" max="14" width="11.28515625" customWidth="1"/>
    <col min="15" max="15" width="10.42578125" bestFit="1" customWidth="1"/>
    <col min="16" max="16" width="8.7109375" bestFit="1" customWidth="1"/>
    <col min="17" max="17" width="10.5703125" customWidth="1"/>
    <col min="18" max="18" width="8.7109375" customWidth="1"/>
    <col min="19" max="19" width="11.28515625" customWidth="1"/>
    <col min="20" max="20" width="10.85546875" customWidth="1"/>
    <col min="21" max="23" width="10.7109375" customWidth="1"/>
    <col min="24" max="24" width="13.5703125" customWidth="1"/>
    <col min="25" max="25" width="11.5703125" customWidth="1"/>
    <col min="26" max="26" width="14.42578125" customWidth="1"/>
    <col min="27" max="27" width="9.85546875" customWidth="1"/>
    <col min="28" max="28" width="16.7109375" customWidth="1"/>
    <col min="29" max="29" width="12.28515625" customWidth="1"/>
    <col min="30" max="30" width="14.5703125" customWidth="1"/>
    <col min="31" max="31" width="19" customWidth="1"/>
    <col min="34" max="34" width="16.140625" customWidth="1"/>
  </cols>
  <sheetData>
    <row r="1" spans="1:31" ht="33" customHeight="1" thickBot="1" x14ac:dyDescent="0.3"/>
    <row r="2" spans="1:31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13"/>
      <c r="T2" s="309"/>
      <c r="U2" s="308" t="s">
        <v>3</v>
      </c>
      <c r="V2" s="313"/>
      <c r="W2" s="313"/>
      <c r="X2" s="313"/>
      <c r="Y2" s="309"/>
      <c r="Z2" s="308" t="s">
        <v>4</v>
      </c>
      <c r="AA2" s="309"/>
      <c r="AB2" s="92" t="s">
        <v>114</v>
      </c>
      <c r="AC2" s="93" t="s">
        <v>105</v>
      </c>
      <c r="AD2" s="46" t="s">
        <v>91</v>
      </c>
    </row>
    <row r="3" spans="1:31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8" t="s">
        <v>13</v>
      </c>
      <c r="I3" s="9" t="s">
        <v>126</v>
      </c>
      <c r="J3" s="7" t="s">
        <v>11</v>
      </c>
      <c r="K3" s="7" t="s">
        <v>12</v>
      </c>
      <c r="L3" s="7" t="s">
        <v>13</v>
      </c>
      <c r="M3" s="7" t="s">
        <v>182</v>
      </c>
      <c r="N3" s="7" t="s">
        <v>15</v>
      </c>
      <c r="O3" s="8" t="s">
        <v>136</v>
      </c>
      <c r="P3" s="6" t="s">
        <v>12</v>
      </c>
      <c r="Q3" s="7" t="s">
        <v>69</v>
      </c>
      <c r="R3" s="7" t="s">
        <v>13</v>
      </c>
      <c r="S3" s="7" t="s">
        <v>16</v>
      </c>
      <c r="T3" s="8" t="s">
        <v>162</v>
      </c>
      <c r="U3" s="6" t="s">
        <v>16</v>
      </c>
      <c r="V3" s="7" t="s">
        <v>77</v>
      </c>
      <c r="W3" s="7" t="s">
        <v>12</v>
      </c>
      <c r="X3" s="7" t="s">
        <v>13</v>
      </c>
      <c r="Y3" s="8" t="s">
        <v>69</v>
      </c>
      <c r="Z3" s="6" t="s">
        <v>17</v>
      </c>
      <c r="AA3" s="8" t="s">
        <v>18</v>
      </c>
      <c r="AB3" s="7" t="s">
        <v>116</v>
      </c>
      <c r="AC3" s="10" t="s">
        <v>106</v>
      </c>
      <c r="AD3" s="10" t="s">
        <v>92</v>
      </c>
    </row>
    <row r="4" spans="1:31" x14ac:dyDescent="0.25">
      <c r="A4" s="310" t="s">
        <v>19</v>
      </c>
      <c r="B4" s="49"/>
      <c r="C4" s="2"/>
      <c r="D4" s="42">
        <v>250</v>
      </c>
      <c r="E4" s="42">
        <f>'STOCK 08-14-02'!E25</f>
        <v>95</v>
      </c>
      <c r="F4" s="42">
        <f>'STOCK 08-14-02'!F25</f>
        <v>0</v>
      </c>
      <c r="G4" s="42">
        <v>194</v>
      </c>
      <c r="H4" s="42">
        <v>29180</v>
      </c>
      <c r="I4" s="42">
        <v>499</v>
      </c>
      <c r="J4" s="42">
        <v>597</v>
      </c>
      <c r="K4" s="42">
        <v>2088</v>
      </c>
      <c r="L4" s="42">
        <v>18747</v>
      </c>
      <c r="M4" s="42"/>
      <c r="N4" s="42">
        <f>'STOCK 08-14-02'!M25</f>
        <v>0</v>
      </c>
      <c r="O4" s="42">
        <v>459</v>
      </c>
      <c r="P4" s="42">
        <f>'STOCK 08-14-02'!O25</f>
        <v>2</v>
      </c>
      <c r="Q4" s="42">
        <f>'STOCK 08-14-02'!P25</f>
        <v>0</v>
      </c>
      <c r="R4" s="42">
        <f>'STOCK 08-14-02'!Q25</f>
        <v>0</v>
      </c>
      <c r="S4" s="42">
        <v>72</v>
      </c>
      <c r="T4" s="42">
        <f>'STOCK 08-14-02'!S25</f>
        <v>0</v>
      </c>
      <c r="U4" s="42">
        <v>1862</v>
      </c>
      <c r="V4" s="42">
        <f>'STOCK 08-14-02'!U25</f>
        <v>204</v>
      </c>
      <c r="W4" s="42">
        <f>'STOCK 08-14-02'!V25</f>
        <v>170</v>
      </c>
      <c r="X4" s="42"/>
      <c r="Y4" s="42">
        <f>'STOCK 08-14-02'!W25</f>
        <v>0</v>
      </c>
      <c r="Z4" s="42">
        <f>'STOCK 08-14-02'!X25</f>
        <v>0</v>
      </c>
      <c r="AA4" s="42">
        <f>'STOCK 08-14-02'!Y25</f>
        <v>0</v>
      </c>
      <c r="AB4" s="42">
        <v>0</v>
      </c>
      <c r="AC4" s="42">
        <f>'STOCK 08-14-02'!AA25</f>
        <v>0</v>
      </c>
      <c r="AD4" s="42">
        <v>800</v>
      </c>
    </row>
    <row r="5" spans="1:31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35"/>
      <c r="O5" s="14"/>
      <c r="P5" s="27"/>
      <c r="T5" s="31"/>
      <c r="U5" s="13"/>
      <c r="Y5" s="31"/>
      <c r="Z5" s="13"/>
      <c r="AA5" s="31"/>
      <c r="AC5" s="94"/>
      <c r="AD5" s="15"/>
    </row>
    <row r="6" spans="1:31" x14ac:dyDescent="0.25">
      <c r="A6" s="311"/>
      <c r="B6" s="20">
        <v>46083</v>
      </c>
      <c r="C6" s="82" t="s">
        <v>46</v>
      </c>
      <c r="D6" s="27"/>
      <c r="F6" s="35"/>
      <c r="H6" s="31"/>
      <c r="I6" s="13"/>
      <c r="J6" s="35"/>
      <c r="L6" s="35"/>
      <c r="M6" s="35"/>
      <c r="N6" s="35"/>
      <c r="O6" s="14"/>
      <c r="P6" s="27"/>
      <c r="T6" s="31">
        <v>453</v>
      </c>
      <c r="U6" s="13"/>
      <c r="Y6" s="31"/>
      <c r="Z6" s="13"/>
      <c r="AA6" s="31"/>
      <c r="AC6" s="94"/>
      <c r="AD6" s="15"/>
    </row>
    <row r="7" spans="1:31" x14ac:dyDescent="0.25">
      <c r="A7" s="311"/>
      <c r="B7" s="20">
        <v>46084</v>
      </c>
      <c r="C7" s="82" t="s">
        <v>46</v>
      </c>
      <c r="D7" s="27"/>
      <c r="F7" s="35"/>
      <c r="H7" s="31"/>
      <c r="I7" s="13"/>
      <c r="J7" s="35"/>
      <c r="L7" s="35"/>
      <c r="M7" s="35"/>
      <c r="N7" s="35"/>
      <c r="O7" s="14"/>
      <c r="P7" s="27"/>
      <c r="T7" s="31">
        <v>1200</v>
      </c>
      <c r="U7" s="13"/>
      <c r="Y7" s="31"/>
      <c r="Z7" s="13"/>
      <c r="AA7" s="31"/>
      <c r="AC7" s="94"/>
      <c r="AD7" s="15"/>
    </row>
    <row r="8" spans="1:31" x14ac:dyDescent="0.25">
      <c r="A8" s="311"/>
      <c r="B8" s="20">
        <v>46085</v>
      </c>
      <c r="C8" s="82" t="s">
        <v>27</v>
      </c>
      <c r="D8" s="27"/>
      <c r="F8" s="35"/>
      <c r="H8" s="31"/>
      <c r="I8" s="13"/>
      <c r="J8" s="35">
        <v>2500</v>
      </c>
      <c r="L8" s="35"/>
      <c r="M8" s="35"/>
      <c r="N8" s="35"/>
      <c r="O8" s="14"/>
      <c r="P8" s="27"/>
      <c r="T8" s="31"/>
      <c r="U8" s="13"/>
      <c r="Y8" s="31"/>
      <c r="Z8" s="13"/>
      <c r="AA8" s="31"/>
      <c r="AC8" s="94"/>
      <c r="AD8" s="15"/>
    </row>
    <row r="9" spans="1:31" x14ac:dyDescent="0.25">
      <c r="A9" s="311"/>
      <c r="B9" s="20">
        <v>46086</v>
      </c>
      <c r="C9" s="82" t="s">
        <v>100</v>
      </c>
      <c r="D9" s="27">
        <v>2160</v>
      </c>
      <c r="F9" s="35"/>
      <c r="H9" s="31"/>
      <c r="I9" s="13"/>
      <c r="J9" s="35"/>
      <c r="L9" s="35"/>
      <c r="M9" s="35"/>
      <c r="N9" s="35"/>
      <c r="O9" s="14"/>
      <c r="P9" s="27"/>
      <c r="T9" s="31"/>
      <c r="U9" s="13"/>
      <c r="Y9" s="31"/>
      <c r="Z9" s="13"/>
      <c r="AA9" s="31"/>
      <c r="AC9" s="94"/>
      <c r="AD9" s="15"/>
    </row>
    <row r="10" spans="1:31" x14ac:dyDescent="0.25">
      <c r="A10" s="311"/>
      <c r="B10" s="20">
        <v>46087</v>
      </c>
      <c r="C10" s="82" t="s">
        <v>46</v>
      </c>
      <c r="D10" s="27"/>
      <c r="F10" s="35"/>
      <c r="H10" s="31"/>
      <c r="I10" s="13"/>
      <c r="J10" s="35"/>
      <c r="L10" s="35"/>
      <c r="M10" s="35"/>
      <c r="N10" s="35"/>
      <c r="O10" s="14"/>
      <c r="P10" s="27"/>
      <c r="S10">
        <v>1200</v>
      </c>
      <c r="T10" s="31"/>
      <c r="U10" s="13"/>
      <c r="Y10" s="31"/>
      <c r="Z10" s="13"/>
      <c r="AA10" s="31"/>
      <c r="AC10" s="94"/>
      <c r="AD10" s="15"/>
    </row>
    <row r="11" spans="1:31" x14ac:dyDescent="0.25">
      <c r="A11" s="311"/>
      <c r="B11" s="20">
        <v>46087</v>
      </c>
      <c r="C11" s="82" t="s">
        <v>164</v>
      </c>
      <c r="D11" s="27"/>
      <c r="F11" s="35"/>
      <c r="H11" s="31"/>
      <c r="I11" s="13"/>
      <c r="J11" s="35"/>
      <c r="L11" s="35"/>
      <c r="M11" s="35"/>
      <c r="N11" s="35"/>
      <c r="O11" s="14"/>
      <c r="P11" s="27"/>
      <c r="T11" s="31"/>
      <c r="U11" s="13"/>
      <c r="Y11" s="31"/>
      <c r="Z11" s="13"/>
      <c r="AA11" s="31">
        <v>3500</v>
      </c>
      <c r="AC11" s="94"/>
      <c r="AD11" s="15"/>
    </row>
    <row r="12" spans="1:31" x14ac:dyDescent="0.25">
      <c r="A12" s="311"/>
      <c r="B12" s="20">
        <v>46087</v>
      </c>
      <c r="C12" s="82" t="s">
        <v>181</v>
      </c>
      <c r="D12" s="27"/>
      <c r="F12" s="35"/>
      <c r="H12" s="31"/>
      <c r="I12" s="13"/>
      <c r="J12" s="35"/>
      <c r="L12" s="35">
        <v>14000</v>
      </c>
      <c r="M12" s="35"/>
      <c r="N12" s="35"/>
      <c r="O12" s="14"/>
      <c r="P12" s="27"/>
      <c r="T12" s="31"/>
      <c r="U12" s="13"/>
      <c r="Y12" s="31"/>
      <c r="Z12" s="13"/>
      <c r="AA12" s="31"/>
      <c r="AC12" s="94"/>
      <c r="AD12" s="15"/>
    </row>
    <row r="13" spans="1:31" x14ac:dyDescent="0.25">
      <c r="A13" s="311"/>
      <c r="B13" s="20">
        <v>46088</v>
      </c>
      <c r="C13" s="82" t="s">
        <v>27</v>
      </c>
      <c r="D13" s="27"/>
      <c r="F13" s="35"/>
      <c r="H13" s="31"/>
      <c r="I13" s="13"/>
      <c r="J13" s="35"/>
      <c r="L13" s="35"/>
      <c r="M13" s="35"/>
      <c r="N13" s="35"/>
      <c r="O13" s="14"/>
      <c r="P13" s="27"/>
      <c r="T13" s="31"/>
      <c r="U13" s="13"/>
      <c r="X13">
        <v>2900</v>
      </c>
      <c r="Y13" s="31"/>
      <c r="Z13" s="13"/>
      <c r="AA13" s="31"/>
      <c r="AC13" s="94"/>
      <c r="AD13" s="15"/>
    </row>
    <row r="14" spans="1:31" x14ac:dyDescent="0.25">
      <c r="A14" s="311"/>
      <c r="B14" s="20">
        <v>46088</v>
      </c>
      <c r="C14" s="82" t="s">
        <v>25</v>
      </c>
      <c r="D14" s="27"/>
      <c r="F14" s="35"/>
      <c r="H14" s="31"/>
      <c r="I14" s="13"/>
      <c r="J14" s="35"/>
      <c r="L14" s="35"/>
      <c r="M14" s="35">
        <v>3500</v>
      </c>
      <c r="N14" s="35"/>
      <c r="O14" s="14"/>
      <c r="P14" s="27"/>
      <c r="T14" s="31"/>
      <c r="U14" s="13"/>
      <c r="Y14" s="31"/>
      <c r="Z14" s="13"/>
      <c r="AA14" s="105">
        <v>3000</v>
      </c>
      <c r="AC14" s="94"/>
      <c r="AD14" s="15"/>
      <c r="AE14" t="s">
        <v>188</v>
      </c>
    </row>
    <row r="15" spans="1:31" x14ac:dyDescent="0.25">
      <c r="A15" s="311"/>
      <c r="B15" s="20"/>
      <c r="C15" s="82"/>
      <c r="D15" s="27"/>
      <c r="F15" s="35"/>
      <c r="H15" s="31"/>
      <c r="I15" s="13"/>
      <c r="J15" s="35"/>
      <c r="L15" s="35"/>
      <c r="M15" s="35"/>
      <c r="N15" s="35"/>
      <c r="O15" s="14"/>
      <c r="P15" s="27"/>
      <c r="T15" s="31"/>
      <c r="U15" s="13"/>
      <c r="Y15" s="31"/>
      <c r="Z15" s="13"/>
      <c r="AA15" s="31"/>
      <c r="AC15" s="94"/>
      <c r="AD15" s="15"/>
    </row>
    <row r="16" spans="1:31" ht="15.75" thickBot="1" x14ac:dyDescent="0.3">
      <c r="A16" s="312"/>
      <c r="B16" s="72"/>
      <c r="C16" s="17"/>
      <c r="D16" s="28"/>
      <c r="E16" s="18"/>
      <c r="F16" s="36"/>
      <c r="G16" s="18"/>
      <c r="H16" s="32"/>
      <c r="I16" s="16"/>
      <c r="J16" s="36"/>
      <c r="K16" s="18"/>
      <c r="L16" s="36"/>
      <c r="M16" s="36"/>
      <c r="N16" s="36"/>
      <c r="O16" s="17"/>
      <c r="P16" s="28"/>
      <c r="Q16" s="18"/>
      <c r="R16" s="18"/>
      <c r="S16" s="18"/>
      <c r="T16" s="32"/>
      <c r="U16" s="16"/>
      <c r="V16" s="18"/>
      <c r="W16" s="18"/>
      <c r="X16" s="18"/>
      <c r="Y16" s="32"/>
      <c r="Z16" s="16"/>
      <c r="AA16" s="32"/>
      <c r="AB16" s="18"/>
      <c r="AC16" s="95"/>
      <c r="AD16" s="19"/>
    </row>
    <row r="17" spans="1:30" x14ac:dyDescent="0.25">
      <c r="A17" s="310" t="s">
        <v>62</v>
      </c>
      <c r="B17" s="20">
        <v>46083</v>
      </c>
      <c r="C17" s="14" t="s">
        <v>22</v>
      </c>
      <c r="D17" s="27"/>
      <c r="F17" s="35"/>
      <c r="H17" s="31"/>
      <c r="I17" s="13">
        <v>499</v>
      </c>
      <c r="J17" s="35"/>
      <c r="L17" s="35"/>
      <c r="M17" s="35"/>
      <c r="N17" s="35"/>
      <c r="O17" s="14"/>
      <c r="P17" s="27"/>
      <c r="T17" s="31"/>
      <c r="U17" s="13"/>
      <c r="Y17" s="31"/>
      <c r="Z17" s="13"/>
      <c r="AA17" s="31"/>
      <c r="AC17" s="94"/>
      <c r="AD17" s="15"/>
    </row>
    <row r="18" spans="1:30" x14ac:dyDescent="0.25">
      <c r="A18" s="311"/>
      <c r="B18" s="20">
        <v>46083</v>
      </c>
      <c r="C18" s="14" t="s">
        <v>22</v>
      </c>
      <c r="D18" s="27"/>
      <c r="F18" s="35"/>
      <c r="H18" s="31"/>
      <c r="I18" s="13"/>
      <c r="J18" s="35">
        <v>42</v>
      </c>
      <c r="L18" s="35"/>
      <c r="M18" s="35"/>
      <c r="N18" s="35"/>
      <c r="O18" s="14"/>
      <c r="P18" s="27"/>
      <c r="T18" s="31"/>
      <c r="U18" s="13"/>
      <c r="Y18" s="31"/>
      <c r="Z18" s="13"/>
      <c r="AA18" s="31"/>
      <c r="AC18" s="94"/>
      <c r="AD18" s="15"/>
    </row>
    <row r="19" spans="1:30" x14ac:dyDescent="0.25">
      <c r="A19" s="311"/>
      <c r="B19" s="20">
        <v>46083</v>
      </c>
      <c r="C19" s="14" t="s">
        <v>146</v>
      </c>
      <c r="D19" s="27"/>
      <c r="F19" s="35"/>
      <c r="H19" s="31"/>
      <c r="I19" s="13"/>
      <c r="J19" s="35"/>
      <c r="L19" s="35">
        <v>2000</v>
      </c>
      <c r="M19" s="35"/>
      <c r="N19" s="35"/>
      <c r="O19" s="14"/>
      <c r="P19" s="27"/>
      <c r="T19" s="31"/>
      <c r="U19" s="13"/>
      <c r="Y19" s="31"/>
      <c r="Z19" s="13"/>
      <c r="AA19" s="31"/>
      <c r="AC19" s="94"/>
      <c r="AD19" s="15"/>
    </row>
    <row r="20" spans="1:30" x14ac:dyDescent="0.25">
      <c r="A20" s="311"/>
      <c r="B20" s="20">
        <v>46083</v>
      </c>
      <c r="C20" s="14" t="s">
        <v>22</v>
      </c>
      <c r="D20" s="27"/>
      <c r="F20" s="35"/>
      <c r="H20" s="31"/>
      <c r="I20" s="13"/>
      <c r="J20" s="35"/>
      <c r="L20" s="35"/>
      <c r="M20" s="35"/>
      <c r="N20" s="35"/>
      <c r="O20" s="14">
        <v>459</v>
      </c>
      <c r="P20" s="27"/>
      <c r="T20" s="31"/>
      <c r="U20" s="13"/>
      <c r="Y20" s="31"/>
      <c r="Z20" s="13"/>
      <c r="AA20" s="31"/>
      <c r="AC20" s="94"/>
      <c r="AD20" s="15"/>
    </row>
    <row r="21" spans="1:30" x14ac:dyDescent="0.25">
      <c r="A21" s="311"/>
      <c r="B21" s="20">
        <v>46083</v>
      </c>
      <c r="C21" s="14" t="s">
        <v>22</v>
      </c>
      <c r="D21" s="27"/>
      <c r="F21" s="35"/>
      <c r="H21" s="31"/>
      <c r="I21" s="13"/>
      <c r="J21" s="35"/>
      <c r="L21" s="35"/>
      <c r="M21" s="35"/>
      <c r="N21" s="35"/>
      <c r="O21" s="14"/>
      <c r="P21" s="27"/>
      <c r="T21" s="31">
        <v>300</v>
      </c>
      <c r="U21" s="13"/>
      <c r="Y21" s="31"/>
      <c r="Z21" s="13"/>
      <c r="AA21" s="31"/>
      <c r="AC21" s="94"/>
      <c r="AD21" s="15"/>
    </row>
    <row r="22" spans="1:30" x14ac:dyDescent="0.25">
      <c r="A22" s="311"/>
      <c r="B22" s="20">
        <v>46083</v>
      </c>
      <c r="C22" s="14" t="s">
        <v>22</v>
      </c>
      <c r="D22" s="27"/>
      <c r="F22" s="35"/>
      <c r="H22" s="31"/>
      <c r="I22" s="13"/>
      <c r="J22" s="35"/>
      <c r="L22" s="35">
        <v>300</v>
      </c>
      <c r="M22" s="35"/>
      <c r="N22" s="35"/>
      <c r="O22" s="14"/>
      <c r="P22" s="27"/>
      <c r="T22" s="31"/>
      <c r="U22" s="13"/>
      <c r="Y22" s="31"/>
      <c r="Z22" s="13"/>
      <c r="AA22" s="31"/>
      <c r="AC22" s="94"/>
      <c r="AD22" s="15"/>
    </row>
    <row r="23" spans="1:30" x14ac:dyDescent="0.25">
      <c r="A23" s="311"/>
      <c r="B23" s="20">
        <v>46083</v>
      </c>
      <c r="C23" s="14" t="s">
        <v>22</v>
      </c>
      <c r="D23" s="27"/>
      <c r="F23" s="35"/>
      <c r="H23" s="31"/>
      <c r="I23" s="13"/>
      <c r="J23" s="35"/>
      <c r="L23" s="35">
        <v>400</v>
      </c>
      <c r="M23" s="35"/>
      <c r="N23" s="35"/>
      <c r="O23" s="14"/>
      <c r="P23" s="27"/>
      <c r="T23" s="31"/>
      <c r="U23" s="13"/>
      <c r="Y23" s="31"/>
      <c r="Z23" s="13"/>
      <c r="AA23" s="31"/>
      <c r="AC23" s="94"/>
      <c r="AD23" s="15"/>
    </row>
    <row r="24" spans="1:30" x14ac:dyDescent="0.25">
      <c r="A24" s="311"/>
      <c r="B24" s="20">
        <v>46083</v>
      </c>
      <c r="C24" s="14" t="s">
        <v>22</v>
      </c>
      <c r="D24" s="27"/>
      <c r="F24" s="35"/>
      <c r="H24" s="31"/>
      <c r="I24" s="13"/>
      <c r="J24" s="35">
        <v>553</v>
      </c>
      <c r="L24" s="35"/>
      <c r="M24" s="35"/>
      <c r="N24" s="35"/>
      <c r="O24" s="14"/>
      <c r="P24" s="27"/>
      <c r="T24" s="31"/>
      <c r="U24" s="13"/>
      <c r="Y24" s="31"/>
      <c r="Z24" s="13"/>
      <c r="AA24" s="31"/>
      <c r="AC24" s="94"/>
      <c r="AD24" s="15"/>
    </row>
    <row r="25" spans="1:30" x14ac:dyDescent="0.25">
      <c r="A25" s="311"/>
      <c r="B25" s="20">
        <v>46083</v>
      </c>
      <c r="C25" s="14" t="s">
        <v>147</v>
      </c>
      <c r="D25" s="27"/>
      <c r="F25" s="35"/>
      <c r="H25" s="31">
        <v>1000</v>
      </c>
      <c r="I25" s="13"/>
      <c r="J25" s="35"/>
      <c r="L25" s="35"/>
      <c r="M25" s="35"/>
      <c r="N25" s="35"/>
      <c r="O25" s="14"/>
      <c r="P25" s="27"/>
      <c r="T25" s="31"/>
      <c r="U25" s="13"/>
      <c r="Y25" s="31"/>
      <c r="Z25" s="13"/>
      <c r="AA25" s="31"/>
      <c r="AC25" s="94"/>
      <c r="AD25" s="15"/>
    </row>
    <row r="26" spans="1:30" x14ac:dyDescent="0.25">
      <c r="A26" s="311"/>
      <c r="B26" s="20">
        <v>46083</v>
      </c>
      <c r="C26" s="14" t="s">
        <v>22</v>
      </c>
      <c r="D26" s="27"/>
      <c r="F26" s="35"/>
      <c r="H26" s="31"/>
      <c r="I26" s="13"/>
      <c r="J26" s="35"/>
      <c r="L26" s="35"/>
      <c r="M26" s="35"/>
      <c r="N26" s="35"/>
      <c r="O26" s="14"/>
      <c r="P26" s="27"/>
      <c r="T26" s="31"/>
      <c r="U26" s="13"/>
      <c r="Y26" s="31"/>
      <c r="Z26" s="13"/>
      <c r="AA26" s="31"/>
      <c r="AC26" s="94"/>
      <c r="AD26" s="15"/>
    </row>
    <row r="27" spans="1:30" x14ac:dyDescent="0.25">
      <c r="A27" s="311"/>
      <c r="B27" s="20">
        <v>46083</v>
      </c>
      <c r="C27" s="14" t="s">
        <v>22</v>
      </c>
      <c r="D27" s="27"/>
      <c r="F27" s="35"/>
      <c r="H27" s="31"/>
      <c r="I27" s="13"/>
      <c r="J27" s="35"/>
      <c r="L27" s="35"/>
      <c r="M27" s="35"/>
      <c r="N27" s="35"/>
      <c r="O27" s="14"/>
      <c r="P27" s="27"/>
      <c r="T27" s="31"/>
      <c r="U27" s="13"/>
      <c r="Y27" s="31"/>
      <c r="Z27" s="13"/>
      <c r="AA27" s="31"/>
      <c r="AC27" s="94"/>
      <c r="AD27" s="15"/>
    </row>
    <row r="28" spans="1:30" x14ac:dyDescent="0.25">
      <c r="A28" s="311"/>
      <c r="B28" s="20">
        <v>46084</v>
      </c>
      <c r="C28" s="14" t="s">
        <v>154</v>
      </c>
      <c r="D28" s="27"/>
      <c r="F28" s="35"/>
      <c r="H28" s="31">
        <v>4000</v>
      </c>
      <c r="I28" s="13"/>
      <c r="J28" s="35"/>
      <c r="L28" s="35"/>
      <c r="M28" s="35"/>
      <c r="N28" s="35"/>
      <c r="O28" s="14"/>
      <c r="P28" s="27"/>
      <c r="T28" s="31"/>
      <c r="U28" s="13"/>
      <c r="Y28" s="31"/>
      <c r="Z28" s="13"/>
      <c r="AA28" s="31"/>
      <c r="AC28" s="94"/>
      <c r="AD28" s="15"/>
    </row>
    <row r="29" spans="1:30" x14ac:dyDescent="0.25">
      <c r="A29" s="311"/>
      <c r="B29" s="20">
        <v>46084</v>
      </c>
      <c r="C29" s="14" t="s">
        <v>145</v>
      </c>
      <c r="D29" s="27"/>
      <c r="F29" s="35"/>
      <c r="H29" s="31">
        <v>100</v>
      </c>
      <c r="I29" s="13"/>
      <c r="J29" s="35"/>
      <c r="L29" s="35"/>
      <c r="M29" s="35"/>
      <c r="N29" s="35"/>
      <c r="O29" s="14"/>
      <c r="P29" s="27"/>
      <c r="T29" s="31"/>
      <c r="U29" s="13"/>
      <c r="Y29" s="31"/>
      <c r="Z29" s="13"/>
      <c r="AA29" s="31"/>
      <c r="AC29" s="94"/>
      <c r="AD29" s="15"/>
    </row>
    <row r="30" spans="1:30" x14ac:dyDescent="0.25">
      <c r="A30" s="311"/>
      <c r="B30" s="20">
        <v>46084</v>
      </c>
      <c r="C30" s="14" t="s">
        <v>148</v>
      </c>
      <c r="D30" s="27"/>
      <c r="F30" s="35"/>
      <c r="H30" s="31">
        <v>4005</v>
      </c>
      <c r="I30" s="13"/>
      <c r="J30" s="35"/>
      <c r="L30" s="35"/>
      <c r="M30" s="35"/>
      <c r="N30" s="35"/>
      <c r="O30" s="14"/>
      <c r="P30" s="27"/>
      <c r="T30" s="31"/>
      <c r="U30" s="13"/>
      <c r="Y30" s="31"/>
      <c r="Z30" s="13"/>
      <c r="AA30" s="31"/>
      <c r="AC30" s="94"/>
      <c r="AD30" s="15"/>
    </row>
    <row r="31" spans="1:30" x14ac:dyDescent="0.25">
      <c r="A31" s="311"/>
      <c r="B31" s="20">
        <v>46084</v>
      </c>
      <c r="C31" s="14" t="s">
        <v>155</v>
      </c>
      <c r="D31" s="27"/>
      <c r="F31" s="35"/>
      <c r="H31" s="31"/>
      <c r="I31" s="13"/>
      <c r="J31" s="35"/>
      <c r="L31" s="35">
        <v>800</v>
      </c>
      <c r="M31" s="35"/>
      <c r="N31" s="35"/>
      <c r="O31" s="14"/>
      <c r="P31" s="27"/>
      <c r="T31" s="31"/>
      <c r="U31" s="13"/>
      <c r="Y31" s="31"/>
      <c r="Z31" s="13"/>
      <c r="AA31" s="31"/>
      <c r="AC31" s="94"/>
      <c r="AD31" s="15"/>
    </row>
    <row r="32" spans="1:30" x14ac:dyDescent="0.25">
      <c r="A32" s="311"/>
      <c r="B32" s="20">
        <v>46084</v>
      </c>
      <c r="C32" s="14" t="s">
        <v>156</v>
      </c>
      <c r="D32" s="27"/>
      <c r="F32" s="35"/>
      <c r="H32" s="31"/>
      <c r="I32" s="13"/>
      <c r="J32" s="35"/>
      <c r="L32" s="35">
        <v>700</v>
      </c>
      <c r="M32" s="35"/>
      <c r="N32" s="35"/>
      <c r="O32" s="14"/>
      <c r="P32" s="27"/>
      <c r="T32" s="31"/>
      <c r="U32" s="13"/>
      <c r="Y32" s="31"/>
      <c r="Z32" s="13"/>
      <c r="AA32" s="31"/>
      <c r="AC32" s="94"/>
      <c r="AD32" s="15"/>
    </row>
    <row r="33" spans="1:33" x14ac:dyDescent="0.25">
      <c r="A33" s="311"/>
      <c r="B33" s="20">
        <v>46084</v>
      </c>
      <c r="C33" s="14" t="s">
        <v>157</v>
      </c>
      <c r="D33" s="27"/>
      <c r="F33" s="35"/>
      <c r="H33" s="31">
        <v>4000</v>
      </c>
      <c r="I33" s="13"/>
      <c r="J33" s="35"/>
      <c r="L33" s="35"/>
      <c r="M33" s="35"/>
      <c r="N33" s="35"/>
      <c r="O33" s="14"/>
      <c r="P33" s="27"/>
      <c r="T33" s="31"/>
      <c r="U33" s="13"/>
      <c r="Y33" s="31"/>
      <c r="Z33" s="13"/>
      <c r="AA33" s="31"/>
      <c r="AC33" s="94"/>
      <c r="AD33" s="15"/>
    </row>
    <row r="34" spans="1:33" x14ac:dyDescent="0.25">
      <c r="A34" s="311"/>
      <c r="B34" s="20">
        <v>46084</v>
      </c>
      <c r="C34" s="14" t="s">
        <v>160</v>
      </c>
      <c r="D34" s="27"/>
      <c r="F34" s="35"/>
      <c r="H34" s="31">
        <v>400</v>
      </c>
      <c r="I34" s="13"/>
      <c r="J34" s="35"/>
      <c r="L34" s="35"/>
      <c r="M34" s="35"/>
      <c r="N34" s="35"/>
      <c r="O34" s="14"/>
      <c r="P34" s="27"/>
      <c r="T34" s="31"/>
      <c r="U34" s="13"/>
      <c r="Y34" s="31"/>
      <c r="Z34" s="13"/>
      <c r="AA34" s="31"/>
      <c r="AC34" s="94"/>
      <c r="AD34" s="15"/>
    </row>
    <row r="35" spans="1:33" x14ac:dyDescent="0.25">
      <c r="A35" s="311"/>
      <c r="B35" s="20">
        <v>46084</v>
      </c>
      <c r="C35" s="14" t="s">
        <v>161</v>
      </c>
      <c r="D35" s="27"/>
      <c r="F35" s="35"/>
      <c r="H35" s="31"/>
      <c r="I35" s="13"/>
      <c r="J35" s="35"/>
      <c r="L35" s="35">
        <v>1500</v>
      </c>
      <c r="M35" s="35"/>
      <c r="N35" s="35"/>
      <c r="O35" s="14"/>
      <c r="P35" s="27"/>
      <c r="T35" s="31"/>
      <c r="U35" s="13"/>
      <c r="Y35" s="31"/>
      <c r="Z35" s="13"/>
      <c r="AA35" s="31"/>
      <c r="AC35" s="94"/>
      <c r="AD35" s="15"/>
    </row>
    <row r="36" spans="1:33" x14ac:dyDescent="0.25">
      <c r="A36" s="311"/>
      <c r="B36" s="20">
        <v>46084</v>
      </c>
      <c r="C36" s="14" t="s">
        <v>163</v>
      </c>
      <c r="D36" s="27"/>
      <c r="F36" s="35"/>
      <c r="H36" s="31"/>
      <c r="I36" s="13"/>
      <c r="J36" s="35"/>
      <c r="L36" s="35">
        <v>1000</v>
      </c>
      <c r="M36" s="35"/>
      <c r="N36" s="35"/>
      <c r="O36" s="14"/>
      <c r="P36" s="27"/>
      <c r="T36" s="31"/>
      <c r="U36" s="13"/>
      <c r="Y36" s="31"/>
      <c r="Z36" s="13"/>
      <c r="AA36" s="31"/>
      <c r="AC36" s="94"/>
      <c r="AD36" s="15"/>
    </row>
    <row r="37" spans="1:33" x14ac:dyDescent="0.25">
      <c r="A37" s="311"/>
      <c r="B37" s="20">
        <v>46084</v>
      </c>
      <c r="C37" s="14" t="s">
        <v>177</v>
      </c>
      <c r="D37" s="27"/>
      <c r="F37" s="35"/>
      <c r="H37" s="31"/>
      <c r="I37" s="13"/>
      <c r="J37" s="35"/>
      <c r="L37" s="35"/>
      <c r="M37" s="35"/>
      <c r="N37" s="35"/>
      <c r="O37" s="14"/>
      <c r="P37" s="27"/>
      <c r="T37" s="31"/>
      <c r="U37" s="83">
        <v>560</v>
      </c>
      <c r="Y37" s="31"/>
      <c r="Z37" s="13"/>
      <c r="AA37" s="31"/>
      <c r="AC37" s="94"/>
      <c r="AD37" s="15"/>
    </row>
    <row r="38" spans="1:33" x14ac:dyDescent="0.25">
      <c r="A38" s="311"/>
      <c r="B38" s="20">
        <v>46085</v>
      </c>
      <c r="C38" s="14" t="s">
        <v>165</v>
      </c>
      <c r="D38" s="27"/>
      <c r="F38" s="35"/>
      <c r="H38" s="31"/>
      <c r="I38" s="13"/>
      <c r="J38" s="35"/>
      <c r="L38" s="35">
        <v>500</v>
      </c>
      <c r="M38" s="35"/>
      <c r="N38" s="35"/>
      <c r="O38" s="14"/>
      <c r="P38" s="27"/>
      <c r="T38" s="31"/>
      <c r="U38" s="13"/>
      <c r="Y38" s="31"/>
      <c r="Z38" s="13"/>
      <c r="AA38" s="31"/>
      <c r="AC38" s="94"/>
      <c r="AD38" s="15"/>
    </row>
    <row r="39" spans="1:33" x14ac:dyDescent="0.25">
      <c r="A39" s="311"/>
      <c r="B39" s="20">
        <v>46085</v>
      </c>
      <c r="C39" s="14" t="s">
        <v>166</v>
      </c>
      <c r="D39" s="27"/>
      <c r="F39" s="35"/>
      <c r="H39" s="31">
        <v>600</v>
      </c>
      <c r="I39" s="13"/>
      <c r="J39" s="35"/>
      <c r="L39" s="35"/>
      <c r="M39" s="35"/>
      <c r="N39" s="35"/>
      <c r="O39" s="14"/>
      <c r="P39" s="27"/>
      <c r="T39" s="31"/>
      <c r="U39" s="13"/>
      <c r="Y39" s="31"/>
      <c r="Z39" s="13"/>
      <c r="AA39" s="31"/>
      <c r="AC39" s="94"/>
      <c r="AD39" s="15"/>
    </row>
    <row r="40" spans="1:33" x14ac:dyDescent="0.25">
      <c r="A40" s="311"/>
      <c r="B40" s="20">
        <v>46085</v>
      </c>
      <c r="C40" s="14" t="s">
        <v>167</v>
      </c>
      <c r="D40" s="27"/>
      <c r="F40" s="35"/>
      <c r="H40" s="31">
        <v>2000</v>
      </c>
      <c r="I40" s="13"/>
      <c r="J40" s="35"/>
      <c r="L40" s="35"/>
      <c r="M40" s="35"/>
      <c r="N40" s="35"/>
      <c r="O40" s="14"/>
      <c r="P40" s="27"/>
      <c r="T40" s="31"/>
      <c r="U40" s="13"/>
      <c r="Y40" s="31"/>
      <c r="Z40" s="13"/>
      <c r="AA40" s="31"/>
      <c r="AC40" s="94"/>
      <c r="AD40" s="15"/>
    </row>
    <row r="41" spans="1:33" x14ac:dyDescent="0.25">
      <c r="A41" s="311"/>
      <c r="B41" s="20">
        <v>46085</v>
      </c>
      <c r="C41" s="14" t="s">
        <v>168</v>
      </c>
      <c r="D41" s="27"/>
      <c r="F41" s="35"/>
      <c r="H41" s="31">
        <v>600</v>
      </c>
      <c r="I41" s="13"/>
      <c r="J41" s="35"/>
      <c r="L41" s="35"/>
      <c r="M41" s="35"/>
      <c r="N41" s="35"/>
      <c r="O41" s="14"/>
      <c r="P41" s="27"/>
      <c r="T41" s="31"/>
      <c r="U41" s="13"/>
      <c r="Y41" s="31"/>
      <c r="Z41" s="13"/>
      <c r="AA41" s="31"/>
      <c r="AC41" s="94"/>
      <c r="AD41" s="15"/>
    </row>
    <row r="42" spans="1:33" x14ac:dyDescent="0.25">
      <c r="A42" s="311"/>
      <c r="B42" s="20">
        <v>46085</v>
      </c>
      <c r="C42" s="14" t="s">
        <v>168</v>
      </c>
      <c r="D42" s="27"/>
      <c r="F42" s="35"/>
      <c r="H42" s="31">
        <v>3000</v>
      </c>
      <c r="I42" s="13"/>
      <c r="J42" s="35"/>
      <c r="L42" s="35"/>
      <c r="M42" s="35"/>
      <c r="N42" s="35"/>
      <c r="O42" s="14"/>
      <c r="P42" s="27"/>
      <c r="T42" s="31"/>
      <c r="U42" s="13"/>
      <c r="Y42" s="31"/>
      <c r="Z42" s="13"/>
      <c r="AA42" s="31"/>
      <c r="AC42" s="94"/>
      <c r="AD42" s="15"/>
      <c r="AG42">
        <f>2600+110+60+80</f>
        <v>2850</v>
      </c>
    </row>
    <row r="43" spans="1:33" x14ac:dyDescent="0.25">
      <c r="A43" s="311"/>
      <c r="B43" s="20">
        <v>46085</v>
      </c>
      <c r="C43" s="14" t="s">
        <v>169</v>
      </c>
      <c r="D43" s="27"/>
      <c r="F43" s="35"/>
      <c r="H43" s="31">
        <v>3000</v>
      </c>
      <c r="I43" s="13"/>
      <c r="J43" s="35"/>
      <c r="L43" s="35"/>
      <c r="M43" s="35"/>
      <c r="N43" s="35"/>
      <c r="O43" s="14"/>
      <c r="P43" s="27"/>
      <c r="T43" s="31"/>
      <c r="U43" s="13"/>
      <c r="Y43" s="31"/>
      <c r="Z43" s="13"/>
      <c r="AA43" s="31"/>
      <c r="AC43" s="94"/>
      <c r="AD43" s="15"/>
    </row>
    <row r="44" spans="1:33" x14ac:dyDescent="0.25">
      <c r="A44" s="311"/>
      <c r="B44" s="20">
        <v>46085</v>
      </c>
      <c r="C44" s="14" t="s">
        <v>169</v>
      </c>
      <c r="D44" s="27"/>
      <c r="F44" s="35"/>
      <c r="H44" s="31"/>
      <c r="I44" s="13"/>
      <c r="J44" s="35"/>
      <c r="L44" s="35"/>
      <c r="M44" s="35"/>
      <c r="N44" s="35"/>
      <c r="O44" s="14"/>
      <c r="P44" s="27"/>
      <c r="T44" s="31">
        <v>215</v>
      </c>
      <c r="U44" s="13"/>
      <c r="Y44" s="31"/>
      <c r="Z44" s="13"/>
      <c r="AA44" s="31"/>
      <c r="AC44" s="94"/>
      <c r="AD44" s="15"/>
    </row>
    <row r="45" spans="1:33" x14ac:dyDescent="0.25">
      <c r="A45" s="311"/>
      <c r="B45" s="20">
        <v>46085</v>
      </c>
      <c r="C45" s="14" t="s">
        <v>170</v>
      </c>
      <c r="D45" s="27"/>
      <c r="F45" s="35"/>
      <c r="H45" s="31"/>
      <c r="I45" s="13"/>
      <c r="J45" s="35"/>
      <c r="L45" s="35"/>
      <c r="M45" s="35"/>
      <c r="N45" s="35"/>
      <c r="O45" s="14"/>
      <c r="P45" s="27"/>
      <c r="T45" s="31">
        <v>100</v>
      </c>
      <c r="U45" s="13"/>
      <c r="Y45" s="31"/>
      <c r="Z45" s="13"/>
      <c r="AA45" s="31"/>
      <c r="AC45" s="94"/>
      <c r="AD45" s="15"/>
    </row>
    <row r="46" spans="1:33" x14ac:dyDescent="0.25">
      <c r="A46" s="311"/>
      <c r="B46" s="20">
        <v>46085</v>
      </c>
      <c r="C46" s="14" t="s">
        <v>171</v>
      </c>
      <c r="D46" s="27"/>
      <c r="F46" s="35"/>
      <c r="H46" s="31"/>
      <c r="I46" s="13"/>
      <c r="J46" s="35">
        <v>1053</v>
      </c>
      <c r="L46" s="35"/>
      <c r="M46" s="35"/>
      <c r="N46" s="35"/>
      <c r="O46" s="14"/>
      <c r="P46" s="27"/>
      <c r="T46" s="31"/>
      <c r="U46" s="13"/>
      <c r="Y46" s="31"/>
      <c r="Z46" s="13"/>
      <c r="AA46" s="31"/>
      <c r="AC46" s="94"/>
      <c r="AD46" s="15"/>
    </row>
    <row r="47" spans="1:33" x14ac:dyDescent="0.25">
      <c r="A47" s="311"/>
      <c r="B47" s="20">
        <v>46085</v>
      </c>
      <c r="C47" s="14" t="s">
        <v>172</v>
      </c>
      <c r="D47" s="27"/>
      <c r="F47" s="35"/>
      <c r="H47" s="31"/>
      <c r="I47" s="13"/>
      <c r="J47" s="35">
        <v>1447</v>
      </c>
      <c r="L47" s="35"/>
      <c r="M47" s="35"/>
      <c r="N47" s="35"/>
      <c r="O47" s="14"/>
      <c r="P47" s="27"/>
      <c r="T47" s="31"/>
      <c r="U47" s="13"/>
      <c r="Y47" s="31"/>
      <c r="Z47" s="13"/>
      <c r="AA47" s="31"/>
      <c r="AC47" s="94"/>
      <c r="AD47" s="15"/>
    </row>
    <row r="48" spans="1:33" x14ac:dyDescent="0.25">
      <c r="A48" s="311"/>
      <c r="B48" s="20">
        <v>46086</v>
      </c>
      <c r="C48" s="14" t="s">
        <v>173</v>
      </c>
      <c r="D48" s="27"/>
      <c r="F48" s="35"/>
      <c r="H48" s="31">
        <v>1000</v>
      </c>
      <c r="I48" s="13"/>
      <c r="J48" s="35"/>
      <c r="L48" s="35"/>
      <c r="M48" s="35"/>
      <c r="N48" s="35"/>
      <c r="O48" s="14"/>
      <c r="P48" s="27"/>
      <c r="S48">
        <v>40</v>
      </c>
      <c r="T48" s="31"/>
      <c r="U48" s="13"/>
      <c r="Y48" s="31"/>
      <c r="Z48" s="13"/>
      <c r="AA48" s="31"/>
      <c r="AC48" s="94"/>
      <c r="AD48" s="15"/>
    </row>
    <row r="49" spans="1:31" x14ac:dyDescent="0.25">
      <c r="A49" s="311"/>
      <c r="B49" s="20">
        <v>46086</v>
      </c>
      <c r="C49" s="14" t="s">
        <v>174</v>
      </c>
      <c r="D49" s="27"/>
      <c r="F49" s="35"/>
      <c r="H49" s="31"/>
      <c r="I49" s="13"/>
      <c r="J49" s="35"/>
      <c r="L49" s="35"/>
      <c r="M49" s="35"/>
      <c r="N49" s="35"/>
      <c r="O49" s="14"/>
      <c r="P49" s="27"/>
      <c r="T49" s="31">
        <v>850</v>
      </c>
      <c r="U49" s="13"/>
      <c r="Y49" s="31"/>
      <c r="Z49" s="13"/>
      <c r="AA49" s="31"/>
      <c r="AC49" s="94"/>
      <c r="AD49" s="15"/>
    </row>
    <row r="50" spans="1:31" x14ac:dyDescent="0.25">
      <c r="A50" s="311"/>
      <c r="B50" s="20">
        <v>46086</v>
      </c>
      <c r="C50" s="14" t="s">
        <v>175</v>
      </c>
      <c r="D50" s="27"/>
      <c r="F50" s="35"/>
      <c r="H50" s="31">
        <v>2000</v>
      </c>
      <c r="I50" s="13"/>
      <c r="J50" s="35"/>
      <c r="L50" s="35"/>
      <c r="M50" s="35"/>
      <c r="N50" s="35"/>
      <c r="O50" s="14"/>
      <c r="P50" s="27"/>
      <c r="T50" s="31"/>
      <c r="U50" s="13"/>
      <c r="Y50" s="31"/>
      <c r="Z50" s="13"/>
      <c r="AA50" s="31"/>
      <c r="AC50" s="94"/>
      <c r="AD50" s="15"/>
    </row>
    <row r="51" spans="1:31" x14ac:dyDescent="0.25">
      <c r="A51" s="311"/>
      <c r="B51" s="20">
        <v>46086</v>
      </c>
      <c r="C51" s="14" t="s">
        <v>179</v>
      </c>
      <c r="D51" s="27"/>
      <c r="F51" s="35"/>
      <c r="H51" s="31"/>
      <c r="I51" s="13"/>
      <c r="J51" s="35"/>
      <c r="L51" s="35"/>
      <c r="M51" s="35"/>
      <c r="N51" s="35"/>
      <c r="O51" s="14"/>
      <c r="P51" s="27"/>
      <c r="T51" s="31"/>
      <c r="U51" s="13"/>
      <c r="Y51" s="31"/>
      <c r="Z51" s="13"/>
      <c r="AA51" s="31"/>
      <c r="AC51" s="94"/>
      <c r="AD51" s="15">
        <v>380</v>
      </c>
    </row>
    <row r="52" spans="1:31" x14ac:dyDescent="0.25">
      <c r="A52" s="311"/>
      <c r="B52" s="20">
        <v>46087</v>
      </c>
      <c r="C52" s="14" t="s">
        <v>180</v>
      </c>
      <c r="D52" s="27"/>
      <c r="F52" s="35"/>
      <c r="H52" s="31"/>
      <c r="I52" s="13"/>
      <c r="J52" s="35"/>
      <c r="L52" s="35"/>
      <c r="M52" s="35"/>
      <c r="N52" s="35"/>
      <c r="O52" s="14"/>
      <c r="P52" s="27"/>
      <c r="T52" s="31"/>
      <c r="U52" s="13"/>
      <c r="Y52" s="31"/>
      <c r="Z52" s="13"/>
      <c r="AA52" s="31"/>
      <c r="AC52" s="94"/>
      <c r="AD52" s="15">
        <v>280</v>
      </c>
    </row>
    <row r="53" spans="1:31" x14ac:dyDescent="0.25">
      <c r="A53" s="311"/>
      <c r="B53" s="20">
        <v>46087</v>
      </c>
      <c r="C53" s="14" t="s">
        <v>22</v>
      </c>
      <c r="D53" s="27"/>
      <c r="F53" s="35"/>
      <c r="H53" s="31"/>
      <c r="I53" s="13"/>
      <c r="J53" s="35"/>
      <c r="L53" s="35">
        <v>400</v>
      </c>
      <c r="M53" s="35"/>
      <c r="N53" s="35"/>
      <c r="O53" s="14"/>
      <c r="P53" s="27"/>
      <c r="T53" s="31"/>
      <c r="U53" s="13"/>
      <c r="Y53" s="31"/>
      <c r="Z53" s="13"/>
      <c r="AA53" s="31"/>
      <c r="AC53" s="94"/>
      <c r="AD53" s="15"/>
    </row>
    <row r="54" spans="1:31" s="112" customFormat="1" x14ac:dyDescent="0.25">
      <c r="A54" s="311"/>
      <c r="B54" s="20">
        <v>46088</v>
      </c>
      <c r="C54" s="110" t="s">
        <v>183</v>
      </c>
      <c r="D54" s="111"/>
      <c r="H54" s="110"/>
      <c r="I54" s="111"/>
      <c r="L54" s="112">
        <v>4000</v>
      </c>
      <c r="O54" s="110"/>
      <c r="P54" s="111"/>
      <c r="T54" s="110"/>
      <c r="U54" s="111"/>
      <c r="Y54" s="110"/>
      <c r="Z54" s="111"/>
      <c r="AA54" s="110"/>
      <c r="AC54" s="113"/>
      <c r="AD54" s="113"/>
      <c r="AE54" s="112" t="s">
        <v>193</v>
      </c>
    </row>
    <row r="55" spans="1:31" x14ac:dyDescent="0.25">
      <c r="A55" s="311"/>
      <c r="B55" s="20">
        <v>46088</v>
      </c>
      <c r="C55" s="14" t="s">
        <v>184</v>
      </c>
      <c r="D55" s="27"/>
      <c r="F55" s="35"/>
      <c r="H55" s="31"/>
      <c r="I55" s="13"/>
      <c r="J55" s="35"/>
      <c r="L55" s="35"/>
      <c r="M55" s="35">
        <v>947</v>
      </c>
      <c r="N55" s="35"/>
      <c r="O55" s="14"/>
      <c r="P55" s="27"/>
      <c r="T55" s="31"/>
      <c r="U55" s="13"/>
      <c r="Y55" s="31"/>
      <c r="Z55" s="13"/>
      <c r="AA55" s="31"/>
      <c r="AC55" s="94"/>
      <c r="AD55" s="15"/>
    </row>
    <row r="56" spans="1:31" x14ac:dyDescent="0.25">
      <c r="A56" s="311"/>
      <c r="B56" s="20">
        <v>46088</v>
      </c>
      <c r="C56" s="14" t="s">
        <v>185</v>
      </c>
      <c r="D56" s="27"/>
      <c r="F56" s="35"/>
      <c r="H56" s="31"/>
      <c r="I56" s="13"/>
      <c r="J56" s="35"/>
      <c r="L56" s="35"/>
      <c r="M56" s="35"/>
      <c r="N56" s="35"/>
      <c r="O56" s="14"/>
      <c r="P56" s="27"/>
      <c r="T56" s="31">
        <v>150</v>
      </c>
      <c r="U56" s="13"/>
      <c r="Y56" s="31"/>
      <c r="Z56" s="13"/>
      <c r="AA56" s="31"/>
      <c r="AC56" s="94"/>
      <c r="AD56" s="15"/>
    </row>
    <row r="57" spans="1:31" x14ac:dyDescent="0.25">
      <c r="A57" s="311"/>
      <c r="B57" s="20">
        <v>46088</v>
      </c>
      <c r="C57" s="14" t="s">
        <v>186</v>
      </c>
      <c r="D57" s="27"/>
      <c r="F57" s="35"/>
      <c r="H57" s="31"/>
      <c r="I57" s="13"/>
      <c r="J57" s="35"/>
      <c r="L57" s="35"/>
      <c r="M57" s="35"/>
      <c r="N57" s="35"/>
      <c r="O57" s="14"/>
      <c r="P57" s="27"/>
      <c r="S57">
        <v>500</v>
      </c>
      <c r="T57" s="31"/>
      <c r="U57" s="13"/>
      <c r="Y57" s="31"/>
      <c r="Z57" s="13"/>
      <c r="AA57" s="31"/>
      <c r="AC57" s="94"/>
      <c r="AD57" s="15"/>
    </row>
    <row r="58" spans="1:31" x14ac:dyDescent="0.25">
      <c r="A58" s="311"/>
      <c r="B58" s="20">
        <v>46088</v>
      </c>
      <c r="C58" s="14" t="s">
        <v>187</v>
      </c>
      <c r="D58" s="27">
        <v>1000</v>
      </c>
      <c r="F58" s="35"/>
      <c r="H58" s="31"/>
      <c r="I58" s="13"/>
      <c r="J58" s="35"/>
      <c r="L58" s="35"/>
      <c r="M58" s="35"/>
      <c r="N58" s="35"/>
      <c r="O58" s="14"/>
      <c r="P58" s="27"/>
      <c r="T58" s="31"/>
      <c r="U58" s="13"/>
      <c r="Y58" s="31"/>
      <c r="Z58" s="13"/>
      <c r="AA58" s="31"/>
      <c r="AC58" s="94"/>
      <c r="AD58" s="15"/>
    </row>
    <row r="59" spans="1:31" x14ac:dyDescent="0.25">
      <c r="A59" s="311"/>
      <c r="C59" s="14"/>
      <c r="D59" s="27"/>
      <c r="F59" s="35"/>
      <c r="H59" s="31"/>
      <c r="I59" s="13"/>
      <c r="J59" s="35"/>
      <c r="L59" s="35"/>
      <c r="M59" s="35"/>
      <c r="N59" s="35"/>
      <c r="O59" s="14"/>
      <c r="P59" s="27"/>
      <c r="T59" s="31"/>
      <c r="U59" s="13"/>
      <c r="Y59" s="31"/>
      <c r="Z59" s="13"/>
      <c r="AA59" s="31"/>
      <c r="AC59" s="94"/>
      <c r="AD59" s="15">
        <v>105</v>
      </c>
    </row>
    <row r="60" spans="1:31" x14ac:dyDescent="0.25">
      <c r="A60" s="311"/>
      <c r="B60" s="20">
        <v>46088</v>
      </c>
      <c r="C60" s="14"/>
      <c r="D60" s="27"/>
      <c r="F60" s="35"/>
      <c r="H60" s="31"/>
      <c r="I60" s="13"/>
      <c r="J60" s="35"/>
      <c r="L60" s="35"/>
      <c r="M60" s="35"/>
      <c r="N60" s="35"/>
      <c r="O60" s="14"/>
      <c r="P60" s="27"/>
      <c r="T60" s="31"/>
      <c r="U60" s="13"/>
      <c r="Y60" s="31"/>
      <c r="Z60" s="13"/>
      <c r="AA60" s="31"/>
      <c r="AC60" s="94"/>
      <c r="AD60" s="15"/>
    </row>
    <row r="61" spans="1:31" x14ac:dyDescent="0.25">
      <c r="A61" s="311"/>
      <c r="B61" s="20"/>
      <c r="C61" s="14"/>
      <c r="D61" s="27"/>
      <c r="F61" s="35"/>
      <c r="H61" s="31"/>
      <c r="I61" s="13"/>
      <c r="J61" s="35"/>
      <c r="L61" s="35"/>
      <c r="M61" s="35"/>
      <c r="N61" s="35"/>
      <c r="O61" s="14"/>
      <c r="P61" s="27"/>
      <c r="T61" s="31"/>
      <c r="U61" s="13"/>
      <c r="Y61" s="31"/>
      <c r="Z61" s="13"/>
      <c r="AA61" s="31"/>
      <c r="AC61" s="94"/>
      <c r="AD61" s="15"/>
    </row>
    <row r="62" spans="1:31" s="52" customFormat="1" x14ac:dyDescent="0.25">
      <c r="A62" s="311"/>
      <c r="B62" s="114"/>
      <c r="C62" s="105" t="s">
        <v>178</v>
      </c>
      <c r="D62" s="83">
        <v>167</v>
      </c>
      <c r="H62" s="105">
        <v>45</v>
      </c>
      <c r="I62" s="83"/>
      <c r="J62" s="52">
        <v>2</v>
      </c>
      <c r="L62" s="52">
        <v>62</v>
      </c>
      <c r="O62" s="105"/>
      <c r="P62" s="83"/>
      <c r="T62" s="105"/>
      <c r="U62" s="83"/>
      <c r="Y62" s="105"/>
      <c r="Z62" s="83"/>
      <c r="AA62" s="105"/>
      <c r="AC62" s="115"/>
      <c r="AD62" s="115"/>
    </row>
    <row r="63" spans="1:31" x14ac:dyDescent="0.25">
      <c r="A63" s="311"/>
      <c r="B63" s="20"/>
      <c r="C63" s="14"/>
      <c r="D63" s="27"/>
      <c r="F63" s="35"/>
      <c r="H63" s="31"/>
      <c r="I63" s="13"/>
      <c r="J63" s="35"/>
      <c r="L63" s="35"/>
      <c r="M63" s="35"/>
      <c r="N63" s="35"/>
      <c r="O63" s="14"/>
      <c r="P63" s="27"/>
      <c r="T63" s="31"/>
      <c r="U63" s="13"/>
      <c r="Y63" s="31"/>
      <c r="Z63" s="13"/>
      <c r="AA63" s="31"/>
      <c r="AC63" s="94"/>
      <c r="AD63" s="15"/>
    </row>
    <row r="64" spans="1:31" ht="15.75" thickBot="1" x14ac:dyDescent="0.3">
      <c r="A64" s="312"/>
      <c r="B64" s="13"/>
      <c r="C64" s="14"/>
      <c r="D64" s="27"/>
      <c r="F64" s="35"/>
      <c r="H64" s="31"/>
      <c r="I64" s="13"/>
      <c r="J64" s="35"/>
      <c r="L64" s="35"/>
      <c r="M64" s="35"/>
      <c r="N64" s="35"/>
      <c r="O64" s="14"/>
      <c r="P64" s="27"/>
      <c r="T64" s="31"/>
      <c r="U64" s="13"/>
      <c r="Y64" s="31"/>
      <c r="Z64" s="13"/>
      <c r="AA64" s="31"/>
      <c r="AC64" s="94"/>
      <c r="AD64" s="15"/>
    </row>
    <row r="65" spans="1:35" ht="21.75" thickBot="1" x14ac:dyDescent="0.3">
      <c r="A65" s="21" t="s">
        <v>23</v>
      </c>
      <c r="B65" s="22"/>
      <c r="C65" s="23"/>
      <c r="D65" s="29">
        <f>SUM(D4:D16)-SUM(D17:D64)</f>
        <v>1243</v>
      </c>
      <c r="E65" s="22">
        <f t="shared" ref="E65:AD65" si="0">SUM(E4:E16)-SUM(E17:E64)</f>
        <v>95</v>
      </c>
      <c r="F65" s="37">
        <f t="shared" si="0"/>
        <v>0</v>
      </c>
      <c r="G65" s="24">
        <f t="shared" si="0"/>
        <v>194</v>
      </c>
      <c r="H65" s="33">
        <f>SUM(H4:H16)-SUM(H17:H64)</f>
        <v>3430</v>
      </c>
      <c r="I65" s="22">
        <f t="shared" si="0"/>
        <v>0</v>
      </c>
      <c r="J65" s="37">
        <f t="shared" si="0"/>
        <v>0</v>
      </c>
      <c r="K65" s="24">
        <f t="shared" si="0"/>
        <v>2088</v>
      </c>
      <c r="L65" s="37">
        <f>SUM(L4:L16)-SUM(L17:L64)</f>
        <v>21085</v>
      </c>
      <c r="M65" s="37">
        <f>SUM(M4:M16)-SUM(M17:M64)</f>
        <v>2553</v>
      </c>
      <c r="N65" s="37">
        <f t="shared" si="0"/>
        <v>0</v>
      </c>
      <c r="O65" s="23">
        <f t="shared" si="0"/>
        <v>0</v>
      </c>
      <c r="P65" s="29">
        <f t="shared" si="0"/>
        <v>2</v>
      </c>
      <c r="Q65" s="29">
        <f t="shared" si="0"/>
        <v>0</v>
      </c>
      <c r="R65" s="29">
        <f t="shared" si="0"/>
        <v>0</v>
      </c>
      <c r="S65" s="107">
        <f t="shared" si="0"/>
        <v>732</v>
      </c>
      <c r="T65" s="33">
        <f t="shared" si="0"/>
        <v>38</v>
      </c>
      <c r="U65" s="22">
        <f t="shared" si="0"/>
        <v>1302</v>
      </c>
      <c r="V65" s="22">
        <f t="shared" si="0"/>
        <v>204</v>
      </c>
      <c r="W65" s="22">
        <f t="shared" si="0"/>
        <v>170</v>
      </c>
      <c r="X65" s="22">
        <f t="shared" si="0"/>
        <v>2900</v>
      </c>
      <c r="Y65" s="33">
        <f t="shared" si="0"/>
        <v>0</v>
      </c>
      <c r="Z65" s="22">
        <f t="shared" si="0"/>
        <v>0</v>
      </c>
      <c r="AA65" s="33">
        <f t="shared" si="0"/>
        <v>6500</v>
      </c>
      <c r="AB65" s="22">
        <f t="shared" si="0"/>
        <v>0</v>
      </c>
      <c r="AC65" s="96">
        <f t="shared" si="0"/>
        <v>0</v>
      </c>
      <c r="AD65" s="25">
        <f t="shared" si="0"/>
        <v>35</v>
      </c>
    </row>
    <row r="67" spans="1:35" x14ac:dyDescent="0.25">
      <c r="C67" t="s">
        <v>176</v>
      </c>
      <c r="E67">
        <v>0.55000000000000004</v>
      </c>
      <c r="F67">
        <v>0.69</v>
      </c>
      <c r="G67">
        <v>0.65</v>
      </c>
      <c r="H67">
        <v>0.74</v>
      </c>
      <c r="I67">
        <f>+I65*0.68</f>
        <v>0</v>
      </c>
      <c r="J67">
        <v>0.8</v>
      </c>
      <c r="K67" s="50">
        <f>0.95+0.1</f>
        <v>1.05</v>
      </c>
      <c r="L67">
        <f>0.84+0.12</f>
        <v>0.96</v>
      </c>
      <c r="M67">
        <v>0.82</v>
      </c>
      <c r="N67">
        <f>+N65*0.74</f>
        <v>0</v>
      </c>
      <c r="O67">
        <f>+O65*0.66</f>
        <v>0</v>
      </c>
      <c r="P67">
        <v>2.35</v>
      </c>
      <c r="Q67">
        <f>+Q65*2.1</f>
        <v>0</v>
      </c>
      <c r="R67">
        <f>R65*1.95</f>
        <v>0</v>
      </c>
      <c r="S67">
        <v>2.4500000000000002</v>
      </c>
      <c r="T67">
        <v>2.35</v>
      </c>
      <c r="U67">
        <v>2.5499999999999998</v>
      </c>
      <c r="V67">
        <v>2.5499999999999998</v>
      </c>
      <c r="W67">
        <v>2.9</v>
      </c>
      <c r="X67">
        <v>2.85</v>
      </c>
      <c r="Y67">
        <f>+Y65*2.15</f>
        <v>0</v>
      </c>
      <c r="Z67">
        <f>+Z65*0.44</f>
        <v>0</v>
      </c>
      <c r="AA67">
        <f>+AA65*0.34</f>
        <v>2210</v>
      </c>
      <c r="AB67" s="50">
        <f>+AB65*2.3</f>
        <v>0</v>
      </c>
      <c r="AC67">
        <f>+AC65*0.58</f>
        <v>0</v>
      </c>
      <c r="AD67" s="109"/>
    </row>
    <row r="68" spans="1:35" x14ac:dyDescent="0.25">
      <c r="D68">
        <f>+D65*D67</f>
        <v>0</v>
      </c>
      <c r="E68">
        <f>+E65*E67</f>
        <v>52.250000000000007</v>
      </c>
      <c r="F68">
        <f t="shared" ref="F68:AD68" si="1">+F65*F67</f>
        <v>0</v>
      </c>
      <c r="G68">
        <f t="shared" si="1"/>
        <v>126.10000000000001</v>
      </c>
      <c r="H68">
        <f t="shared" si="1"/>
        <v>2538.1999999999998</v>
      </c>
      <c r="I68">
        <f t="shared" si="1"/>
        <v>0</v>
      </c>
      <c r="J68">
        <f t="shared" si="1"/>
        <v>0</v>
      </c>
      <c r="K68">
        <f t="shared" si="1"/>
        <v>2192.4</v>
      </c>
      <c r="L68">
        <f t="shared" si="1"/>
        <v>20241.599999999999</v>
      </c>
      <c r="M68">
        <f>M65*M67</f>
        <v>2093.46</v>
      </c>
      <c r="N68">
        <f t="shared" si="1"/>
        <v>0</v>
      </c>
      <c r="O68">
        <f t="shared" si="1"/>
        <v>0</v>
      </c>
      <c r="P68">
        <f t="shared" si="1"/>
        <v>4.7</v>
      </c>
      <c r="Q68">
        <f t="shared" si="1"/>
        <v>0</v>
      </c>
      <c r="R68">
        <f t="shared" si="1"/>
        <v>0</v>
      </c>
      <c r="S68">
        <f t="shared" si="1"/>
        <v>1793.4</v>
      </c>
      <c r="T68">
        <f t="shared" si="1"/>
        <v>89.3</v>
      </c>
      <c r="U68">
        <f t="shared" si="1"/>
        <v>3320.1</v>
      </c>
      <c r="V68">
        <f t="shared" si="1"/>
        <v>520.19999999999993</v>
      </c>
      <c r="W68">
        <f t="shared" si="1"/>
        <v>493</v>
      </c>
      <c r="X68">
        <f>X65*X67</f>
        <v>8265</v>
      </c>
      <c r="Y68">
        <f t="shared" si="1"/>
        <v>0</v>
      </c>
      <c r="Z68">
        <f t="shared" si="1"/>
        <v>0</v>
      </c>
      <c r="AB68">
        <f t="shared" si="1"/>
        <v>0</v>
      </c>
      <c r="AC68">
        <f t="shared" si="1"/>
        <v>0</v>
      </c>
      <c r="AD68">
        <f t="shared" si="1"/>
        <v>0</v>
      </c>
      <c r="AE68" s="52">
        <f>SUM(E68:AD68)</f>
        <v>41729.71</v>
      </c>
    </row>
    <row r="69" spans="1:35" ht="15.75" thickBot="1" x14ac:dyDescent="0.3"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103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</row>
    <row r="70" spans="1:35" ht="15.75" thickBot="1" x14ac:dyDescent="0.3">
      <c r="C70" s="91"/>
      <c r="E70" s="79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8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80"/>
    </row>
    <row r="72" spans="1:35" x14ac:dyDescent="0.25">
      <c r="O72" s="60"/>
      <c r="S72" s="50"/>
    </row>
    <row r="73" spans="1:35" x14ac:dyDescent="0.25">
      <c r="J73" s="60"/>
      <c r="S73" s="85"/>
      <c r="U73" s="84"/>
    </row>
    <row r="74" spans="1:35" x14ac:dyDescent="0.25">
      <c r="K74" s="60"/>
      <c r="S74" s="60"/>
    </row>
    <row r="76" spans="1:35" ht="30" customHeight="1" x14ac:dyDescent="0.25">
      <c r="AH76" t="s">
        <v>130</v>
      </c>
      <c r="AI76">
        <v>1667</v>
      </c>
    </row>
    <row r="77" spans="1:35" x14ac:dyDescent="0.25">
      <c r="AI77">
        <v>1070</v>
      </c>
    </row>
    <row r="78" spans="1:35" x14ac:dyDescent="0.25">
      <c r="AI78">
        <f>AI76-AI77</f>
        <v>597</v>
      </c>
    </row>
    <row r="79" spans="1:35" x14ac:dyDescent="0.25">
      <c r="C79" s="98" t="s">
        <v>118</v>
      </c>
      <c r="D79">
        <f>5050+180</f>
        <v>5230</v>
      </c>
      <c r="E79">
        <v>140</v>
      </c>
      <c r="F79">
        <f>-310+70+80</f>
        <v>-160</v>
      </c>
      <c r="G79">
        <f>8000+1340-200</f>
        <v>9140</v>
      </c>
      <c r="H79">
        <f>12540+400</f>
        <v>12940</v>
      </c>
      <c r="I79">
        <f>3670+1320-7150</f>
        <v>-2160</v>
      </c>
      <c r="J79">
        <f>12700+870+980+24320+600</f>
        <v>39470</v>
      </c>
      <c r="K79">
        <f>38950+1000+1080+600</f>
        <v>41630</v>
      </c>
      <c r="L79">
        <f>23176+4500+600+1000+35680+3900</f>
        <v>68856</v>
      </c>
    </row>
    <row r="80" spans="1:35" x14ac:dyDescent="0.25">
      <c r="C80" t="s">
        <v>119</v>
      </c>
      <c r="D80">
        <v>6500</v>
      </c>
      <c r="E80">
        <v>6500</v>
      </c>
      <c r="F80">
        <v>6500</v>
      </c>
      <c r="G80">
        <v>6500</v>
      </c>
      <c r="H80">
        <v>5800</v>
      </c>
      <c r="I80">
        <v>5800</v>
      </c>
      <c r="J80">
        <v>5800</v>
      </c>
      <c r="K80">
        <v>5100</v>
      </c>
      <c r="L80">
        <v>5100</v>
      </c>
    </row>
    <row r="81" spans="3:37" x14ac:dyDescent="0.25">
      <c r="C81" t="s">
        <v>120</v>
      </c>
      <c r="D81">
        <v>33280</v>
      </c>
      <c r="E81">
        <v>33280</v>
      </c>
      <c r="F81">
        <f>38060-1480</f>
        <v>36580</v>
      </c>
      <c r="G81">
        <v>27560</v>
      </c>
      <c r="H81">
        <v>24080</v>
      </c>
      <c r="I81">
        <v>42702</v>
      </c>
      <c r="J81">
        <v>0</v>
      </c>
      <c r="K81">
        <v>0</v>
      </c>
      <c r="L81">
        <f>1081-340</f>
        <v>741</v>
      </c>
    </row>
    <row r="82" spans="3:37" x14ac:dyDescent="0.25">
      <c r="C82" t="s">
        <v>123</v>
      </c>
      <c r="D82">
        <v>2960</v>
      </c>
      <c r="E82">
        <v>2960</v>
      </c>
      <c r="F82">
        <f>1150</f>
        <v>1150</v>
      </c>
      <c r="G82">
        <v>1980</v>
      </c>
      <c r="H82">
        <v>4000</v>
      </c>
      <c r="I82">
        <v>0</v>
      </c>
      <c r="K82">
        <v>0</v>
      </c>
      <c r="L82">
        <v>0</v>
      </c>
      <c r="AH82" t="s">
        <v>149</v>
      </c>
      <c r="AI82">
        <v>14352</v>
      </c>
      <c r="AJ82" t="s">
        <v>150</v>
      </c>
      <c r="AK82" t="s">
        <v>151</v>
      </c>
    </row>
    <row r="83" spans="3:37" x14ac:dyDescent="0.25">
      <c r="C83" t="s">
        <v>122</v>
      </c>
      <c r="D83">
        <v>1300</v>
      </c>
      <c r="E83">
        <v>1300</v>
      </c>
      <c r="F83">
        <v>1300</v>
      </c>
      <c r="G83">
        <v>1300</v>
      </c>
      <c r="H83">
        <v>1140</v>
      </c>
      <c r="I83">
        <v>1140</v>
      </c>
      <c r="J83">
        <v>1140</v>
      </c>
      <c r="K83">
        <v>0</v>
      </c>
      <c r="L83">
        <v>0</v>
      </c>
      <c r="AI83">
        <v>-14547</v>
      </c>
      <c r="AJ83" t="s">
        <v>152</v>
      </c>
    </row>
    <row r="84" spans="3:37" x14ac:dyDescent="0.25">
      <c r="C84" t="s">
        <v>127</v>
      </c>
      <c r="D84">
        <v>-9815</v>
      </c>
      <c r="E84">
        <v>-4815</v>
      </c>
      <c r="F84">
        <v>-4815</v>
      </c>
      <c r="G84">
        <v>-4815</v>
      </c>
      <c r="H84">
        <v>-4815</v>
      </c>
      <c r="I84">
        <v>-4815</v>
      </c>
      <c r="J84">
        <v>-3609</v>
      </c>
      <c r="K84">
        <v>-3609</v>
      </c>
      <c r="L84">
        <f>-1324-1120</f>
        <v>-2444</v>
      </c>
    </row>
    <row r="85" spans="3:37" x14ac:dyDescent="0.25">
      <c r="C85" t="s">
        <v>128</v>
      </c>
      <c r="L85">
        <f>-2336.5*12</f>
        <v>-28038</v>
      </c>
      <c r="AI85">
        <f>SUM(AI82:AI84)</f>
        <v>-195</v>
      </c>
      <c r="AJ85" t="s">
        <v>153</v>
      </c>
    </row>
    <row r="87" spans="3:37" x14ac:dyDescent="0.25">
      <c r="D87">
        <f>SUM(D79:D86)</f>
        <v>39455</v>
      </c>
      <c r="E87">
        <f>SUM(E79:E84)</f>
        <v>39365</v>
      </c>
      <c r="F87">
        <f>SUM(F79:F84)</f>
        <v>40555</v>
      </c>
      <c r="G87">
        <f>SUM(G79:G84)</f>
        <v>41665</v>
      </c>
      <c r="H87">
        <f>SUM(H79:H84)</f>
        <v>43145</v>
      </c>
      <c r="I87">
        <f>SUM(I79:I84)</f>
        <v>42667</v>
      </c>
      <c r="J87">
        <f>SUM(J79:J86)</f>
        <v>42801</v>
      </c>
      <c r="K87">
        <f>SUM(K79:K86)</f>
        <v>43121</v>
      </c>
      <c r="L87">
        <f>SUM(L79:L86)</f>
        <v>44215</v>
      </c>
    </row>
    <row r="88" spans="3:37" x14ac:dyDescent="0.25">
      <c r="C88" t="s">
        <v>124</v>
      </c>
      <c r="D88">
        <v>100</v>
      </c>
      <c r="E88">
        <v>100</v>
      </c>
      <c r="F88">
        <v>100</v>
      </c>
      <c r="G88">
        <v>100</v>
      </c>
      <c r="H88">
        <f>100+350</f>
        <v>450</v>
      </c>
      <c r="I88">
        <v>100</v>
      </c>
      <c r="J88">
        <v>100</v>
      </c>
      <c r="AH88" t="s">
        <v>158</v>
      </c>
      <c r="AJ88">
        <v>24005</v>
      </c>
    </row>
    <row r="89" spans="3:37" x14ac:dyDescent="0.25">
      <c r="C89" t="s">
        <v>125</v>
      </c>
      <c r="D89">
        <f t="shared" ref="D89:I89" si="2">+D87-D88</f>
        <v>39355</v>
      </c>
      <c r="E89">
        <f t="shared" si="2"/>
        <v>39265</v>
      </c>
      <c r="F89">
        <f t="shared" si="2"/>
        <v>40455</v>
      </c>
      <c r="G89">
        <f t="shared" si="2"/>
        <v>41565</v>
      </c>
      <c r="H89">
        <f t="shared" si="2"/>
        <v>42695</v>
      </c>
      <c r="I89">
        <f t="shared" si="2"/>
        <v>42567</v>
      </c>
      <c r="J89">
        <f>+J87-J88</f>
        <v>42701</v>
      </c>
      <c r="AJ89">
        <v>-24080</v>
      </c>
    </row>
    <row r="90" spans="3:37" x14ac:dyDescent="0.25">
      <c r="G90">
        <f>+G89-F89</f>
        <v>1110</v>
      </c>
      <c r="H90">
        <f>+H89-G89</f>
        <v>1130</v>
      </c>
      <c r="L90">
        <f>+L87-K87</f>
        <v>1094</v>
      </c>
      <c r="AI90" t="s">
        <v>159</v>
      </c>
      <c r="AJ90">
        <f>SUM(AJ88:AJ89)</f>
        <v>-75</v>
      </c>
    </row>
    <row r="91" spans="3:37" x14ac:dyDescent="0.25">
      <c r="I91">
        <f>+H89-I89</f>
        <v>128</v>
      </c>
      <c r="J91">
        <f>+J89-I89</f>
        <v>134</v>
      </c>
    </row>
    <row r="94" spans="3:37" x14ac:dyDescent="0.25">
      <c r="J94" s="102">
        <v>20611410159</v>
      </c>
    </row>
    <row r="95" spans="3:37" x14ac:dyDescent="0.25">
      <c r="J95" s="102">
        <v>41200545</v>
      </c>
    </row>
  </sheetData>
  <mergeCells count="7">
    <mergeCell ref="Z2:AA2"/>
    <mergeCell ref="A4:A16"/>
    <mergeCell ref="A17:A64"/>
    <mergeCell ref="D2:H2"/>
    <mergeCell ref="I2:O2"/>
    <mergeCell ref="P2:T2"/>
    <mergeCell ref="U2:Y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B58-0E07-43BB-929B-8AE339701832}">
  <dimension ref="A1:AN127"/>
  <sheetViews>
    <sheetView zoomScale="60" zoomScaleNormal="60" workbookViewId="0">
      <pane xSplit="3" ySplit="3" topLeftCell="D37" activePane="bottomRight" state="frozen"/>
      <selection pane="topRight" activeCell="D1" sqref="D1"/>
      <selection pane="bottomLeft" activeCell="A4" sqref="A4"/>
      <selection pane="bottomRight" activeCell="B66" sqref="A66:XFD66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7" width="11.140625" customWidth="1"/>
    <col min="8" max="8" width="9.42578125" customWidth="1"/>
    <col min="9" max="9" width="10.7109375" customWidth="1"/>
    <col min="10" max="10" width="11.28515625" customWidth="1"/>
    <col min="11" max="11" width="10.140625" customWidth="1"/>
    <col min="12" max="13" width="12" customWidth="1"/>
    <col min="14" max="14" width="11.28515625" customWidth="1"/>
    <col min="15" max="15" width="10.42578125" bestFit="1" customWidth="1"/>
    <col min="16" max="16" width="8.7109375" bestFit="1" customWidth="1"/>
    <col min="17" max="17" width="10.5703125" customWidth="1"/>
    <col min="18" max="18" width="8.7109375" customWidth="1"/>
    <col min="19" max="19" width="11.28515625" customWidth="1"/>
    <col min="20" max="20" width="10.85546875" customWidth="1"/>
    <col min="21" max="23" width="10.7109375" customWidth="1"/>
    <col min="24" max="25" width="13.5703125" customWidth="1"/>
    <col min="26" max="26" width="11.5703125" customWidth="1"/>
    <col min="27" max="27" width="14.42578125" customWidth="1"/>
    <col min="28" max="28" width="9.85546875" customWidth="1"/>
    <col min="29" max="29" width="14.5703125" customWidth="1"/>
    <col min="30" max="30" width="19" customWidth="1"/>
    <col min="33" max="33" width="16.140625" customWidth="1"/>
  </cols>
  <sheetData>
    <row r="1" spans="1:29" ht="33" customHeight="1" thickBot="1" x14ac:dyDescent="0.3"/>
    <row r="2" spans="1:29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13"/>
      <c r="T2" s="309"/>
      <c r="U2" s="308" t="s">
        <v>3</v>
      </c>
      <c r="V2" s="313"/>
      <c r="W2" s="313"/>
      <c r="X2" s="313"/>
      <c r="Y2" s="313"/>
      <c r="Z2" s="309"/>
      <c r="AA2" s="308" t="s">
        <v>4</v>
      </c>
      <c r="AB2" s="309"/>
      <c r="AC2" s="46" t="s">
        <v>91</v>
      </c>
    </row>
    <row r="3" spans="1:29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8" t="s">
        <v>13</v>
      </c>
      <c r="I3" s="9" t="s">
        <v>126</v>
      </c>
      <c r="J3" s="7" t="s">
        <v>11</v>
      </c>
      <c r="K3" s="7" t="s">
        <v>12</v>
      </c>
      <c r="L3" s="7" t="s">
        <v>13</v>
      </c>
      <c r="M3" s="7" t="s">
        <v>182</v>
      </c>
      <c r="N3" s="7" t="s">
        <v>15</v>
      </c>
      <c r="O3" s="8" t="s">
        <v>136</v>
      </c>
      <c r="P3" s="6" t="s">
        <v>12</v>
      </c>
      <c r="Q3" s="7" t="s">
        <v>69</v>
      </c>
      <c r="R3" s="7" t="s">
        <v>13</v>
      </c>
      <c r="S3" s="7" t="s">
        <v>16</v>
      </c>
      <c r="T3" s="8" t="s">
        <v>162</v>
      </c>
      <c r="U3" s="6" t="s">
        <v>16</v>
      </c>
      <c r="V3" s="7" t="s">
        <v>77</v>
      </c>
      <c r="W3" s="7" t="s">
        <v>12</v>
      </c>
      <c r="X3" s="7" t="s">
        <v>13</v>
      </c>
      <c r="Y3" s="7" t="s">
        <v>8</v>
      </c>
      <c r="Z3" s="8" t="s">
        <v>69</v>
      </c>
      <c r="AA3" s="6" t="s">
        <v>17</v>
      </c>
      <c r="AB3" s="8" t="s">
        <v>18</v>
      </c>
      <c r="AC3" s="10" t="s">
        <v>92</v>
      </c>
    </row>
    <row r="4" spans="1:29" x14ac:dyDescent="0.25">
      <c r="A4" s="310" t="s">
        <v>19</v>
      </c>
      <c r="B4" s="49"/>
      <c r="C4" s="2"/>
      <c r="D4" s="42">
        <v>1243</v>
      </c>
      <c r="E4" s="42">
        <f>'STOCK 08-14-02'!E25</f>
        <v>95</v>
      </c>
      <c r="F4" s="42">
        <f>'STOCK 08-14-02'!F25</f>
        <v>0</v>
      </c>
      <c r="G4" s="42">
        <v>0</v>
      </c>
      <c r="H4" s="42">
        <v>3430</v>
      </c>
      <c r="I4" s="42">
        <v>0</v>
      </c>
      <c r="J4" s="42">
        <v>0</v>
      </c>
      <c r="K4" s="42">
        <v>2088</v>
      </c>
      <c r="L4" s="42">
        <v>21085</v>
      </c>
      <c r="M4" s="42">
        <v>2553</v>
      </c>
      <c r="N4" s="42">
        <f>'STOCK 08-14-02'!M25</f>
        <v>0</v>
      </c>
      <c r="O4" s="42">
        <v>0</v>
      </c>
      <c r="P4" s="42">
        <f>'STOCK 08-14-02'!O25</f>
        <v>2</v>
      </c>
      <c r="Q4" s="42">
        <f>'STOCK 08-14-02'!P25</f>
        <v>0</v>
      </c>
      <c r="R4" s="42">
        <f>'STOCK 08-14-02'!Q25</f>
        <v>0</v>
      </c>
      <c r="S4" s="42">
        <v>732</v>
      </c>
      <c r="T4" s="42">
        <v>38</v>
      </c>
      <c r="U4" s="42">
        <v>1302</v>
      </c>
      <c r="V4" s="42">
        <f>'STOCK 08-14-02'!U25</f>
        <v>204</v>
      </c>
      <c r="W4" s="42">
        <f>'STOCK 08-14-02'!V25</f>
        <v>170</v>
      </c>
      <c r="X4" s="42">
        <v>2900</v>
      </c>
      <c r="Y4" s="42">
        <v>0</v>
      </c>
      <c r="Z4" s="42">
        <f>'STOCK 08-14-02'!W25</f>
        <v>0</v>
      </c>
      <c r="AA4" s="42">
        <f>'STOCK 08-14-02'!X25</f>
        <v>0</v>
      </c>
      <c r="AB4" s="42">
        <v>3000</v>
      </c>
      <c r="AC4" s="42">
        <v>35</v>
      </c>
    </row>
    <row r="5" spans="1:29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35"/>
      <c r="O5" s="14"/>
      <c r="P5" s="27"/>
      <c r="T5" s="31"/>
      <c r="U5" s="13"/>
      <c r="Z5" s="31"/>
      <c r="AA5" s="13"/>
      <c r="AB5" s="31"/>
      <c r="AC5" s="15"/>
    </row>
    <row r="6" spans="1:29" x14ac:dyDescent="0.25">
      <c r="A6" s="311"/>
      <c r="B6" s="20">
        <v>46090</v>
      </c>
      <c r="C6" s="82" t="s">
        <v>25</v>
      </c>
      <c r="D6" s="27"/>
      <c r="F6" s="35"/>
      <c r="H6" s="31"/>
      <c r="I6" s="13"/>
      <c r="J6" s="35"/>
      <c r="L6" s="35"/>
      <c r="M6" s="35"/>
      <c r="N6" s="35"/>
      <c r="O6" s="14"/>
      <c r="P6" s="27"/>
      <c r="T6" s="31"/>
      <c r="U6" s="13"/>
      <c r="Z6" s="31"/>
      <c r="AA6" s="13"/>
      <c r="AB6" s="31"/>
      <c r="AC6" s="15"/>
    </row>
    <row r="7" spans="1:29" x14ac:dyDescent="0.25">
      <c r="A7" s="311"/>
      <c r="B7" s="20">
        <v>46090</v>
      </c>
      <c r="C7" s="82" t="s">
        <v>46</v>
      </c>
      <c r="D7" s="27"/>
      <c r="F7" s="35"/>
      <c r="H7" s="31"/>
      <c r="I7" s="13"/>
      <c r="J7" s="35"/>
      <c r="L7" s="35"/>
      <c r="M7" s="35"/>
      <c r="N7" s="35"/>
      <c r="O7" s="14"/>
      <c r="P7" s="27"/>
      <c r="S7">
        <v>1200</v>
      </c>
      <c r="T7" s="31"/>
      <c r="U7" s="13"/>
      <c r="Z7" s="31"/>
      <c r="AA7" s="13"/>
      <c r="AB7" s="31"/>
      <c r="AC7" s="15"/>
    </row>
    <row r="8" spans="1:29" x14ac:dyDescent="0.25">
      <c r="A8" s="311"/>
      <c r="B8" s="20">
        <v>46090</v>
      </c>
      <c r="C8" s="82" t="s">
        <v>27</v>
      </c>
      <c r="D8" s="27"/>
      <c r="F8" s="35"/>
      <c r="H8" s="31"/>
      <c r="I8" s="13"/>
      <c r="J8" s="35">
        <v>3000</v>
      </c>
      <c r="L8" s="35"/>
      <c r="M8" s="35"/>
      <c r="N8" s="35"/>
      <c r="O8" s="14"/>
      <c r="P8" s="27"/>
      <c r="T8" s="31"/>
      <c r="U8" s="13"/>
      <c r="Z8" s="31"/>
      <c r="AA8" s="13"/>
      <c r="AB8" s="31"/>
      <c r="AC8" s="15"/>
    </row>
    <row r="9" spans="1:29" x14ac:dyDescent="0.25">
      <c r="A9" s="311"/>
      <c r="B9" s="20">
        <v>46090</v>
      </c>
      <c r="C9" s="82" t="s">
        <v>46</v>
      </c>
      <c r="D9" s="27"/>
      <c r="F9" s="35">
        <v>5000</v>
      </c>
      <c r="H9" s="31"/>
      <c r="I9" s="13"/>
      <c r="J9" s="35"/>
      <c r="L9" s="35"/>
      <c r="M9" s="35"/>
      <c r="N9" s="35"/>
      <c r="O9" s="14"/>
      <c r="P9" s="27"/>
      <c r="T9" s="31"/>
      <c r="U9" s="13"/>
      <c r="Z9" s="31"/>
      <c r="AA9" s="13"/>
      <c r="AB9" s="31"/>
      <c r="AC9" s="15"/>
    </row>
    <row r="10" spans="1:29" x14ac:dyDescent="0.25">
      <c r="A10" s="311"/>
      <c r="B10" s="146">
        <v>46091</v>
      </c>
      <c r="C10" s="147" t="s">
        <v>27</v>
      </c>
      <c r="D10" s="145">
        <v>4500</v>
      </c>
      <c r="F10" s="35"/>
      <c r="H10" s="31"/>
      <c r="I10" s="13"/>
      <c r="J10" s="35"/>
      <c r="L10" s="35"/>
      <c r="M10" s="35"/>
      <c r="N10" s="35"/>
      <c r="O10" s="14"/>
      <c r="P10" s="27"/>
      <c r="T10" s="31"/>
      <c r="U10" s="13"/>
      <c r="Z10" s="31"/>
      <c r="AA10" s="13"/>
      <c r="AB10" s="31"/>
      <c r="AC10" s="15"/>
    </row>
    <row r="11" spans="1:29" x14ac:dyDescent="0.25">
      <c r="A11" s="311"/>
      <c r="B11" s="20">
        <v>46092</v>
      </c>
      <c r="C11" s="82" t="s">
        <v>46</v>
      </c>
      <c r="D11" s="27"/>
      <c r="F11" s="35"/>
      <c r="H11" s="31"/>
      <c r="I11" s="13"/>
      <c r="J11" s="35"/>
      <c r="L11" s="35"/>
      <c r="M11" s="35"/>
      <c r="N11" s="35">
        <v>4500</v>
      </c>
      <c r="O11" s="14"/>
      <c r="P11" s="27"/>
      <c r="T11" s="31"/>
      <c r="U11" s="13"/>
      <c r="Z11" s="31"/>
      <c r="AA11" s="13"/>
      <c r="AB11" s="31"/>
      <c r="AC11" s="15"/>
    </row>
    <row r="12" spans="1:29" x14ac:dyDescent="0.25">
      <c r="A12" s="311"/>
      <c r="B12" s="20">
        <v>46093</v>
      </c>
      <c r="C12" s="82" t="s">
        <v>46</v>
      </c>
      <c r="D12" s="27"/>
      <c r="F12" s="35">
        <v>5000</v>
      </c>
      <c r="H12" s="31"/>
      <c r="I12" s="13"/>
      <c r="J12" s="35"/>
      <c r="L12" s="35"/>
      <c r="M12" s="35"/>
      <c r="N12" s="35"/>
      <c r="O12" s="14"/>
      <c r="P12" s="27"/>
      <c r="T12" s="31"/>
      <c r="U12" s="13"/>
      <c r="Z12" s="31"/>
      <c r="AA12" s="13"/>
      <c r="AB12" s="31"/>
      <c r="AC12" s="15"/>
    </row>
    <row r="13" spans="1:29" x14ac:dyDescent="0.25">
      <c r="A13" s="311"/>
      <c r="B13" s="20">
        <v>46094</v>
      </c>
      <c r="C13" s="82" t="s">
        <v>46</v>
      </c>
      <c r="D13" s="27"/>
      <c r="F13" s="35"/>
      <c r="H13" s="31"/>
      <c r="I13" s="13"/>
      <c r="J13" s="35"/>
      <c r="L13" s="35"/>
      <c r="M13" s="35"/>
      <c r="N13" s="35"/>
      <c r="O13" s="14"/>
      <c r="P13" s="27"/>
      <c r="T13" s="31"/>
      <c r="U13" s="13">
        <v>1000</v>
      </c>
      <c r="Z13" s="31"/>
      <c r="AA13" s="13"/>
      <c r="AB13" s="31"/>
      <c r="AC13" s="15"/>
    </row>
    <row r="14" spans="1:29" x14ac:dyDescent="0.25">
      <c r="A14" s="311"/>
      <c r="B14" s="20">
        <v>46094</v>
      </c>
      <c r="C14" s="82" t="s">
        <v>27</v>
      </c>
      <c r="D14" s="27"/>
      <c r="F14" s="35"/>
      <c r="H14" s="31"/>
      <c r="I14" s="13"/>
      <c r="J14" s="35"/>
      <c r="L14" s="35"/>
      <c r="M14" s="35"/>
      <c r="N14" s="35"/>
      <c r="O14" s="14"/>
      <c r="P14" s="27"/>
      <c r="S14">
        <v>1000</v>
      </c>
      <c r="T14" s="31"/>
      <c r="U14" s="13"/>
      <c r="Z14" s="31"/>
      <c r="AA14" s="13"/>
      <c r="AB14" s="31"/>
      <c r="AC14" s="15"/>
    </row>
    <row r="15" spans="1:29" x14ac:dyDescent="0.25">
      <c r="A15" s="311"/>
      <c r="B15" s="20" t="s">
        <v>266</v>
      </c>
      <c r="C15" s="82" t="s">
        <v>46</v>
      </c>
      <c r="D15" s="27">
        <v>4000</v>
      </c>
      <c r="F15" s="35"/>
      <c r="H15" s="31"/>
      <c r="I15" s="13"/>
      <c r="J15" s="35"/>
      <c r="L15" s="35"/>
      <c r="M15" s="35"/>
      <c r="N15" s="35"/>
      <c r="O15" s="14"/>
      <c r="P15" s="27"/>
      <c r="T15" s="31"/>
      <c r="U15" s="13"/>
      <c r="Z15" s="31"/>
      <c r="AA15" s="13"/>
      <c r="AB15" s="31"/>
      <c r="AC15" s="15"/>
    </row>
    <row r="16" spans="1:29" x14ac:dyDescent="0.25">
      <c r="A16" s="311"/>
      <c r="B16" s="20"/>
      <c r="C16" s="82"/>
      <c r="D16" s="27"/>
      <c r="F16" s="35"/>
      <c r="H16" s="31"/>
      <c r="I16" s="13"/>
      <c r="J16" s="35"/>
      <c r="L16" s="35"/>
      <c r="M16" s="35"/>
      <c r="N16" s="35"/>
      <c r="O16" s="14"/>
      <c r="P16" s="27"/>
      <c r="T16" s="31"/>
      <c r="U16" s="13"/>
      <c r="Z16" s="31"/>
      <c r="AA16" s="13"/>
      <c r="AB16" s="31"/>
      <c r="AC16" s="15"/>
    </row>
    <row r="17" spans="1:30" x14ac:dyDescent="0.25">
      <c r="A17" s="311"/>
      <c r="B17" s="20"/>
      <c r="C17" s="82"/>
      <c r="D17" s="27"/>
      <c r="F17" s="35"/>
      <c r="H17" s="31"/>
      <c r="I17" s="13"/>
      <c r="J17" s="35"/>
      <c r="L17" s="35"/>
      <c r="M17" s="35"/>
      <c r="N17" s="35"/>
      <c r="O17" s="14"/>
      <c r="P17" s="27"/>
      <c r="T17" s="31"/>
      <c r="U17" s="13"/>
      <c r="Z17" s="31"/>
      <c r="AA17" s="13"/>
      <c r="AB17" s="31"/>
      <c r="AC17" s="15"/>
    </row>
    <row r="18" spans="1:30" ht="15.75" thickBot="1" x14ac:dyDescent="0.3">
      <c r="A18" s="312"/>
      <c r="B18" s="72"/>
      <c r="C18" s="17"/>
      <c r="D18" s="28"/>
      <c r="E18" s="18"/>
      <c r="F18" s="36"/>
      <c r="G18" s="18"/>
      <c r="H18" s="32"/>
      <c r="I18" s="16"/>
      <c r="J18" s="36"/>
      <c r="K18" s="18"/>
      <c r="L18" s="36"/>
      <c r="M18" s="36"/>
      <c r="N18" s="36"/>
      <c r="O18" s="17"/>
      <c r="P18" s="28"/>
      <c r="Q18" s="18"/>
      <c r="R18" s="18"/>
      <c r="S18" s="18"/>
      <c r="T18" s="32"/>
      <c r="U18" s="16"/>
      <c r="V18" s="18"/>
      <c r="W18" s="18"/>
      <c r="X18" s="18"/>
      <c r="Y18" s="18"/>
      <c r="Z18" s="32"/>
      <c r="AA18" s="16"/>
      <c r="AB18" s="32"/>
      <c r="AC18" s="19"/>
    </row>
    <row r="19" spans="1:30" x14ac:dyDescent="0.25">
      <c r="A19" s="310" t="s">
        <v>62</v>
      </c>
      <c r="B19" s="20"/>
      <c r="C19" s="14"/>
      <c r="D19" s="27"/>
      <c r="F19" s="35"/>
      <c r="H19" s="31"/>
      <c r="I19" s="13"/>
      <c r="J19" s="35"/>
      <c r="L19" s="35"/>
      <c r="M19" s="35"/>
      <c r="N19" s="35"/>
      <c r="O19" s="14"/>
      <c r="P19" s="27"/>
      <c r="T19" s="31"/>
      <c r="U19" s="13"/>
      <c r="Z19" s="31"/>
      <c r="AA19" s="13"/>
      <c r="AB19" s="31"/>
      <c r="AC19" s="15"/>
    </row>
    <row r="20" spans="1:30" x14ac:dyDescent="0.25">
      <c r="A20" s="311"/>
      <c r="B20" s="20">
        <v>46089</v>
      </c>
      <c r="C20" s="14" t="s">
        <v>191</v>
      </c>
      <c r="D20" s="27"/>
      <c r="F20" s="35"/>
      <c r="H20" s="31"/>
      <c r="I20" s="13"/>
      <c r="J20" s="35"/>
      <c r="L20" s="35"/>
      <c r="M20" s="35"/>
      <c r="N20" s="35"/>
      <c r="O20" s="14"/>
      <c r="P20" s="27"/>
      <c r="T20" s="31"/>
      <c r="U20" s="13"/>
      <c r="Z20" s="31"/>
      <c r="AA20" s="13"/>
      <c r="AB20" s="31">
        <v>1000</v>
      </c>
      <c r="AC20" s="15"/>
    </row>
    <row r="21" spans="1:30" x14ac:dyDescent="0.25">
      <c r="A21" s="311"/>
      <c r="B21" s="20">
        <v>46090</v>
      </c>
      <c r="C21" s="14" t="s">
        <v>189</v>
      </c>
      <c r="D21" s="27"/>
      <c r="F21" s="35"/>
      <c r="H21" s="31"/>
      <c r="I21" s="13"/>
      <c r="J21" s="35"/>
      <c r="L21" s="35"/>
      <c r="M21" s="35"/>
      <c r="N21" s="35"/>
      <c r="O21" s="14"/>
      <c r="P21" s="27"/>
      <c r="T21" s="31"/>
      <c r="U21" s="13"/>
      <c r="Z21" s="31"/>
      <c r="AA21" s="13"/>
      <c r="AB21" s="31">
        <v>160</v>
      </c>
      <c r="AC21" s="15"/>
    </row>
    <row r="22" spans="1:30" x14ac:dyDescent="0.25">
      <c r="A22" s="311"/>
      <c r="B22" s="20">
        <v>46090</v>
      </c>
      <c r="C22" s="14" t="s">
        <v>190</v>
      </c>
      <c r="D22" s="27">
        <v>600</v>
      </c>
      <c r="F22" s="35"/>
      <c r="H22" s="31"/>
      <c r="I22" s="13"/>
      <c r="J22" s="35"/>
      <c r="L22" s="35"/>
      <c r="M22" s="35"/>
      <c r="N22" s="35"/>
      <c r="O22" s="14"/>
      <c r="P22" s="27"/>
      <c r="T22" s="31"/>
      <c r="U22" s="13"/>
      <c r="Z22" s="31"/>
      <c r="AA22" s="13"/>
      <c r="AB22" s="31"/>
      <c r="AC22" s="15"/>
    </row>
    <row r="23" spans="1:30" x14ac:dyDescent="0.25">
      <c r="A23" s="311"/>
      <c r="B23" s="20">
        <v>46090</v>
      </c>
      <c r="C23" s="14" t="s">
        <v>192</v>
      </c>
      <c r="D23" s="27"/>
      <c r="F23" s="35">
        <v>2000</v>
      </c>
      <c r="H23" s="31"/>
      <c r="I23" s="13"/>
      <c r="J23" s="35"/>
      <c r="L23" s="35"/>
      <c r="M23" s="35"/>
      <c r="N23" s="35"/>
      <c r="O23" s="14"/>
      <c r="P23" s="27"/>
      <c r="T23" s="31"/>
      <c r="U23" s="13"/>
      <c r="Z23" s="31"/>
      <c r="AA23" s="13"/>
      <c r="AB23" s="31"/>
      <c r="AC23" s="15"/>
    </row>
    <row r="24" spans="1:30" x14ac:dyDescent="0.25">
      <c r="A24" s="311"/>
      <c r="B24" s="20">
        <v>46090</v>
      </c>
      <c r="C24" s="14" t="s">
        <v>190</v>
      </c>
      <c r="D24" s="27"/>
      <c r="F24" s="35"/>
      <c r="H24" s="31"/>
      <c r="I24" s="13"/>
      <c r="J24" s="35"/>
      <c r="L24" s="35">
        <v>14</v>
      </c>
      <c r="M24" s="35"/>
      <c r="N24" s="35"/>
      <c r="O24" s="14"/>
      <c r="P24" s="27"/>
      <c r="T24" s="31"/>
      <c r="U24" s="13"/>
      <c r="Z24" s="31"/>
      <c r="AA24" s="13"/>
      <c r="AB24" s="31"/>
      <c r="AC24" s="15"/>
    </row>
    <row r="25" spans="1:30" x14ac:dyDescent="0.25">
      <c r="A25" s="311"/>
      <c r="B25" s="20">
        <v>46091</v>
      </c>
      <c r="C25" s="105" t="s">
        <v>190</v>
      </c>
      <c r="D25" s="83"/>
      <c r="E25" s="52"/>
      <c r="F25" s="52"/>
      <c r="G25" s="52"/>
      <c r="H25" s="105"/>
      <c r="I25" s="83"/>
      <c r="J25" s="52"/>
      <c r="K25" s="52"/>
      <c r="L25" s="52"/>
      <c r="M25" s="52"/>
      <c r="N25" s="52"/>
      <c r="O25" s="105"/>
      <c r="P25" s="83"/>
      <c r="Q25" s="52"/>
      <c r="R25" s="52"/>
      <c r="S25" s="52"/>
      <c r="T25" s="105"/>
      <c r="U25" s="83"/>
      <c r="V25" s="52"/>
      <c r="W25" s="52"/>
      <c r="X25" s="52"/>
      <c r="Y25" s="52"/>
      <c r="Z25" s="105"/>
      <c r="AA25" s="83"/>
      <c r="AB25" s="105">
        <v>18</v>
      </c>
      <c r="AC25" s="115"/>
      <c r="AD25">
        <f ca="1">AD25</f>
        <v>0</v>
      </c>
    </row>
    <row r="26" spans="1:30" x14ac:dyDescent="0.25">
      <c r="A26" s="311"/>
      <c r="B26" s="20">
        <v>46091</v>
      </c>
      <c r="C26" s="14" t="s">
        <v>195</v>
      </c>
      <c r="D26" s="27"/>
      <c r="F26" s="35"/>
      <c r="H26" s="31"/>
      <c r="I26" s="13"/>
      <c r="J26" s="35"/>
      <c r="L26" s="35">
        <v>5070</v>
      </c>
      <c r="M26" s="35"/>
      <c r="N26" s="35"/>
      <c r="O26" s="14"/>
      <c r="P26" s="27"/>
      <c r="T26" s="31"/>
      <c r="U26" s="13"/>
      <c r="Z26" s="31"/>
      <c r="AA26" s="13"/>
      <c r="AB26" s="31"/>
      <c r="AC26" s="15"/>
    </row>
    <row r="27" spans="1:30" x14ac:dyDescent="0.25">
      <c r="A27" s="311"/>
      <c r="B27" s="20">
        <v>46091</v>
      </c>
      <c r="C27" s="14" t="s">
        <v>194</v>
      </c>
      <c r="D27" s="27">
        <v>150</v>
      </c>
      <c r="F27" s="35"/>
      <c r="H27" s="31"/>
      <c r="I27" s="13"/>
      <c r="J27" s="35"/>
      <c r="L27" s="35"/>
      <c r="M27" s="35"/>
      <c r="N27" s="35"/>
      <c r="O27" s="14"/>
      <c r="P27" s="27"/>
      <c r="T27" s="31"/>
      <c r="U27" s="13"/>
      <c r="Z27" s="31"/>
      <c r="AA27" s="13"/>
      <c r="AB27" s="31"/>
      <c r="AC27" s="15"/>
    </row>
    <row r="28" spans="1:30" x14ac:dyDescent="0.25">
      <c r="A28" s="311"/>
      <c r="B28" s="20">
        <v>46091</v>
      </c>
      <c r="C28" s="14" t="s">
        <v>196</v>
      </c>
      <c r="D28" s="27"/>
      <c r="F28" s="35"/>
      <c r="H28" s="31"/>
      <c r="I28" s="13"/>
      <c r="J28" s="35"/>
      <c r="L28" s="116">
        <v>6000</v>
      </c>
      <c r="M28" s="35"/>
      <c r="N28" s="35"/>
      <c r="O28" s="14"/>
      <c r="P28" s="27"/>
      <c r="T28" s="31"/>
      <c r="U28" s="13"/>
      <c r="Z28" s="31"/>
      <c r="AA28" s="13"/>
      <c r="AB28" s="31"/>
      <c r="AC28" s="15"/>
      <c r="AD28" t="s">
        <v>193</v>
      </c>
    </row>
    <row r="29" spans="1:30" x14ac:dyDescent="0.25">
      <c r="A29" s="311"/>
      <c r="B29" s="20">
        <v>46091</v>
      </c>
      <c r="C29" s="14" t="s">
        <v>197</v>
      </c>
      <c r="D29" s="27"/>
      <c r="F29" s="35"/>
      <c r="H29" s="31"/>
      <c r="I29" s="13"/>
      <c r="J29" s="35"/>
      <c r="L29" s="134">
        <v>3000</v>
      </c>
      <c r="M29" s="35"/>
      <c r="N29" s="35"/>
      <c r="O29" s="14"/>
      <c r="P29" s="27"/>
      <c r="T29" s="31"/>
      <c r="U29" s="13"/>
      <c r="Z29" s="31"/>
      <c r="AA29" s="13"/>
      <c r="AB29" s="31"/>
      <c r="AC29" s="15"/>
    </row>
    <row r="30" spans="1:30" x14ac:dyDescent="0.25">
      <c r="A30" s="311"/>
      <c r="B30" s="20">
        <v>46091</v>
      </c>
      <c r="C30" s="14" t="s">
        <v>198</v>
      </c>
      <c r="D30" s="27"/>
      <c r="F30" s="35">
        <v>1500</v>
      </c>
      <c r="H30" s="31"/>
      <c r="I30" s="13"/>
      <c r="J30" s="35"/>
      <c r="L30" s="35"/>
      <c r="M30" s="35"/>
      <c r="N30" s="35"/>
      <c r="O30" s="14"/>
      <c r="P30" s="27"/>
      <c r="T30" s="31"/>
      <c r="U30" s="13"/>
      <c r="Z30" s="31"/>
      <c r="AA30" s="13"/>
      <c r="AB30" s="31"/>
      <c r="AC30" s="15"/>
    </row>
    <row r="31" spans="1:30" x14ac:dyDescent="0.25">
      <c r="A31" s="311"/>
      <c r="B31" s="20">
        <v>46091</v>
      </c>
      <c r="C31" s="14" t="s">
        <v>199</v>
      </c>
      <c r="D31" s="27"/>
      <c r="F31" s="35"/>
      <c r="H31" s="31"/>
      <c r="I31" s="13"/>
      <c r="J31" s="35"/>
      <c r="L31" s="35"/>
      <c r="M31" s="35"/>
      <c r="N31" s="35"/>
      <c r="O31" s="14"/>
      <c r="P31" s="27"/>
      <c r="T31" s="31"/>
      <c r="U31" s="13"/>
      <c r="X31">
        <v>600</v>
      </c>
      <c r="Z31" s="31"/>
      <c r="AA31" s="13"/>
      <c r="AB31" s="31"/>
      <c r="AC31" s="15"/>
    </row>
    <row r="32" spans="1:30" x14ac:dyDescent="0.25">
      <c r="A32" s="311"/>
      <c r="B32" s="20">
        <v>46091</v>
      </c>
      <c r="C32" s="14" t="s">
        <v>29</v>
      </c>
      <c r="D32" s="27"/>
      <c r="F32" s="35"/>
      <c r="H32" s="31"/>
      <c r="I32" s="13"/>
      <c r="J32" s="35"/>
      <c r="L32" s="35"/>
      <c r="M32" s="35"/>
      <c r="N32" s="35"/>
      <c r="O32" s="14"/>
      <c r="P32" s="27"/>
      <c r="T32" s="31"/>
      <c r="U32" s="13"/>
      <c r="W32">
        <v>100</v>
      </c>
      <c r="Z32" s="31"/>
      <c r="AA32" s="13"/>
      <c r="AB32" s="31"/>
      <c r="AC32" s="15"/>
    </row>
    <row r="33" spans="1:29" x14ac:dyDescent="0.25">
      <c r="A33" s="311"/>
      <c r="B33" s="20"/>
      <c r="C33" s="14" t="s">
        <v>201</v>
      </c>
      <c r="D33" s="27">
        <v>493</v>
      </c>
      <c r="F33" s="35"/>
      <c r="H33" s="31"/>
      <c r="I33" s="13"/>
      <c r="J33" s="35"/>
      <c r="L33" s="35"/>
      <c r="M33" s="35"/>
      <c r="N33" s="35"/>
      <c r="O33" s="14"/>
      <c r="P33" s="27"/>
      <c r="T33" s="31"/>
      <c r="U33" s="13"/>
      <c r="Z33" s="31"/>
      <c r="AA33" s="13"/>
      <c r="AB33" s="31"/>
      <c r="AC33" s="15"/>
    </row>
    <row r="34" spans="1:29" x14ac:dyDescent="0.25">
      <c r="A34" s="311"/>
      <c r="B34" s="20"/>
      <c r="C34" s="14"/>
      <c r="D34" s="27"/>
      <c r="F34" s="35"/>
      <c r="H34" s="31"/>
      <c r="I34" s="13"/>
      <c r="J34" s="35"/>
      <c r="L34" s="35"/>
      <c r="M34" s="35"/>
      <c r="N34" s="35"/>
      <c r="O34" s="14"/>
      <c r="P34" s="27"/>
      <c r="T34" s="31"/>
      <c r="U34" s="13"/>
      <c r="Z34" s="31"/>
      <c r="AA34" s="13"/>
      <c r="AB34" s="31"/>
      <c r="AC34" s="15"/>
    </row>
    <row r="35" spans="1:29" x14ac:dyDescent="0.25">
      <c r="A35" s="311"/>
      <c r="B35" s="20"/>
      <c r="C35" s="14"/>
      <c r="D35" s="27"/>
      <c r="F35" s="35"/>
      <c r="H35" s="31"/>
      <c r="I35" s="13"/>
      <c r="J35" s="35"/>
      <c r="L35" s="35"/>
      <c r="M35" s="35"/>
      <c r="N35" s="35"/>
      <c r="O35" s="14"/>
      <c r="P35" s="27"/>
      <c r="T35" s="31"/>
      <c r="U35" s="13"/>
      <c r="Z35" s="31"/>
      <c r="AA35" s="13"/>
      <c r="AB35" s="31"/>
      <c r="AC35" s="15"/>
    </row>
    <row r="36" spans="1:29" x14ac:dyDescent="0.25">
      <c r="A36" s="311"/>
      <c r="B36" s="20"/>
      <c r="C36" s="14" t="s">
        <v>50</v>
      </c>
      <c r="D36" s="27"/>
      <c r="F36" s="35"/>
      <c r="H36" s="31">
        <v>3000</v>
      </c>
      <c r="I36" s="13"/>
      <c r="J36" s="35"/>
      <c r="L36" s="35"/>
      <c r="M36" s="35"/>
      <c r="N36" s="35"/>
      <c r="O36" s="14"/>
      <c r="P36" s="27"/>
      <c r="T36" s="31"/>
      <c r="U36" s="13"/>
      <c r="Z36" s="31"/>
      <c r="AA36" s="13"/>
      <c r="AB36" s="31"/>
      <c r="AC36" s="15"/>
    </row>
    <row r="37" spans="1:29" x14ac:dyDescent="0.25">
      <c r="A37" s="311"/>
      <c r="B37" s="20"/>
      <c r="C37" s="14" t="s">
        <v>202</v>
      </c>
      <c r="D37" s="27"/>
      <c r="F37" s="35"/>
      <c r="H37" s="31"/>
      <c r="I37" s="13"/>
      <c r="J37" s="35"/>
      <c r="L37" s="35"/>
      <c r="M37" s="35"/>
      <c r="N37" s="35"/>
      <c r="O37" s="14"/>
      <c r="P37" s="27"/>
      <c r="T37" s="31"/>
      <c r="U37" s="13"/>
      <c r="Z37" s="31"/>
      <c r="AA37" s="13"/>
      <c r="AB37" s="31">
        <v>1822</v>
      </c>
      <c r="AC37" s="15"/>
    </row>
    <row r="38" spans="1:29" x14ac:dyDescent="0.25">
      <c r="A38" s="311"/>
      <c r="B38" s="20"/>
      <c r="C38" s="14"/>
      <c r="D38" s="27"/>
      <c r="F38" s="35"/>
      <c r="H38" s="31"/>
      <c r="I38" s="13"/>
      <c r="J38" s="35"/>
      <c r="L38" s="35"/>
      <c r="M38" s="35"/>
      <c r="N38" s="35"/>
      <c r="O38" s="14"/>
      <c r="P38" s="27"/>
      <c r="T38" s="31"/>
      <c r="U38" s="13"/>
      <c r="Z38" s="31"/>
      <c r="AA38" s="13"/>
      <c r="AB38" s="31"/>
      <c r="AC38" s="15"/>
    </row>
    <row r="39" spans="1:29" x14ac:dyDescent="0.25">
      <c r="A39" s="311"/>
      <c r="B39" s="20">
        <v>46092</v>
      </c>
      <c r="C39" s="14" t="s">
        <v>203</v>
      </c>
      <c r="D39" s="27">
        <v>1000</v>
      </c>
      <c r="F39" s="35"/>
      <c r="H39" s="31"/>
      <c r="I39" s="13"/>
      <c r="J39" s="35"/>
      <c r="L39" s="35"/>
      <c r="M39" s="35"/>
      <c r="N39" s="35"/>
      <c r="O39" s="14"/>
      <c r="P39" s="27"/>
      <c r="T39" s="31"/>
      <c r="U39" s="13"/>
      <c r="Z39" s="31"/>
      <c r="AA39" s="13"/>
      <c r="AB39" s="31"/>
      <c r="AC39" s="15"/>
    </row>
    <row r="40" spans="1:29" x14ac:dyDescent="0.25">
      <c r="A40" s="311"/>
      <c r="B40" s="20">
        <v>46092</v>
      </c>
      <c r="C40" s="14" t="s">
        <v>204</v>
      </c>
      <c r="D40" s="27">
        <v>7</v>
      </c>
      <c r="F40" s="35"/>
      <c r="H40" s="31"/>
      <c r="I40" s="13"/>
      <c r="J40" s="35"/>
      <c r="L40" s="35"/>
      <c r="M40" s="35"/>
      <c r="N40" s="35"/>
      <c r="O40" s="14"/>
      <c r="P40" s="27"/>
      <c r="T40" s="31"/>
      <c r="U40" s="13"/>
      <c r="Z40" s="31"/>
      <c r="AA40" s="13"/>
      <c r="AB40" s="31"/>
      <c r="AC40" s="15"/>
    </row>
    <row r="41" spans="1:29" x14ac:dyDescent="0.25">
      <c r="A41" s="311"/>
      <c r="B41" s="20">
        <v>46092</v>
      </c>
      <c r="C41" s="14" t="s">
        <v>229</v>
      </c>
      <c r="D41" s="27"/>
      <c r="F41" s="35">
        <v>700</v>
      </c>
      <c r="H41" s="31"/>
      <c r="I41" s="13"/>
      <c r="J41" s="35"/>
      <c r="L41" s="35"/>
      <c r="M41" s="35"/>
      <c r="N41" s="35"/>
      <c r="O41" s="14"/>
      <c r="P41" s="27"/>
      <c r="T41" s="31"/>
      <c r="U41" s="13"/>
      <c r="Z41" s="31"/>
      <c r="AA41" s="13"/>
      <c r="AB41" s="31"/>
      <c r="AC41" s="15"/>
    </row>
    <row r="42" spans="1:29" x14ac:dyDescent="0.25">
      <c r="A42" s="311"/>
      <c r="B42" s="20">
        <v>46092</v>
      </c>
      <c r="C42" t="s">
        <v>230</v>
      </c>
      <c r="D42" s="27"/>
      <c r="F42" s="35"/>
      <c r="H42" s="31"/>
      <c r="I42" s="13"/>
      <c r="J42" s="35"/>
      <c r="L42" s="35"/>
      <c r="M42" s="35">
        <v>500</v>
      </c>
      <c r="N42" s="35"/>
      <c r="O42" s="14"/>
      <c r="P42" s="27"/>
      <c r="T42" s="31"/>
      <c r="U42" s="13"/>
      <c r="Z42" s="31"/>
      <c r="AA42" s="13"/>
      <c r="AB42" s="31"/>
      <c r="AC42" s="15"/>
    </row>
    <row r="43" spans="1:29" x14ac:dyDescent="0.25">
      <c r="A43" s="311"/>
      <c r="B43" s="20">
        <v>46092</v>
      </c>
      <c r="C43" s="14" t="s">
        <v>231</v>
      </c>
      <c r="D43" s="27"/>
      <c r="F43" s="35"/>
      <c r="H43" s="31"/>
      <c r="I43" s="13"/>
      <c r="J43" s="35"/>
      <c r="L43" s="35">
        <v>700</v>
      </c>
      <c r="M43" s="35"/>
      <c r="N43" s="35"/>
      <c r="O43" s="14"/>
      <c r="P43" s="27"/>
      <c r="T43" s="31"/>
      <c r="U43" s="13"/>
      <c r="Z43" s="31"/>
      <c r="AA43" s="13"/>
      <c r="AB43" s="31"/>
      <c r="AC43" s="15"/>
    </row>
    <row r="44" spans="1:29" x14ac:dyDescent="0.25">
      <c r="A44" s="311"/>
      <c r="B44" s="20">
        <v>46092</v>
      </c>
      <c r="C44" s="14" t="s">
        <v>232</v>
      </c>
      <c r="D44" s="27"/>
      <c r="F44" s="35"/>
      <c r="H44" s="31"/>
      <c r="I44" s="13"/>
      <c r="J44" s="35">
        <v>500</v>
      </c>
      <c r="L44" s="35"/>
      <c r="M44" s="35"/>
      <c r="N44" s="35"/>
      <c r="O44" s="14"/>
      <c r="P44" s="27"/>
      <c r="T44" s="31"/>
      <c r="U44" s="13"/>
      <c r="Z44" s="31"/>
      <c r="AA44" s="13"/>
      <c r="AB44" s="31"/>
      <c r="AC44" s="15"/>
    </row>
    <row r="45" spans="1:29" x14ac:dyDescent="0.25">
      <c r="A45" s="311"/>
      <c r="B45" s="20">
        <v>46092</v>
      </c>
      <c r="C45" s="14" t="s">
        <v>233</v>
      </c>
      <c r="D45" s="27"/>
      <c r="F45" s="35"/>
      <c r="H45" s="31"/>
      <c r="I45" s="13"/>
      <c r="J45" s="35"/>
      <c r="L45" s="35"/>
      <c r="M45" s="35"/>
      <c r="N45" s="35">
        <v>2000</v>
      </c>
      <c r="O45" s="14"/>
      <c r="P45" s="27"/>
      <c r="T45" s="31"/>
      <c r="U45" s="13"/>
      <c r="Z45" s="31"/>
      <c r="AA45" s="13"/>
      <c r="AB45" s="31"/>
      <c r="AC45" s="15"/>
    </row>
    <row r="46" spans="1:29" x14ac:dyDescent="0.25">
      <c r="A46" s="311"/>
      <c r="B46" s="20">
        <v>46092</v>
      </c>
      <c r="C46" s="14" t="s">
        <v>234</v>
      </c>
      <c r="D46" s="27"/>
      <c r="F46" s="35"/>
      <c r="H46" s="31"/>
      <c r="I46" s="13"/>
      <c r="J46" s="35"/>
      <c r="L46" s="35"/>
      <c r="M46" s="35"/>
      <c r="N46" s="35"/>
      <c r="O46" s="14"/>
      <c r="P46" s="27"/>
      <c r="T46" s="31"/>
      <c r="U46" s="13">
        <v>330</v>
      </c>
      <c r="Z46" s="31"/>
      <c r="AA46" s="13"/>
      <c r="AB46" s="31"/>
      <c r="AC46" s="15"/>
    </row>
    <row r="47" spans="1:29" x14ac:dyDescent="0.25">
      <c r="A47" s="311"/>
      <c r="B47" s="20">
        <v>46092</v>
      </c>
      <c r="C47" s="14" t="s">
        <v>200</v>
      </c>
      <c r="D47" s="27"/>
      <c r="F47" s="35"/>
      <c r="H47" s="31"/>
      <c r="I47" s="13"/>
      <c r="J47" s="35"/>
      <c r="L47" s="35">
        <v>2000</v>
      </c>
      <c r="M47" s="35"/>
      <c r="N47" s="35"/>
      <c r="O47" s="14"/>
      <c r="P47" s="27"/>
      <c r="T47" s="31"/>
      <c r="U47" s="13"/>
      <c r="Z47" s="31"/>
      <c r="AA47" s="13"/>
      <c r="AB47" s="31"/>
      <c r="AC47" s="15"/>
    </row>
    <row r="48" spans="1:29" x14ac:dyDescent="0.25">
      <c r="A48" s="311"/>
      <c r="B48" s="20">
        <v>46092</v>
      </c>
      <c r="C48" s="14" t="s">
        <v>237</v>
      </c>
      <c r="D48" s="27">
        <v>420</v>
      </c>
      <c r="F48" s="35"/>
      <c r="H48" s="31"/>
      <c r="I48" s="13"/>
      <c r="J48" s="35"/>
      <c r="L48" s="35"/>
      <c r="M48" s="35"/>
      <c r="N48" s="35"/>
      <c r="O48" s="14"/>
      <c r="P48" s="27"/>
      <c r="T48" s="31"/>
      <c r="U48" s="13"/>
      <c r="Z48" s="31"/>
      <c r="AA48" s="13"/>
      <c r="AB48" s="31"/>
      <c r="AC48" s="15"/>
    </row>
    <row r="49" spans="1:30" x14ac:dyDescent="0.25">
      <c r="A49" s="311"/>
      <c r="B49" s="20">
        <v>46093</v>
      </c>
      <c r="C49" s="14" t="s">
        <v>244</v>
      </c>
      <c r="D49" s="27"/>
      <c r="F49" s="35"/>
      <c r="H49" s="31"/>
      <c r="I49" s="13"/>
      <c r="J49" s="35"/>
      <c r="L49" s="35"/>
      <c r="M49" s="35">
        <v>1000</v>
      </c>
      <c r="N49" s="35"/>
      <c r="O49" s="14"/>
      <c r="P49" s="27"/>
      <c r="T49" s="31"/>
      <c r="U49" s="13"/>
      <c r="Z49" s="31"/>
      <c r="AA49" s="13"/>
      <c r="AB49" s="31"/>
      <c r="AC49" s="15"/>
    </row>
    <row r="50" spans="1:30" x14ac:dyDescent="0.25">
      <c r="A50" s="311"/>
      <c r="B50" s="20">
        <v>46093</v>
      </c>
      <c r="C50" s="14" t="s">
        <v>245</v>
      </c>
      <c r="D50" s="27"/>
      <c r="F50" s="35"/>
      <c r="H50" s="31"/>
      <c r="I50" s="13"/>
      <c r="J50" s="35"/>
      <c r="L50" s="35">
        <v>400</v>
      </c>
      <c r="M50" s="35"/>
      <c r="N50" s="35"/>
      <c r="O50" s="14"/>
      <c r="P50" s="27"/>
      <c r="T50" s="31"/>
      <c r="U50" s="13"/>
      <c r="Z50" s="31"/>
      <c r="AA50" s="13"/>
      <c r="AB50" s="31"/>
      <c r="AC50" s="15"/>
    </row>
    <row r="51" spans="1:30" x14ac:dyDescent="0.25">
      <c r="A51" s="311"/>
      <c r="B51" s="20">
        <v>46093</v>
      </c>
      <c r="C51" s="14" t="s">
        <v>246</v>
      </c>
      <c r="D51" s="27"/>
      <c r="F51" s="35"/>
      <c r="H51" s="31"/>
      <c r="I51" s="13"/>
      <c r="J51" s="35"/>
      <c r="L51" s="35"/>
      <c r="M51" s="35"/>
      <c r="N51" s="35"/>
      <c r="O51" s="14"/>
      <c r="P51" s="27"/>
      <c r="T51" s="31"/>
      <c r="U51" s="13"/>
      <c r="X51">
        <v>350</v>
      </c>
      <c r="Z51" s="31"/>
      <c r="AA51" s="13"/>
      <c r="AB51" s="31"/>
      <c r="AC51" s="15"/>
    </row>
    <row r="52" spans="1:30" x14ac:dyDescent="0.25">
      <c r="A52" s="311"/>
      <c r="B52" s="20">
        <v>46093</v>
      </c>
      <c r="C52" s="14" t="s">
        <v>249</v>
      </c>
      <c r="D52" s="27">
        <v>1500</v>
      </c>
      <c r="F52" s="35"/>
      <c r="H52" s="31"/>
      <c r="I52" s="13"/>
      <c r="J52" s="35"/>
      <c r="L52" s="35"/>
      <c r="M52" s="35"/>
      <c r="N52" s="35"/>
      <c r="O52" s="14"/>
      <c r="P52" s="27"/>
      <c r="T52" s="31"/>
      <c r="U52" s="13"/>
      <c r="Z52" s="31"/>
      <c r="AA52" s="13"/>
      <c r="AB52" s="31"/>
      <c r="AC52" s="15"/>
    </row>
    <row r="53" spans="1:30" s="112" customFormat="1" x14ac:dyDescent="0.25">
      <c r="A53" s="311"/>
      <c r="B53" s="20">
        <v>46093</v>
      </c>
      <c r="C53" s="14" t="s">
        <v>252</v>
      </c>
      <c r="D53" s="111"/>
      <c r="G53"/>
      <c r="H53" s="31"/>
      <c r="I53" s="13"/>
      <c r="J53" s="35"/>
      <c r="K53"/>
      <c r="L53" s="35"/>
      <c r="M53" s="35"/>
      <c r="N53" s="35"/>
      <c r="O53" s="14"/>
      <c r="P53" s="27"/>
      <c r="Q53"/>
      <c r="R53"/>
      <c r="S53"/>
      <c r="T53" s="31"/>
      <c r="U53" s="13">
        <v>580</v>
      </c>
      <c r="V53"/>
      <c r="W53"/>
      <c r="X53"/>
      <c r="Y53"/>
      <c r="Z53" s="31"/>
      <c r="AA53" s="13"/>
      <c r="AB53" s="31"/>
      <c r="AC53" s="15"/>
      <c r="AD53" s="112" t="s">
        <v>251</v>
      </c>
    </row>
    <row r="54" spans="1:30" x14ac:dyDescent="0.25">
      <c r="A54" s="311"/>
      <c r="B54" s="20">
        <v>46094</v>
      </c>
      <c r="C54" s="14" t="s">
        <v>253</v>
      </c>
      <c r="D54" s="27"/>
      <c r="F54" s="35"/>
      <c r="H54" s="31">
        <v>400</v>
      </c>
      <c r="I54" s="13"/>
      <c r="J54" s="35"/>
      <c r="L54" s="35"/>
      <c r="M54" s="35"/>
      <c r="N54" s="35"/>
      <c r="O54" s="14"/>
      <c r="P54" s="27"/>
      <c r="T54" s="31"/>
      <c r="U54" s="13"/>
      <c r="Z54" s="31"/>
      <c r="AA54" s="13"/>
      <c r="AB54" s="31"/>
      <c r="AC54" s="15"/>
    </row>
    <row r="55" spans="1:30" x14ac:dyDescent="0.25">
      <c r="A55" s="311"/>
      <c r="B55" s="20">
        <v>46094</v>
      </c>
      <c r="C55" s="14" t="s">
        <v>259</v>
      </c>
      <c r="D55" s="27"/>
      <c r="F55" s="35"/>
      <c r="H55" s="31"/>
      <c r="I55" s="13"/>
      <c r="J55" s="35"/>
      <c r="L55" s="35">
        <v>1000</v>
      </c>
      <c r="M55" s="35"/>
      <c r="N55" s="35"/>
      <c r="O55" s="14"/>
      <c r="P55" s="27"/>
      <c r="T55" s="31"/>
      <c r="U55" s="13"/>
      <c r="Z55" s="31"/>
      <c r="AA55" s="13"/>
      <c r="AB55" s="31"/>
      <c r="AC55" s="15"/>
    </row>
    <row r="56" spans="1:30" x14ac:dyDescent="0.25">
      <c r="A56" s="311"/>
      <c r="B56" s="20">
        <v>46094</v>
      </c>
      <c r="C56" s="14" t="s">
        <v>260</v>
      </c>
      <c r="D56" s="27">
        <v>1050</v>
      </c>
      <c r="F56" s="35"/>
      <c r="H56" s="31"/>
      <c r="I56" s="13"/>
      <c r="J56" s="35"/>
      <c r="L56" s="35"/>
      <c r="M56" s="35"/>
      <c r="N56" s="35"/>
      <c r="O56" s="14"/>
      <c r="P56" s="27"/>
      <c r="T56" s="31"/>
      <c r="U56" s="13"/>
      <c r="Z56" s="31"/>
      <c r="AA56" s="13"/>
      <c r="AB56" s="31"/>
      <c r="AC56" s="15"/>
    </row>
    <row r="57" spans="1:30" x14ac:dyDescent="0.25">
      <c r="A57" s="311"/>
      <c r="B57" s="20">
        <v>46094</v>
      </c>
      <c r="C57" s="14" t="s">
        <v>262</v>
      </c>
      <c r="D57" s="27"/>
      <c r="F57" s="35"/>
      <c r="H57" s="31"/>
      <c r="I57" s="13"/>
      <c r="J57" s="35"/>
      <c r="L57" s="35"/>
      <c r="M57" s="35"/>
      <c r="N57" s="35"/>
      <c r="O57" s="14"/>
      <c r="P57" s="27"/>
      <c r="S57">
        <v>1400</v>
      </c>
      <c r="T57" s="31"/>
      <c r="U57" s="13"/>
      <c r="Z57" s="31"/>
      <c r="AA57" s="13"/>
      <c r="AB57" s="31"/>
      <c r="AC57" s="15"/>
      <c r="AD57" s="57" t="s">
        <v>261</v>
      </c>
    </row>
    <row r="58" spans="1:30" x14ac:dyDescent="0.25">
      <c r="A58" s="311"/>
      <c r="B58" s="20">
        <v>46095</v>
      </c>
      <c r="C58" s="105" t="s">
        <v>263</v>
      </c>
      <c r="D58" s="27"/>
      <c r="F58" s="35"/>
      <c r="H58" s="31"/>
      <c r="I58" s="13"/>
      <c r="J58" s="35"/>
      <c r="L58" s="35"/>
      <c r="M58" s="35"/>
      <c r="N58" s="35"/>
      <c r="O58" s="14"/>
      <c r="P58" s="27"/>
      <c r="T58" s="31"/>
      <c r="U58" s="13">
        <v>600</v>
      </c>
      <c r="Z58" s="31"/>
      <c r="AA58" s="13"/>
      <c r="AB58" s="31"/>
      <c r="AC58" s="15"/>
    </row>
    <row r="59" spans="1:30" x14ac:dyDescent="0.25">
      <c r="A59" s="311"/>
      <c r="B59" s="20">
        <v>46095</v>
      </c>
      <c r="C59" s="14" t="s">
        <v>264</v>
      </c>
      <c r="D59" s="27"/>
      <c r="F59" s="35"/>
      <c r="H59" s="31"/>
      <c r="I59" s="13"/>
      <c r="J59" s="35"/>
      <c r="L59" s="35"/>
      <c r="M59" s="35"/>
      <c r="N59" s="35">
        <v>2500</v>
      </c>
      <c r="O59" s="14"/>
      <c r="P59" s="27"/>
      <c r="T59" s="31"/>
      <c r="U59" s="13"/>
      <c r="Z59" s="31"/>
      <c r="AA59" s="13"/>
      <c r="AB59" s="31"/>
      <c r="AC59" s="15"/>
    </row>
    <row r="60" spans="1:30" x14ac:dyDescent="0.25">
      <c r="A60" s="311"/>
      <c r="B60" s="20">
        <v>46095</v>
      </c>
      <c r="C60" s="14" t="s">
        <v>265</v>
      </c>
      <c r="D60" s="27">
        <v>1000</v>
      </c>
      <c r="F60" s="35"/>
      <c r="H60" s="31"/>
      <c r="I60" s="13"/>
      <c r="J60" s="35"/>
      <c r="L60" s="35">
        <v>1000</v>
      </c>
      <c r="M60" s="35"/>
      <c r="N60" s="35"/>
      <c r="O60" s="14"/>
      <c r="P60" s="27"/>
      <c r="T60" s="31"/>
      <c r="U60" s="13"/>
      <c r="Z60" s="31"/>
      <c r="AA60" s="13"/>
      <c r="AB60" s="31"/>
      <c r="AC60" s="15"/>
    </row>
    <row r="61" spans="1:30" x14ac:dyDescent="0.25">
      <c r="A61" s="311"/>
      <c r="B61" s="20">
        <v>46095</v>
      </c>
      <c r="C61" s="14" t="s">
        <v>249</v>
      </c>
      <c r="D61" s="27">
        <v>2000</v>
      </c>
      <c r="F61" s="35"/>
      <c r="H61" s="31"/>
      <c r="I61" s="13"/>
      <c r="J61" s="35"/>
      <c r="L61" s="35"/>
      <c r="M61" s="35"/>
      <c r="N61" s="35"/>
      <c r="O61" s="14"/>
      <c r="P61" s="27"/>
      <c r="T61" s="31"/>
      <c r="U61" s="13"/>
      <c r="Z61" s="31"/>
      <c r="AA61" s="13"/>
      <c r="AB61" s="31"/>
      <c r="AC61" s="15"/>
    </row>
    <row r="62" spans="1:30" x14ac:dyDescent="0.25">
      <c r="A62" s="311"/>
      <c r="B62" s="20">
        <v>46095</v>
      </c>
      <c r="C62" s="14" t="s">
        <v>267</v>
      </c>
      <c r="D62" s="27">
        <v>28</v>
      </c>
      <c r="F62" s="35"/>
      <c r="H62" s="31"/>
      <c r="I62" s="13"/>
      <c r="J62" s="35"/>
      <c r="L62" s="35"/>
      <c r="M62" s="35"/>
      <c r="N62" s="35"/>
      <c r="O62" s="14"/>
      <c r="P62" s="27"/>
      <c r="T62" s="31"/>
      <c r="U62" s="13"/>
      <c r="Z62" s="31"/>
      <c r="AA62" s="13"/>
      <c r="AB62" s="31"/>
      <c r="AC62" s="15"/>
    </row>
    <row r="63" spans="1:30" x14ac:dyDescent="0.25">
      <c r="A63" s="311"/>
      <c r="B63" s="20">
        <v>46095</v>
      </c>
      <c r="C63" s="14" t="s">
        <v>268</v>
      </c>
      <c r="D63" s="27"/>
      <c r="F63" s="35"/>
      <c r="H63" s="31"/>
      <c r="I63" s="13"/>
      <c r="J63" s="35">
        <v>200</v>
      </c>
      <c r="L63" s="35"/>
      <c r="M63" s="35"/>
      <c r="N63" s="35"/>
      <c r="O63" s="14"/>
      <c r="P63" s="27"/>
      <c r="T63" s="31"/>
      <c r="U63" s="13"/>
      <c r="Z63" s="31"/>
      <c r="AA63" s="13"/>
      <c r="AB63" s="31"/>
      <c r="AC63" s="15"/>
    </row>
    <row r="64" spans="1:30" x14ac:dyDescent="0.25">
      <c r="A64" s="311"/>
      <c r="B64" s="20">
        <v>46095</v>
      </c>
      <c r="C64" s="14" t="s">
        <v>269</v>
      </c>
      <c r="D64" s="27"/>
      <c r="F64" s="35"/>
      <c r="H64" s="31"/>
      <c r="I64" s="13"/>
      <c r="J64" s="35">
        <v>80</v>
      </c>
      <c r="L64" s="35"/>
      <c r="M64" s="35"/>
      <c r="N64" s="35"/>
      <c r="O64" s="14"/>
      <c r="P64" s="27"/>
      <c r="T64" s="31"/>
      <c r="U64" s="13"/>
      <c r="Z64" s="31"/>
      <c r="AA64" s="13"/>
      <c r="AB64" s="31"/>
      <c r="AC64" s="15"/>
    </row>
    <row r="65" spans="1:40" x14ac:dyDescent="0.25">
      <c r="A65" s="311"/>
      <c r="B65" s="20">
        <v>46095</v>
      </c>
      <c r="C65" s="14" t="s">
        <v>270</v>
      </c>
      <c r="D65" s="27"/>
      <c r="F65" s="35"/>
      <c r="H65" s="31"/>
      <c r="I65" s="13"/>
      <c r="J65" s="35">
        <v>1000</v>
      </c>
      <c r="L65" s="35"/>
      <c r="M65" s="35"/>
      <c r="N65" s="35"/>
      <c r="O65" s="14"/>
      <c r="P65" s="27"/>
      <c r="T65" s="31"/>
      <c r="U65" s="13"/>
      <c r="Z65" s="31"/>
      <c r="AA65" s="13"/>
      <c r="AB65" s="31"/>
      <c r="AC65" s="15"/>
    </row>
    <row r="66" spans="1:40" x14ac:dyDescent="0.25">
      <c r="A66" s="311"/>
      <c r="B66" s="20">
        <v>46095</v>
      </c>
      <c r="C66" s="14" t="s">
        <v>279</v>
      </c>
      <c r="D66" s="27"/>
      <c r="F66" s="35"/>
      <c r="H66" s="31"/>
      <c r="I66" s="13"/>
      <c r="J66" s="35"/>
      <c r="L66" s="35"/>
      <c r="M66" s="35"/>
      <c r="N66" s="35"/>
      <c r="O66" s="14"/>
      <c r="P66" s="27"/>
      <c r="T66" s="31"/>
      <c r="U66" s="13">
        <v>210</v>
      </c>
      <c r="Z66" s="31"/>
      <c r="AA66" s="13"/>
      <c r="AB66" s="31"/>
      <c r="AC66" s="15"/>
    </row>
    <row r="67" spans="1:40" x14ac:dyDescent="0.25">
      <c r="A67" s="311"/>
      <c r="B67" s="20">
        <v>46096</v>
      </c>
      <c r="C67" s="14" t="s">
        <v>269</v>
      </c>
      <c r="D67" s="27"/>
      <c r="F67" s="35"/>
      <c r="H67" s="31"/>
      <c r="I67" s="13"/>
      <c r="J67" s="35"/>
      <c r="L67" s="35"/>
      <c r="M67" s="35"/>
      <c r="N67" s="35"/>
      <c r="O67" s="14"/>
      <c r="P67" s="27"/>
      <c r="T67" s="31"/>
      <c r="U67" s="13"/>
      <c r="Z67" s="31"/>
      <c r="AA67" s="13"/>
      <c r="AB67" s="31"/>
      <c r="AC67" s="15"/>
    </row>
    <row r="68" spans="1:40" x14ac:dyDescent="0.25">
      <c r="A68" s="311"/>
      <c r="B68" s="20">
        <v>46096</v>
      </c>
      <c r="C68" s="14" t="s">
        <v>288</v>
      </c>
      <c r="D68" s="27"/>
      <c r="F68" s="35"/>
      <c r="H68" s="31"/>
      <c r="I68" s="13"/>
      <c r="J68" s="35"/>
      <c r="L68" s="35"/>
      <c r="M68" s="35"/>
      <c r="N68" s="35"/>
      <c r="O68" s="14"/>
      <c r="P68" s="27"/>
      <c r="T68" s="31"/>
      <c r="U68" s="13"/>
      <c r="Z68" s="31"/>
      <c r="AA68" s="13"/>
      <c r="AB68" s="31"/>
      <c r="AC68" s="15"/>
    </row>
    <row r="69" spans="1:40" x14ac:dyDescent="0.25">
      <c r="A69" s="311"/>
      <c r="B69" s="20">
        <v>46096</v>
      </c>
      <c r="C69" s="14" t="s">
        <v>289</v>
      </c>
      <c r="D69" s="27"/>
      <c r="F69" s="35"/>
      <c r="H69" s="31"/>
      <c r="I69" s="13"/>
      <c r="J69" s="35"/>
      <c r="L69" s="35"/>
      <c r="M69" s="35"/>
      <c r="N69" s="35"/>
      <c r="O69" s="14"/>
      <c r="P69" s="27"/>
      <c r="T69" s="31"/>
      <c r="U69" s="13"/>
      <c r="Z69" s="31"/>
      <c r="AA69" s="13"/>
      <c r="AB69" s="31"/>
      <c r="AC69" s="15"/>
      <c r="AH69">
        <f>1090+150</f>
        <v>1240</v>
      </c>
    </row>
    <row r="70" spans="1:40" x14ac:dyDescent="0.25">
      <c r="A70" s="311"/>
      <c r="B70" s="20">
        <v>46096</v>
      </c>
      <c r="C70" s="14" t="s">
        <v>290</v>
      </c>
      <c r="D70" s="27"/>
      <c r="F70" s="35"/>
      <c r="H70" s="31"/>
      <c r="I70" s="13"/>
      <c r="J70" s="35"/>
      <c r="L70" s="35"/>
      <c r="M70" s="35"/>
      <c r="N70" s="35"/>
      <c r="O70" s="14"/>
      <c r="P70" s="27"/>
      <c r="T70" s="31"/>
      <c r="U70" s="13"/>
      <c r="Z70" s="31"/>
      <c r="AA70" s="13"/>
      <c r="AB70" s="31"/>
      <c r="AC70" s="15"/>
    </row>
    <row r="71" spans="1:40" x14ac:dyDescent="0.25">
      <c r="A71" s="311"/>
      <c r="B71" s="20"/>
      <c r="C71" s="14"/>
      <c r="D71" s="27"/>
      <c r="F71" s="35"/>
      <c r="H71" s="31"/>
      <c r="I71" s="13"/>
      <c r="J71" s="35"/>
      <c r="L71" s="35"/>
      <c r="M71" s="35"/>
      <c r="N71" s="35"/>
      <c r="O71" s="14"/>
      <c r="P71" s="27"/>
      <c r="T71" s="31"/>
      <c r="U71" s="13"/>
      <c r="Z71" s="31"/>
      <c r="AA71" s="13"/>
      <c r="AB71" s="31"/>
      <c r="AC71" s="15"/>
    </row>
    <row r="72" spans="1:40" x14ac:dyDescent="0.25">
      <c r="A72" s="311"/>
      <c r="B72" s="20"/>
      <c r="C72" s="14"/>
      <c r="D72" s="27"/>
      <c r="F72" s="35"/>
      <c r="H72" s="31"/>
      <c r="I72" s="13"/>
      <c r="J72" s="35"/>
      <c r="L72" s="35"/>
      <c r="M72" s="35"/>
      <c r="N72" s="35"/>
      <c r="O72" s="14"/>
      <c r="P72" s="27"/>
      <c r="T72" s="31"/>
      <c r="U72" s="13"/>
      <c r="Z72" s="31"/>
      <c r="AA72" s="13"/>
      <c r="AB72" s="31"/>
      <c r="AC72" s="15"/>
    </row>
    <row r="73" spans="1:40" x14ac:dyDescent="0.25">
      <c r="A73" s="311"/>
      <c r="B73" s="20"/>
      <c r="C73" s="14"/>
      <c r="D73" s="27"/>
      <c r="F73" s="35"/>
      <c r="H73" s="31"/>
      <c r="I73" s="13"/>
      <c r="J73" s="35"/>
      <c r="L73" s="35"/>
      <c r="M73" s="35"/>
      <c r="N73" s="35"/>
      <c r="O73" s="14"/>
      <c r="P73" s="27"/>
      <c r="T73" s="31"/>
      <c r="U73" s="13"/>
      <c r="Z73" s="31"/>
      <c r="AA73" s="13"/>
      <c r="AB73" s="31"/>
      <c r="AC73" s="15"/>
    </row>
    <row r="74" spans="1:40" x14ac:dyDescent="0.25">
      <c r="A74" s="311"/>
      <c r="B74" s="20"/>
      <c r="C74" s="14"/>
      <c r="D74" s="27"/>
      <c r="F74" s="35"/>
      <c r="H74" s="31"/>
      <c r="I74" s="13"/>
      <c r="J74" s="35"/>
      <c r="L74" s="35"/>
      <c r="M74" s="35"/>
      <c r="N74" s="35"/>
      <c r="O74" s="14"/>
      <c r="P74" s="27"/>
      <c r="T74" s="31"/>
      <c r="U74" s="13"/>
      <c r="Z74" s="31"/>
      <c r="AA74" s="13"/>
      <c r="AB74" s="31"/>
      <c r="AC74" s="15"/>
    </row>
    <row r="75" spans="1:40" x14ac:dyDescent="0.25">
      <c r="A75" s="311"/>
      <c r="B75" s="20"/>
      <c r="C75" s="14"/>
      <c r="D75" s="27"/>
      <c r="F75" s="35"/>
      <c r="H75" s="31"/>
      <c r="I75" s="13"/>
      <c r="J75" s="35"/>
      <c r="L75" s="35"/>
      <c r="M75" s="35"/>
      <c r="N75" s="35"/>
      <c r="O75" s="14"/>
      <c r="P75" s="27"/>
      <c r="T75" s="31"/>
      <c r="U75" s="13"/>
      <c r="Z75" s="31"/>
      <c r="AA75" s="13"/>
      <c r="AB75" s="31"/>
      <c r="AC75" s="15"/>
    </row>
    <row r="76" spans="1:40" x14ac:dyDescent="0.25">
      <c r="A76" s="311"/>
      <c r="B76" s="20"/>
      <c r="C76" s="14"/>
      <c r="D76" s="27"/>
      <c r="F76" s="35"/>
      <c r="H76" s="31"/>
      <c r="I76" s="13"/>
      <c r="J76" s="35"/>
      <c r="L76" s="35"/>
      <c r="M76" s="35"/>
      <c r="N76" s="35"/>
      <c r="O76" s="14"/>
      <c r="P76" s="27"/>
      <c r="T76" s="31"/>
      <c r="U76" s="13"/>
      <c r="Z76" s="31"/>
      <c r="AA76" s="13"/>
      <c r="AB76" s="31"/>
      <c r="AC76" s="15"/>
    </row>
    <row r="77" spans="1:40" x14ac:dyDescent="0.25">
      <c r="A77" s="311"/>
      <c r="B77" s="20"/>
      <c r="C77" s="14"/>
      <c r="D77" s="27"/>
      <c r="F77" s="35"/>
      <c r="H77" s="31"/>
      <c r="I77" s="13"/>
      <c r="J77" s="35"/>
      <c r="L77" s="35"/>
      <c r="M77" s="35"/>
      <c r="N77" s="35"/>
      <c r="O77" s="14"/>
      <c r="P77" s="27"/>
      <c r="T77" s="31"/>
      <c r="U77" s="13"/>
      <c r="Z77" s="31"/>
      <c r="AA77" s="13"/>
      <c r="AB77" s="31"/>
      <c r="AC77" s="15"/>
    </row>
    <row r="78" spans="1:40" x14ac:dyDescent="0.25">
      <c r="A78" s="311"/>
      <c r="B78" s="20"/>
      <c r="C78" s="14"/>
      <c r="D78" s="27"/>
      <c r="F78" s="35"/>
      <c r="H78" s="31"/>
      <c r="I78" s="13"/>
      <c r="J78" s="35"/>
      <c r="L78" s="35"/>
      <c r="M78" s="35"/>
      <c r="N78" s="35"/>
      <c r="O78" s="14"/>
      <c r="P78" s="27"/>
      <c r="T78" s="31"/>
      <c r="U78" s="13"/>
      <c r="Z78" s="31"/>
      <c r="AA78" s="13"/>
      <c r="AB78" s="31"/>
      <c r="AC78" s="15"/>
    </row>
    <row r="79" spans="1:40" x14ac:dyDescent="0.25">
      <c r="A79" s="311"/>
      <c r="B79" s="20"/>
      <c r="C79" s="14"/>
      <c r="D79" s="27"/>
      <c r="F79" s="35"/>
      <c r="H79" s="31"/>
      <c r="I79" s="13"/>
      <c r="J79" s="35"/>
      <c r="L79" s="35"/>
      <c r="M79" s="35"/>
      <c r="N79" s="35"/>
      <c r="O79" s="14"/>
      <c r="P79" s="27"/>
      <c r="T79" s="31"/>
      <c r="U79" s="13"/>
      <c r="Z79" s="31"/>
      <c r="AA79" s="13"/>
      <c r="AB79" s="31"/>
      <c r="AC79" s="15"/>
    </row>
    <row r="80" spans="1:40" s="52" customFormat="1" x14ac:dyDescent="0.25">
      <c r="A80" s="311"/>
      <c r="B80" s="114"/>
      <c r="C80" s="105" t="s">
        <v>178</v>
      </c>
      <c r="D80" s="83">
        <v>0</v>
      </c>
      <c r="H80" s="105">
        <v>0</v>
      </c>
      <c r="I80" s="83"/>
      <c r="L80" s="52">
        <v>0</v>
      </c>
      <c r="M80" s="52">
        <v>42</v>
      </c>
      <c r="O80" s="105"/>
      <c r="P80" s="83"/>
      <c r="T80" s="105"/>
      <c r="U80" s="83"/>
      <c r="Z80" s="105"/>
      <c r="AA80" s="83"/>
      <c r="AB80" s="105"/>
      <c r="AC80" s="115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</row>
    <row r="81" spans="1:33" x14ac:dyDescent="0.25">
      <c r="A81" s="311"/>
      <c r="B81" s="20"/>
      <c r="C81" s="14"/>
      <c r="D81" s="27"/>
      <c r="F81" s="35"/>
      <c r="H81" s="31"/>
      <c r="I81" s="13"/>
      <c r="J81" s="35"/>
      <c r="L81" s="35"/>
      <c r="M81" s="35"/>
      <c r="N81" s="35"/>
      <c r="O81" s="14"/>
      <c r="P81" s="27"/>
      <c r="T81" s="31"/>
      <c r="U81" s="13"/>
      <c r="Z81" s="31"/>
      <c r="AA81" s="13"/>
      <c r="AB81" s="31"/>
      <c r="AC81" s="15"/>
    </row>
    <row r="82" spans="1:33" ht="15.75" thickBot="1" x14ac:dyDescent="0.3">
      <c r="A82" s="312"/>
      <c r="B82" s="13"/>
      <c r="C82" s="14"/>
      <c r="D82" s="27"/>
      <c r="F82" s="35"/>
      <c r="H82" s="31"/>
      <c r="I82" s="13"/>
      <c r="J82" s="35"/>
      <c r="L82" s="35"/>
      <c r="M82" s="35"/>
      <c r="N82" s="35"/>
      <c r="O82" s="14"/>
      <c r="P82" s="27"/>
      <c r="T82" s="31"/>
      <c r="U82" s="13"/>
      <c r="Z82" s="31"/>
      <c r="AA82" s="13"/>
      <c r="AB82" s="31"/>
      <c r="AC82" s="15"/>
      <c r="AG82">
        <f>0.3*400</f>
        <v>120</v>
      </c>
    </row>
    <row r="83" spans="1:33" ht="21.75" thickBot="1" x14ac:dyDescent="0.3">
      <c r="A83" s="21" t="s">
        <v>23</v>
      </c>
      <c r="B83" s="22"/>
      <c r="C83" s="23"/>
      <c r="D83" s="29">
        <f t="shared" ref="D83:AC83" si="0">SUM(D4:D18)-SUM(D19:D82)</f>
        <v>1495</v>
      </c>
      <c r="E83" s="22">
        <f t="shared" si="0"/>
        <v>95</v>
      </c>
      <c r="F83" s="37">
        <f t="shared" si="0"/>
        <v>5800</v>
      </c>
      <c r="G83" s="24">
        <f t="shared" si="0"/>
        <v>0</v>
      </c>
      <c r="H83" s="33">
        <f t="shared" si="0"/>
        <v>30</v>
      </c>
      <c r="I83" s="22">
        <f t="shared" si="0"/>
        <v>0</v>
      </c>
      <c r="J83" s="37">
        <f t="shared" si="0"/>
        <v>1220</v>
      </c>
      <c r="K83" s="24">
        <f t="shared" si="0"/>
        <v>2088</v>
      </c>
      <c r="L83" s="37">
        <f t="shared" si="0"/>
        <v>1901</v>
      </c>
      <c r="M83" s="37">
        <f t="shared" si="0"/>
        <v>1011</v>
      </c>
      <c r="N83" s="37">
        <f t="shared" si="0"/>
        <v>0</v>
      </c>
      <c r="O83" s="23">
        <f t="shared" si="0"/>
        <v>0</v>
      </c>
      <c r="P83" s="29">
        <f t="shared" si="0"/>
        <v>2</v>
      </c>
      <c r="Q83" s="29">
        <f t="shared" si="0"/>
        <v>0</v>
      </c>
      <c r="R83" s="29">
        <f t="shared" si="0"/>
        <v>0</v>
      </c>
      <c r="S83" s="107">
        <f t="shared" si="0"/>
        <v>1532</v>
      </c>
      <c r="T83" s="33">
        <f t="shared" si="0"/>
        <v>38</v>
      </c>
      <c r="U83" s="22">
        <f t="shared" si="0"/>
        <v>582</v>
      </c>
      <c r="V83" s="22">
        <f t="shared" si="0"/>
        <v>204</v>
      </c>
      <c r="W83" s="22">
        <f t="shared" si="0"/>
        <v>70</v>
      </c>
      <c r="X83" s="22">
        <f t="shared" si="0"/>
        <v>1950</v>
      </c>
      <c r="Y83" s="22">
        <f t="shared" si="0"/>
        <v>0</v>
      </c>
      <c r="Z83" s="33">
        <f t="shared" si="0"/>
        <v>0</v>
      </c>
      <c r="AA83" s="22">
        <f t="shared" si="0"/>
        <v>0</v>
      </c>
      <c r="AB83" s="33">
        <f>SUM(AB4:AB18)-SUM(AB19:AB82)</f>
        <v>0</v>
      </c>
      <c r="AC83" s="25">
        <f t="shared" si="0"/>
        <v>35</v>
      </c>
    </row>
    <row r="85" spans="1:33" x14ac:dyDescent="0.25">
      <c r="C85" t="s">
        <v>176</v>
      </c>
      <c r="D85">
        <v>0.56000000000000005</v>
      </c>
      <c r="E85">
        <v>0.55000000000000004</v>
      </c>
      <c r="F85">
        <v>0.69</v>
      </c>
      <c r="G85">
        <v>0.65</v>
      </c>
      <c r="H85">
        <v>0.74</v>
      </c>
      <c r="I85">
        <f>+I83*0.68</f>
        <v>0</v>
      </c>
      <c r="J85">
        <v>0.8</v>
      </c>
      <c r="K85" s="50">
        <f>0.95+0.1</f>
        <v>1.05</v>
      </c>
      <c r="L85">
        <f>0.84+0.12</f>
        <v>0.96</v>
      </c>
      <c r="M85">
        <v>0.82</v>
      </c>
      <c r="N85">
        <v>0.92</v>
      </c>
      <c r="O85">
        <f>+O83*0.66</f>
        <v>0</v>
      </c>
      <c r="P85">
        <v>2.35</v>
      </c>
      <c r="Q85">
        <f>+Q83*2.1</f>
        <v>0</v>
      </c>
      <c r="R85">
        <f>R83*1.95</f>
        <v>0</v>
      </c>
      <c r="S85">
        <v>2.4500000000000002</v>
      </c>
      <c r="T85">
        <v>2.35</v>
      </c>
      <c r="U85">
        <v>2.5499999999999998</v>
      </c>
      <c r="V85">
        <v>2.5499999999999998</v>
      </c>
      <c r="W85">
        <v>2.9</v>
      </c>
      <c r="X85">
        <v>2.85</v>
      </c>
      <c r="Y85">
        <v>2.4</v>
      </c>
      <c r="Z85">
        <f>+Z83*2.15</f>
        <v>0</v>
      </c>
      <c r="AA85">
        <f>+AA83*0.44</f>
        <v>0</v>
      </c>
      <c r="AB85">
        <f>+AB83*0.34</f>
        <v>0</v>
      </c>
      <c r="AC85" s="109"/>
    </row>
    <row r="86" spans="1:33" x14ac:dyDescent="0.25">
      <c r="D86">
        <f>+D83*D85</f>
        <v>837.2</v>
      </c>
      <c r="E86">
        <f>+E83*E85</f>
        <v>52.250000000000007</v>
      </c>
      <c r="F86">
        <f t="shared" ref="F86:AC86" si="1">+F83*F85</f>
        <v>4001.9999999999995</v>
      </c>
      <c r="G86">
        <f t="shared" si="1"/>
        <v>0</v>
      </c>
      <c r="H86">
        <f t="shared" si="1"/>
        <v>22.2</v>
      </c>
      <c r="I86">
        <f t="shared" si="1"/>
        <v>0</v>
      </c>
      <c r="J86">
        <f t="shared" si="1"/>
        <v>976</v>
      </c>
      <c r="K86">
        <f t="shared" si="1"/>
        <v>2192.4</v>
      </c>
      <c r="L86">
        <f t="shared" si="1"/>
        <v>1824.96</v>
      </c>
      <c r="M86">
        <f>M83*M85</f>
        <v>829.02</v>
      </c>
      <c r="N86">
        <f t="shared" si="1"/>
        <v>0</v>
      </c>
      <c r="O86">
        <f t="shared" si="1"/>
        <v>0</v>
      </c>
      <c r="P86">
        <f t="shared" si="1"/>
        <v>4.7</v>
      </c>
      <c r="Q86">
        <f t="shared" si="1"/>
        <v>0</v>
      </c>
      <c r="R86">
        <f t="shared" si="1"/>
        <v>0</v>
      </c>
      <c r="S86">
        <f t="shared" si="1"/>
        <v>3753.4</v>
      </c>
      <c r="T86">
        <f t="shared" si="1"/>
        <v>89.3</v>
      </c>
      <c r="U86">
        <f t="shared" si="1"/>
        <v>1484.1</v>
      </c>
      <c r="V86">
        <f t="shared" si="1"/>
        <v>520.19999999999993</v>
      </c>
      <c r="W86">
        <f t="shared" si="1"/>
        <v>203</v>
      </c>
      <c r="X86">
        <f>X83*X85</f>
        <v>5557.5</v>
      </c>
      <c r="Z86">
        <f t="shared" si="1"/>
        <v>0</v>
      </c>
      <c r="AA86">
        <f t="shared" si="1"/>
        <v>0</v>
      </c>
      <c r="AC86">
        <f t="shared" si="1"/>
        <v>0</v>
      </c>
      <c r="AD86" s="52">
        <f>SUM(D86:AC86)</f>
        <v>22348.23</v>
      </c>
    </row>
    <row r="87" spans="1:33" ht="15.75" thickBot="1" x14ac:dyDescent="0.3"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103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spans="1:33" ht="15.75" thickBot="1" x14ac:dyDescent="0.3">
      <c r="C88" s="91"/>
      <c r="E88" s="79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8"/>
      <c r="T88" s="104"/>
      <c r="U88" s="104"/>
      <c r="V88" s="104"/>
      <c r="W88" s="104"/>
      <c r="X88" s="104"/>
      <c r="Y88" s="104"/>
      <c r="Z88" s="104"/>
      <c r="AA88" s="104"/>
      <c r="AB88" s="104"/>
      <c r="AC88" s="80"/>
    </row>
    <row r="90" spans="1:33" x14ac:dyDescent="0.25">
      <c r="O90" s="60"/>
      <c r="S90" s="50"/>
    </row>
    <row r="91" spans="1:33" x14ac:dyDescent="0.25">
      <c r="J91" s="60">
        <v>0.82</v>
      </c>
      <c r="S91" s="85"/>
      <c r="U91" s="84"/>
    </row>
    <row r="92" spans="1:33" x14ac:dyDescent="0.25">
      <c r="J92" s="60"/>
      <c r="S92" s="85"/>
      <c r="U92" s="84"/>
    </row>
    <row r="93" spans="1:33" x14ac:dyDescent="0.25">
      <c r="J93" s="60"/>
      <c r="S93" s="85"/>
      <c r="U93" s="84"/>
    </row>
    <row r="94" spans="1:33" x14ac:dyDescent="0.25">
      <c r="J94" s="60"/>
      <c r="S94" s="85"/>
      <c r="U94" s="84"/>
    </row>
    <row r="95" spans="1:33" x14ac:dyDescent="0.25">
      <c r="J95" s="60"/>
      <c r="S95" s="85"/>
      <c r="U95" s="84"/>
    </row>
    <row r="96" spans="1:33" x14ac:dyDescent="0.25">
      <c r="J96" s="60"/>
      <c r="S96" s="85">
        <f>M80*0.82</f>
        <v>34.44</v>
      </c>
      <c r="U96" s="84"/>
    </row>
    <row r="97" spans="3:34" x14ac:dyDescent="0.25">
      <c r="J97" s="60"/>
      <c r="S97" s="85"/>
      <c r="U97" s="84"/>
    </row>
    <row r="98" spans="3:34" x14ac:dyDescent="0.25">
      <c r="J98" s="60"/>
      <c r="P98">
        <f>N85*N86</f>
        <v>0</v>
      </c>
      <c r="S98" s="85"/>
      <c r="U98" s="84"/>
    </row>
    <row r="99" spans="3:34" x14ac:dyDescent="0.25">
      <c r="J99" s="60"/>
      <c r="S99" s="85"/>
      <c r="U99" s="84"/>
    </row>
    <row r="100" spans="3:34" x14ac:dyDescent="0.25">
      <c r="J100" s="60"/>
      <c r="S100" s="85"/>
      <c r="U100" s="84"/>
    </row>
    <row r="101" spans="3:34" x14ac:dyDescent="0.25">
      <c r="J101" s="60"/>
      <c r="S101" s="85"/>
      <c r="U101" s="84"/>
    </row>
    <row r="102" spans="3:34" x14ac:dyDescent="0.25">
      <c r="J102" s="60"/>
      <c r="S102" s="85"/>
      <c r="U102" s="84"/>
    </row>
    <row r="103" spans="3:34" x14ac:dyDescent="0.25">
      <c r="J103" s="60"/>
      <c r="S103" s="85"/>
      <c r="U103" s="84"/>
    </row>
    <row r="104" spans="3:34" x14ac:dyDescent="0.25">
      <c r="J104" s="60"/>
      <c r="S104" s="85"/>
      <c r="U104" s="84"/>
    </row>
    <row r="105" spans="3:34" x14ac:dyDescent="0.25">
      <c r="J105" s="60"/>
      <c r="S105" s="85"/>
      <c r="U105" s="84"/>
    </row>
    <row r="106" spans="3:34" x14ac:dyDescent="0.25">
      <c r="K106" s="60"/>
      <c r="S106" s="60"/>
    </row>
    <row r="108" spans="3:34" ht="30" customHeight="1" x14ac:dyDescent="0.25">
      <c r="AG108" t="s">
        <v>130</v>
      </c>
      <c r="AH108">
        <v>1667</v>
      </c>
    </row>
    <row r="109" spans="3:34" x14ac:dyDescent="0.25">
      <c r="AH109">
        <v>1070</v>
      </c>
    </row>
    <row r="110" spans="3:34" x14ac:dyDescent="0.25">
      <c r="AH110">
        <f>AH108-AH109</f>
        <v>597</v>
      </c>
    </row>
    <row r="111" spans="3:34" x14ac:dyDescent="0.25">
      <c r="C111" s="98" t="s">
        <v>118</v>
      </c>
      <c r="D111">
        <f>5050+180</f>
        <v>5230</v>
      </c>
      <c r="E111">
        <v>140</v>
      </c>
      <c r="F111">
        <f>-310+70+80</f>
        <v>-160</v>
      </c>
      <c r="G111">
        <f>8000+1340-200</f>
        <v>9140</v>
      </c>
      <c r="H111">
        <f>12540+400</f>
        <v>12940</v>
      </c>
      <c r="I111">
        <f>3670+1320-7150</f>
        <v>-2160</v>
      </c>
      <c r="J111">
        <f>12700+870+980+24320+600</f>
        <v>39470</v>
      </c>
      <c r="K111">
        <f>38950+1000+1080+600</f>
        <v>41630</v>
      </c>
      <c r="L111">
        <f>23176+4500+600+1000+35680+3900</f>
        <v>68856</v>
      </c>
    </row>
    <row r="112" spans="3:34" x14ac:dyDescent="0.25">
      <c r="C112" t="s">
        <v>119</v>
      </c>
      <c r="D112">
        <v>6500</v>
      </c>
      <c r="E112">
        <v>6500</v>
      </c>
      <c r="F112">
        <v>6500</v>
      </c>
      <c r="G112">
        <v>6500</v>
      </c>
      <c r="H112">
        <v>5800</v>
      </c>
      <c r="I112">
        <v>5800</v>
      </c>
      <c r="J112">
        <v>5800</v>
      </c>
      <c r="K112">
        <v>5100</v>
      </c>
      <c r="L112">
        <v>5100</v>
      </c>
    </row>
    <row r="113" spans="3:36" x14ac:dyDescent="0.25">
      <c r="C113" t="s">
        <v>120</v>
      </c>
      <c r="D113">
        <v>33280</v>
      </c>
      <c r="E113">
        <v>33280</v>
      </c>
      <c r="F113">
        <f>38060-1480</f>
        <v>36580</v>
      </c>
      <c r="G113">
        <v>27560</v>
      </c>
      <c r="H113">
        <v>24080</v>
      </c>
      <c r="I113">
        <v>42702</v>
      </c>
      <c r="J113">
        <v>0</v>
      </c>
      <c r="K113">
        <v>0</v>
      </c>
      <c r="L113">
        <f>1081-340</f>
        <v>741</v>
      </c>
    </row>
    <row r="114" spans="3:36" x14ac:dyDescent="0.25">
      <c r="C114" t="s">
        <v>123</v>
      </c>
      <c r="D114">
        <v>2960</v>
      </c>
      <c r="E114">
        <v>2960</v>
      </c>
      <c r="F114">
        <f>1150</f>
        <v>1150</v>
      </c>
      <c r="G114">
        <v>1980</v>
      </c>
      <c r="H114">
        <v>4000</v>
      </c>
      <c r="I114">
        <v>0</v>
      </c>
      <c r="K114">
        <v>0</v>
      </c>
      <c r="L114">
        <v>0</v>
      </c>
      <c r="AG114" t="s">
        <v>149</v>
      </c>
      <c r="AH114">
        <v>14352</v>
      </c>
      <c r="AI114" t="s">
        <v>150</v>
      </c>
      <c r="AJ114" t="s">
        <v>151</v>
      </c>
    </row>
    <row r="115" spans="3:36" x14ac:dyDescent="0.25">
      <c r="C115" t="s">
        <v>122</v>
      </c>
      <c r="D115">
        <v>1300</v>
      </c>
      <c r="E115">
        <v>1300</v>
      </c>
      <c r="F115">
        <v>1300</v>
      </c>
      <c r="G115">
        <v>1300</v>
      </c>
      <c r="H115">
        <v>1140</v>
      </c>
      <c r="I115">
        <v>1140</v>
      </c>
      <c r="J115">
        <v>1140</v>
      </c>
      <c r="K115">
        <v>0</v>
      </c>
      <c r="L115">
        <v>0</v>
      </c>
      <c r="AH115">
        <v>-14547</v>
      </c>
      <c r="AI115" t="s">
        <v>152</v>
      </c>
    </row>
    <row r="116" spans="3:36" x14ac:dyDescent="0.25">
      <c r="C116" t="s">
        <v>127</v>
      </c>
      <c r="D116">
        <v>-9815</v>
      </c>
      <c r="E116">
        <v>-4815</v>
      </c>
      <c r="F116">
        <v>-4815</v>
      </c>
      <c r="G116">
        <v>-4815</v>
      </c>
      <c r="H116">
        <v>-4815</v>
      </c>
      <c r="I116">
        <v>-4815</v>
      </c>
      <c r="J116">
        <v>-3609</v>
      </c>
      <c r="K116">
        <v>-3609</v>
      </c>
      <c r="L116">
        <f>-1324-1120</f>
        <v>-2444</v>
      </c>
    </row>
    <row r="117" spans="3:36" x14ac:dyDescent="0.25">
      <c r="C117" t="s">
        <v>128</v>
      </c>
      <c r="L117">
        <f>-2336.5*12</f>
        <v>-28038</v>
      </c>
      <c r="AH117">
        <f>SUM(AH114:AH116)</f>
        <v>-195</v>
      </c>
      <c r="AI117" t="s">
        <v>153</v>
      </c>
    </row>
    <row r="119" spans="3:36" x14ac:dyDescent="0.25">
      <c r="D119">
        <f>SUM(D111:D118)</f>
        <v>39455</v>
      </c>
      <c r="E119">
        <f>SUM(E111:E116)</f>
        <v>39365</v>
      </c>
      <c r="F119">
        <f>SUM(F111:F116)</f>
        <v>40555</v>
      </c>
      <c r="G119">
        <f>SUM(G111:G116)</f>
        <v>41665</v>
      </c>
      <c r="H119">
        <f>SUM(H111:H116)</f>
        <v>43145</v>
      </c>
      <c r="I119">
        <f>SUM(I111:I116)</f>
        <v>42667</v>
      </c>
      <c r="J119">
        <f>SUM(J111:J118)</f>
        <v>42801</v>
      </c>
      <c r="K119">
        <f>SUM(K111:K118)</f>
        <v>43121</v>
      </c>
      <c r="L119">
        <f>SUM(L111:L118)</f>
        <v>44215</v>
      </c>
    </row>
    <row r="120" spans="3:36" x14ac:dyDescent="0.25">
      <c r="C120" t="s">
        <v>124</v>
      </c>
      <c r="D120">
        <v>100</v>
      </c>
      <c r="E120">
        <v>100</v>
      </c>
      <c r="F120">
        <v>100</v>
      </c>
      <c r="G120">
        <v>100</v>
      </c>
      <c r="H120">
        <f>100+350</f>
        <v>450</v>
      </c>
      <c r="I120">
        <v>100</v>
      </c>
      <c r="J120">
        <v>100</v>
      </c>
      <c r="AG120" t="s">
        <v>158</v>
      </c>
      <c r="AI120">
        <v>24005</v>
      </c>
    </row>
    <row r="121" spans="3:36" x14ac:dyDescent="0.25">
      <c r="C121" t="s">
        <v>125</v>
      </c>
      <c r="D121">
        <f t="shared" ref="D121:I121" si="2">+D119-D120</f>
        <v>39355</v>
      </c>
      <c r="E121">
        <f t="shared" si="2"/>
        <v>39265</v>
      </c>
      <c r="F121">
        <f t="shared" si="2"/>
        <v>40455</v>
      </c>
      <c r="G121">
        <f t="shared" si="2"/>
        <v>41565</v>
      </c>
      <c r="H121">
        <f t="shared" si="2"/>
        <v>42695</v>
      </c>
      <c r="I121">
        <f t="shared" si="2"/>
        <v>42567</v>
      </c>
      <c r="J121">
        <f>+J119-J120</f>
        <v>42701</v>
      </c>
      <c r="AI121">
        <v>-24080</v>
      </c>
    </row>
    <row r="122" spans="3:36" x14ac:dyDescent="0.25">
      <c r="G122">
        <f>+G121-F121</f>
        <v>1110</v>
      </c>
      <c r="H122">
        <f>+H121-G121</f>
        <v>1130</v>
      </c>
      <c r="L122">
        <f>+L119-K119</f>
        <v>1094</v>
      </c>
      <c r="AH122" t="s">
        <v>159</v>
      </c>
      <c r="AI122">
        <f>SUM(AI120:AI121)</f>
        <v>-75</v>
      </c>
    </row>
    <row r="123" spans="3:36" x14ac:dyDescent="0.25">
      <c r="I123">
        <f>+H121-I121</f>
        <v>128</v>
      </c>
      <c r="J123">
        <f>+J121-I121</f>
        <v>134</v>
      </c>
    </row>
    <row r="126" spans="3:36" x14ac:dyDescent="0.25">
      <c r="J126" s="102">
        <v>20611410159</v>
      </c>
    </row>
    <row r="127" spans="3:36" x14ac:dyDescent="0.25">
      <c r="J127" s="102">
        <v>41200545</v>
      </c>
    </row>
  </sheetData>
  <mergeCells count="7">
    <mergeCell ref="AA2:AB2"/>
    <mergeCell ref="A4:A18"/>
    <mergeCell ref="A19:A82"/>
    <mergeCell ref="D2:H2"/>
    <mergeCell ref="I2:O2"/>
    <mergeCell ref="P2:T2"/>
    <mergeCell ref="U2:Z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5ADE-1F2D-4543-A47C-E5B8B42D3DB9}">
  <dimension ref="A1:ID109"/>
  <sheetViews>
    <sheetView zoomScale="60" zoomScaleNormal="60" workbookViewId="0">
      <pane xSplit="3" ySplit="3" topLeftCell="D19" activePane="bottomRight" state="frozen"/>
      <selection pane="topRight" activeCell="D1" sqref="D1"/>
      <selection pane="bottomLeft" activeCell="A4" sqref="A4"/>
      <selection pane="bottomRight" activeCell="B51" sqref="A51:XFD51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7" width="11.140625" customWidth="1"/>
    <col min="8" max="8" width="9.42578125" customWidth="1"/>
    <col min="9" max="9" width="10.7109375" customWidth="1"/>
    <col min="10" max="10" width="11.28515625" customWidth="1"/>
    <col min="11" max="11" width="10.140625" customWidth="1"/>
    <col min="12" max="13" width="12" customWidth="1"/>
    <col min="14" max="14" width="11.28515625" customWidth="1"/>
    <col min="15" max="15" width="10.42578125" bestFit="1" customWidth="1"/>
    <col min="16" max="16" width="8.7109375" bestFit="1" customWidth="1"/>
    <col min="17" max="17" width="10.5703125" customWidth="1"/>
    <col min="18" max="18" width="8.7109375" customWidth="1"/>
    <col min="19" max="19" width="11.28515625" customWidth="1"/>
    <col min="20" max="20" width="10.85546875" customWidth="1"/>
    <col min="21" max="23" width="10.7109375" customWidth="1"/>
    <col min="24" max="25" width="13.5703125" customWidth="1"/>
    <col min="26" max="26" width="11.5703125" customWidth="1"/>
    <col min="27" max="27" width="14.42578125" customWidth="1"/>
    <col min="28" max="28" width="9.85546875" customWidth="1"/>
    <col min="29" max="29" width="14.5703125" customWidth="1"/>
    <col min="30" max="30" width="19" customWidth="1"/>
    <col min="33" max="33" width="16.140625" customWidth="1"/>
  </cols>
  <sheetData>
    <row r="1" spans="1:29" ht="33" customHeight="1" thickBot="1" x14ac:dyDescent="0.3"/>
    <row r="2" spans="1:29" ht="28.5" customHeight="1" x14ac:dyDescent="0.45">
      <c r="B2" s="1"/>
      <c r="C2" s="2"/>
      <c r="D2" s="308" t="s">
        <v>0</v>
      </c>
      <c r="E2" s="313"/>
      <c r="F2" s="313"/>
      <c r="G2" s="313"/>
      <c r="H2" s="309"/>
      <c r="I2" s="308" t="s">
        <v>1</v>
      </c>
      <c r="J2" s="313"/>
      <c r="K2" s="313"/>
      <c r="L2" s="313"/>
      <c r="M2" s="313"/>
      <c r="N2" s="313"/>
      <c r="O2" s="309"/>
      <c r="P2" s="308" t="s">
        <v>2</v>
      </c>
      <c r="Q2" s="313"/>
      <c r="R2" s="313"/>
      <c r="S2" s="313"/>
      <c r="T2" s="309"/>
      <c r="U2" s="308" t="s">
        <v>3</v>
      </c>
      <c r="V2" s="313"/>
      <c r="W2" s="313"/>
      <c r="X2" s="313"/>
      <c r="Y2" s="313"/>
      <c r="Z2" s="309"/>
      <c r="AA2" s="308" t="s">
        <v>4</v>
      </c>
      <c r="AB2" s="309"/>
      <c r="AC2" s="46" t="s">
        <v>91</v>
      </c>
    </row>
    <row r="3" spans="1:29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8" t="s">
        <v>13</v>
      </c>
      <c r="I3" s="9" t="s">
        <v>126</v>
      </c>
      <c r="J3" s="7" t="s">
        <v>11</v>
      </c>
      <c r="K3" s="7" t="s">
        <v>12</v>
      </c>
      <c r="L3" s="7" t="s">
        <v>13</v>
      </c>
      <c r="M3" s="7" t="s">
        <v>182</v>
      </c>
      <c r="N3" s="7" t="s">
        <v>15</v>
      </c>
      <c r="O3" s="8" t="s">
        <v>136</v>
      </c>
      <c r="P3" s="6" t="s">
        <v>12</v>
      </c>
      <c r="Q3" s="7" t="s">
        <v>69</v>
      </c>
      <c r="R3" s="7" t="s">
        <v>13</v>
      </c>
      <c r="S3" s="7" t="s">
        <v>16</v>
      </c>
      <c r="T3" s="8" t="s">
        <v>162</v>
      </c>
      <c r="U3" s="6" t="s">
        <v>16</v>
      </c>
      <c r="V3" s="7" t="s">
        <v>77</v>
      </c>
      <c r="W3" s="7" t="s">
        <v>12</v>
      </c>
      <c r="X3" s="7" t="s">
        <v>13</v>
      </c>
      <c r="Y3" s="7" t="s">
        <v>8</v>
      </c>
      <c r="Z3" s="8" t="s">
        <v>69</v>
      </c>
      <c r="AA3" s="6" t="s">
        <v>17</v>
      </c>
      <c r="AB3" s="8" t="s">
        <v>18</v>
      </c>
      <c r="AC3" s="10" t="s">
        <v>92</v>
      </c>
    </row>
    <row r="4" spans="1:29" x14ac:dyDescent="0.25">
      <c r="A4" s="310" t="s">
        <v>19</v>
      </c>
      <c r="B4" s="49"/>
      <c r="C4" s="2"/>
      <c r="D4" s="42">
        <v>1495</v>
      </c>
      <c r="E4" s="42">
        <f>'STOCK 08-14-02'!E25</f>
        <v>95</v>
      </c>
      <c r="F4" s="42">
        <v>5800</v>
      </c>
      <c r="G4" s="42">
        <v>0</v>
      </c>
      <c r="H4" s="42">
        <v>30</v>
      </c>
      <c r="I4" s="42">
        <v>0</v>
      </c>
      <c r="J4" s="42">
        <v>1220</v>
      </c>
      <c r="K4" s="42">
        <v>2088</v>
      </c>
      <c r="L4" s="42">
        <v>1901</v>
      </c>
      <c r="M4" s="42">
        <v>1011</v>
      </c>
      <c r="N4" s="42">
        <f>'STOCK 08-14-02'!M25</f>
        <v>0</v>
      </c>
      <c r="O4" s="42">
        <v>0</v>
      </c>
      <c r="P4" s="42">
        <f>'STOCK 08-14-02'!O25</f>
        <v>2</v>
      </c>
      <c r="Q4" s="42">
        <f>'STOCK 08-14-02'!P25</f>
        <v>0</v>
      </c>
      <c r="R4" s="42">
        <f>'STOCK 08-14-02'!Q25</f>
        <v>0</v>
      </c>
      <c r="S4" s="42">
        <v>1532</v>
      </c>
      <c r="T4" s="42">
        <v>38</v>
      </c>
      <c r="U4" s="42">
        <v>582</v>
      </c>
      <c r="V4" s="42">
        <f>'STOCK 08-14-02'!U25</f>
        <v>204</v>
      </c>
      <c r="W4" s="42">
        <v>70</v>
      </c>
      <c r="X4" s="42">
        <v>1950</v>
      </c>
      <c r="Y4" s="42">
        <v>0</v>
      </c>
      <c r="Z4" s="42">
        <f>'STOCK 08-14-02'!W25</f>
        <v>0</v>
      </c>
      <c r="AA4" s="42">
        <f>'STOCK 08-14-02'!X25</f>
        <v>0</v>
      </c>
      <c r="AB4" s="42">
        <v>0</v>
      </c>
      <c r="AC4" s="42">
        <v>35</v>
      </c>
    </row>
    <row r="5" spans="1:29" x14ac:dyDescent="0.25">
      <c r="A5" s="311"/>
      <c r="B5" s="20"/>
      <c r="C5" s="82"/>
      <c r="D5" s="27"/>
      <c r="F5" s="35"/>
      <c r="H5" s="31"/>
      <c r="I5" s="13"/>
      <c r="J5" s="35"/>
      <c r="L5" s="35"/>
      <c r="M5" s="35"/>
      <c r="N5" s="35"/>
      <c r="O5" s="14"/>
      <c r="P5" s="27"/>
      <c r="T5" s="31"/>
      <c r="U5" s="13"/>
      <c r="Z5" s="31"/>
      <c r="AA5" s="13"/>
      <c r="AB5" s="31"/>
      <c r="AC5" s="15"/>
    </row>
    <row r="6" spans="1:29" x14ac:dyDescent="0.25">
      <c r="A6" s="311"/>
      <c r="B6" s="160">
        <v>46097</v>
      </c>
      <c r="C6" s="20" t="s">
        <v>27</v>
      </c>
      <c r="D6" s="27">
        <v>4000</v>
      </c>
      <c r="F6" s="35"/>
      <c r="H6" s="31"/>
      <c r="I6" s="13"/>
      <c r="J6" s="35"/>
      <c r="L6" s="35"/>
      <c r="M6" s="35"/>
      <c r="N6" s="35"/>
      <c r="O6" s="14"/>
      <c r="P6" s="27"/>
      <c r="T6" s="31"/>
      <c r="U6" s="13"/>
      <c r="Z6" s="31"/>
      <c r="AA6" s="13"/>
      <c r="AB6" s="31"/>
      <c r="AC6" s="15"/>
    </row>
    <row r="7" spans="1:29" x14ac:dyDescent="0.25">
      <c r="A7" s="311"/>
      <c r="B7" s="160">
        <v>46097</v>
      </c>
      <c r="C7" s="20" t="s">
        <v>27</v>
      </c>
      <c r="D7" s="27"/>
      <c r="F7" s="35"/>
      <c r="H7" s="31"/>
      <c r="I7" s="13"/>
      <c r="J7" s="35"/>
      <c r="L7" s="35">
        <v>3500</v>
      </c>
      <c r="M7" s="35"/>
      <c r="N7" s="35"/>
      <c r="P7" s="27"/>
      <c r="T7" s="31"/>
      <c r="U7" s="13"/>
      <c r="Z7" s="31"/>
      <c r="AA7" s="13"/>
      <c r="AB7" s="31"/>
      <c r="AC7" s="15"/>
    </row>
    <row r="8" spans="1:29" x14ac:dyDescent="0.25">
      <c r="A8" s="311"/>
      <c r="B8" s="20">
        <v>46098</v>
      </c>
      <c r="C8" s="20" t="s">
        <v>27</v>
      </c>
      <c r="D8" s="27"/>
      <c r="F8" s="35"/>
      <c r="H8" s="31"/>
      <c r="I8" s="13"/>
      <c r="J8" s="35"/>
      <c r="L8" s="35">
        <v>3500</v>
      </c>
      <c r="M8" s="35"/>
      <c r="N8" s="35"/>
      <c r="O8" s="14"/>
      <c r="P8" s="27"/>
      <c r="T8" s="31"/>
      <c r="U8" s="13"/>
      <c r="Z8" s="31"/>
      <c r="AA8" s="13"/>
      <c r="AB8" s="31"/>
      <c r="AC8" s="15"/>
    </row>
    <row r="9" spans="1:29" x14ac:dyDescent="0.25">
      <c r="A9" s="311"/>
      <c r="B9" s="20">
        <v>46098</v>
      </c>
      <c r="C9" s="82" t="s">
        <v>46</v>
      </c>
      <c r="D9" s="27"/>
      <c r="F9" s="35"/>
      <c r="H9" s="31"/>
      <c r="I9" s="13"/>
      <c r="J9" s="35"/>
      <c r="L9" s="35">
        <v>4500</v>
      </c>
      <c r="M9" s="35"/>
      <c r="N9" s="35"/>
      <c r="O9" s="14"/>
      <c r="P9" s="27"/>
      <c r="T9" s="31"/>
      <c r="U9" s="13"/>
      <c r="Z9" s="31"/>
      <c r="AA9" s="13"/>
      <c r="AB9" s="31"/>
      <c r="AC9" s="15"/>
    </row>
    <row r="10" spans="1:29" x14ac:dyDescent="0.25">
      <c r="A10" s="311"/>
      <c r="B10" s="20">
        <v>46099</v>
      </c>
      <c r="C10" s="20" t="s">
        <v>27</v>
      </c>
      <c r="D10" s="27"/>
      <c r="F10" s="35"/>
      <c r="H10" s="31"/>
      <c r="I10" s="13"/>
      <c r="J10" s="35"/>
      <c r="L10" s="35">
        <v>3500</v>
      </c>
      <c r="M10" s="35"/>
      <c r="N10" s="35"/>
      <c r="O10" s="14"/>
      <c r="P10" s="27"/>
      <c r="T10" s="31"/>
      <c r="U10" s="13"/>
      <c r="Z10" s="31"/>
      <c r="AA10" s="13"/>
      <c r="AB10" s="31"/>
      <c r="AC10" s="15"/>
    </row>
    <row r="11" spans="1:29" x14ac:dyDescent="0.25">
      <c r="A11" s="311"/>
      <c r="B11" s="20">
        <v>46099</v>
      </c>
      <c r="C11" s="82" t="s">
        <v>46</v>
      </c>
      <c r="D11" s="27"/>
      <c r="F11" s="35"/>
      <c r="H11" s="31"/>
      <c r="I11" s="13"/>
      <c r="J11" s="35"/>
      <c r="L11" s="35"/>
      <c r="M11" s="35"/>
      <c r="N11" s="35"/>
      <c r="O11" s="14" t="s">
        <v>139</v>
      </c>
      <c r="P11" s="27">
        <v>1400</v>
      </c>
      <c r="T11" s="31"/>
      <c r="U11" s="13"/>
      <c r="Z11" s="31"/>
      <c r="AA11" s="13"/>
      <c r="AB11" s="31"/>
      <c r="AC11" s="15"/>
    </row>
    <row r="12" spans="1:29" x14ac:dyDescent="0.25">
      <c r="A12" s="311"/>
      <c r="B12" s="20">
        <v>46100</v>
      </c>
      <c r="C12" s="82" t="s">
        <v>46</v>
      </c>
      <c r="D12" s="27"/>
      <c r="F12" s="35"/>
      <c r="H12" s="31"/>
      <c r="I12" s="13"/>
      <c r="J12" s="35"/>
      <c r="L12" s="35">
        <v>4500</v>
      </c>
      <c r="M12" s="35"/>
      <c r="N12" s="35"/>
      <c r="O12" s="14"/>
      <c r="P12" s="27"/>
      <c r="T12" s="31"/>
      <c r="U12" s="13"/>
      <c r="Z12" s="31"/>
      <c r="AA12" s="13"/>
      <c r="AB12" s="31"/>
      <c r="AC12" s="15"/>
    </row>
    <row r="13" spans="1:29" x14ac:dyDescent="0.25">
      <c r="A13" s="311"/>
      <c r="B13" s="20">
        <v>46100</v>
      </c>
      <c r="C13" s="82" t="s">
        <v>314</v>
      </c>
      <c r="D13" s="27"/>
      <c r="F13" s="35"/>
      <c r="H13" s="31"/>
      <c r="I13" s="13"/>
      <c r="J13" s="35"/>
      <c r="L13" s="35"/>
      <c r="M13" s="35">
        <v>36</v>
      </c>
      <c r="N13" s="35"/>
      <c r="O13" s="14"/>
      <c r="P13" s="27"/>
      <c r="T13" s="31"/>
      <c r="U13" s="13"/>
      <c r="Z13" s="31"/>
      <c r="AA13" s="13"/>
      <c r="AB13" s="31"/>
      <c r="AC13" s="15"/>
    </row>
    <row r="14" spans="1:29" x14ac:dyDescent="0.25">
      <c r="A14" s="311"/>
      <c r="B14" s="20">
        <v>46100</v>
      </c>
      <c r="C14" s="82" t="s">
        <v>181</v>
      </c>
      <c r="D14" s="27"/>
      <c r="F14" s="35"/>
      <c r="H14" s="31"/>
      <c r="I14" s="13"/>
      <c r="J14" s="35"/>
      <c r="L14" s="35">
        <v>14000</v>
      </c>
      <c r="M14" s="35"/>
      <c r="N14" s="35"/>
      <c r="O14" s="14"/>
      <c r="P14" s="27"/>
      <c r="T14" s="31"/>
      <c r="U14" s="13"/>
      <c r="Z14" s="31"/>
      <c r="AA14" s="13"/>
      <c r="AB14" s="31"/>
      <c r="AC14" s="15"/>
    </row>
    <row r="15" spans="1:29" x14ac:dyDescent="0.25">
      <c r="A15" s="311"/>
      <c r="B15" s="20">
        <v>46101</v>
      </c>
      <c r="C15" s="82" t="s">
        <v>46</v>
      </c>
      <c r="D15" s="27">
        <v>4000</v>
      </c>
      <c r="F15" s="35"/>
      <c r="H15" s="31"/>
      <c r="I15" s="13"/>
      <c r="J15" s="35"/>
      <c r="L15" s="35"/>
      <c r="M15" s="35"/>
      <c r="N15" s="35"/>
      <c r="O15" s="14"/>
      <c r="P15" s="27"/>
      <c r="T15" s="31"/>
      <c r="U15" s="13"/>
      <c r="Z15" s="31"/>
      <c r="AA15" s="13"/>
      <c r="AB15" s="31"/>
      <c r="AC15" s="15"/>
    </row>
    <row r="16" spans="1:29" x14ac:dyDescent="0.25">
      <c r="A16" s="311"/>
      <c r="B16" s="20">
        <v>46101</v>
      </c>
      <c r="C16" s="82" t="s">
        <v>27</v>
      </c>
      <c r="D16" s="27"/>
      <c r="F16" s="35"/>
      <c r="H16" s="31"/>
      <c r="I16" s="13"/>
      <c r="J16" s="35">
        <v>3000</v>
      </c>
      <c r="L16" s="35"/>
      <c r="M16" s="35"/>
      <c r="N16" s="35"/>
      <c r="O16" s="14"/>
      <c r="P16" s="27"/>
      <c r="T16" s="31"/>
      <c r="U16" s="13"/>
      <c r="Z16" s="31"/>
      <c r="AA16" s="13"/>
      <c r="AB16" s="31"/>
      <c r="AC16" s="15"/>
    </row>
    <row r="17" spans="1:29" x14ac:dyDescent="0.25">
      <c r="A17" s="311"/>
      <c r="B17" s="20">
        <v>46102</v>
      </c>
      <c r="C17" s="82" t="s">
        <v>46</v>
      </c>
      <c r="D17" s="27"/>
      <c r="F17" s="35"/>
      <c r="H17" s="31"/>
      <c r="I17" s="13"/>
      <c r="J17" s="35"/>
      <c r="L17" s="35"/>
      <c r="M17" s="35"/>
      <c r="N17" s="35"/>
      <c r="O17" s="14"/>
      <c r="P17" s="27"/>
      <c r="S17">
        <v>1000</v>
      </c>
      <c r="T17" s="31"/>
      <c r="U17" s="13"/>
      <c r="Z17" s="31"/>
      <c r="AA17" s="13"/>
      <c r="AB17" s="31"/>
      <c r="AC17" s="15"/>
    </row>
    <row r="18" spans="1:29" x14ac:dyDescent="0.25">
      <c r="A18" s="311"/>
      <c r="B18" s="146"/>
      <c r="C18" s="147"/>
      <c r="D18" s="145"/>
      <c r="F18" s="35"/>
      <c r="H18" s="31"/>
      <c r="I18" s="13"/>
      <c r="J18" s="35"/>
      <c r="L18" s="35"/>
      <c r="M18" s="35"/>
      <c r="N18" s="35"/>
      <c r="O18" s="14"/>
      <c r="P18" s="27"/>
      <c r="T18" s="31"/>
      <c r="U18" s="13"/>
      <c r="Z18" s="31"/>
      <c r="AA18" s="13"/>
      <c r="AB18" s="31"/>
      <c r="AC18" s="15"/>
    </row>
    <row r="19" spans="1:29" x14ac:dyDescent="0.25">
      <c r="A19" s="311"/>
      <c r="B19" s="146"/>
      <c r="C19" s="147"/>
      <c r="D19" s="145"/>
      <c r="F19" s="35"/>
      <c r="H19" s="31"/>
      <c r="I19" s="13"/>
      <c r="J19" s="35"/>
      <c r="L19" s="35"/>
      <c r="M19" s="35"/>
      <c r="N19" s="35"/>
      <c r="O19" s="14"/>
      <c r="P19" s="27"/>
      <c r="T19" s="31"/>
      <c r="U19" s="13">
        <v>28</v>
      </c>
      <c r="Z19" s="31"/>
      <c r="AA19" s="13"/>
      <c r="AB19" s="31"/>
      <c r="AC19" s="15"/>
    </row>
    <row r="20" spans="1:29" ht="15.75" thickBot="1" x14ac:dyDescent="0.3">
      <c r="A20" s="312"/>
      <c r="B20" s="72"/>
      <c r="C20" s="17" t="s">
        <v>46</v>
      </c>
      <c r="D20" s="28"/>
      <c r="E20" s="18"/>
      <c r="F20" s="36"/>
      <c r="G20" s="18"/>
      <c r="H20" s="32"/>
      <c r="I20" s="16"/>
      <c r="J20" s="36"/>
      <c r="K20" s="18"/>
      <c r="L20" s="36"/>
      <c r="M20" s="36"/>
      <c r="N20" s="36"/>
      <c r="O20" s="17"/>
      <c r="P20" s="28"/>
      <c r="Q20" s="18"/>
      <c r="R20" s="18"/>
      <c r="S20" s="18"/>
      <c r="T20" s="32"/>
      <c r="U20" s="16">
        <v>1000</v>
      </c>
      <c r="V20" s="18"/>
      <c r="W20" s="18"/>
      <c r="X20" s="18"/>
      <c r="Y20" s="18"/>
      <c r="Z20" s="32"/>
      <c r="AA20" s="16"/>
      <c r="AB20" s="32"/>
      <c r="AC20" s="19"/>
    </row>
    <row r="21" spans="1:29" x14ac:dyDescent="0.25">
      <c r="A21" s="310" t="s">
        <v>62</v>
      </c>
      <c r="B21" s="20"/>
      <c r="C21" s="14"/>
      <c r="D21" s="27"/>
      <c r="F21" s="35"/>
      <c r="H21" s="31"/>
      <c r="I21" s="13"/>
      <c r="J21" s="35"/>
      <c r="L21" s="35"/>
      <c r="M21" s="35"/>
      <c r="N21" s="35"/>
      <c r="O21" s="14"/>
      <c r="P21" s="27"/>
      <c r="T21" s="31"/>
      <c r="U21" s="13"/>
      <c r="Z21" s="31"/>
      <c r="AA21" s="13"/>
      <c r="AB21" s="31"/>
      <c r="AC21" s="15"/>
    </row>
    <row r="22" spans="1:29" x14ac:dyDescent="0.25">
      <c r="A22" s="311"/>
      <c r="B22" s="20"/>
      <c r="C22" s="14"/>
      <c r="D22" s="27"/>
      <c r="F22" s="35"/>
      <c r="H22" s="31"/>
      <c r="I22" s="13"/>
      <c r="J22" s="35"/>
      <c r="L22" s="35"/>
      <c r="M22" s="35"/>
      <c r="N22" s="35"/>
      <c r="O22" s="14"/>
      <c r="P22" s="27"/>
      <c r="T22" s="31"/>
      <c r="U22" s="13"/>
      <c r="Z22" s="31"/>
      <c r="AA22" s="13"/>
      <c r="AB22" s="31"/>
      <c r="AC22" s="15"/>
    </row>
    <row r="23" spans="1:29" x14ac:dyDescent="0.25">
      <c r="A23" s="311"/>
      <c r="B23" s="20">
        <v>46096</v>
      </c>
      <c r="C23" s="14" t="s">
        <v>295</v>
      </c>
      <c r="D23" s="27"/>
      <c r="F23" s="35">
        <v>25</v>
      </c>
      <c r="H23" s="31"/>
      <c r="I23" s="13"/>
      <c r="J23" s="35"/>
      <c r="L23" s="35"/>
      <c r="M23" s="35"/>
      <c r="N23" s="35"/>
      <c r="O23" s="14"/>
      <c r="P23" s="27"/>
      <c r="T23" s="31"/>
      <c r="U23" s="13"/>
      <c r="Z23" s="31"/>
      <c r="AA23" s="13"/>
      <c r="AB23" s="31"/>
      <c r="AC23" s="15"/>
    </row>
    <row r="24" spans="1:29" x14ac:dyDescent="0.25">
      <c r="A24" s="311"/>
      <c r="B24" s="20">
        <v>46096</v>
      </c>
      <c r="C24" s="14" t="s">
        <v>296</v>
      </c>
      <c r="D24" s="27"/>
      <c r="F24" s="35">
        <v>10</v>
      </c>
      <c r="H24" s="31"/>
      <c r="I24" s="13"/>
      <c r="J24" s="35"/>
      <c r="L24" s="35"/>
      <c r="M24" s="35"/>
      <c r="N24" s="35"/>
      <c r="O24" s="14"/>
      <c r="P24" s="27"/>
      <c r="T24" s="31"/>
      <c r="U24" s="13"/>
      <c r="Z24" s="31"/>
      <c r="AA24" s="13"/>
      <c r="AB24" s="31"/>
      <c r="AC24" s="15"/>
    </row>
    <row r="25" spans="1:29" x14ac:dyDescent="0.25">
      <c r="A25" s="311"/>
      <c r="B25" s="20">
        <v>46096</v>
      </c>
      <c r="C25" s="14" t="s">
        <v>297</v>
      </c>
      <c r="D25" s="27"/>
      <c r="F25" s="35">
        <v>1500</v>
      </c>
      <c r="H25" s="31"/>
      <c r="I25" s="13"/>
      <c r="J25" s="35"/>
      <c r="L25" s="35"/>
      <c r="M25" s="35"/>
      <c r="N25" s="35"/>
      <c r="O25" s="14"/>
      <c r="P25" s="27"/>
      <c r="T25" s="31"/>
      <c r="U25" s="13"/>
      <c r="Z25" s="31"/>
      <c r="AA25" s="13"/>
      <c r="AB25" s="31"/>
      <c r="AC25" s="15"/>
    </row>
    <row r="26" spans="1:29" x14ac:dyDescent="0.25">
      <c r="A26" s="311"/>
      <c r="B26" s="20">
        <v>46096</v>
      </c>
      <c r="C26" s="14" t="s">
        <v>298</v>
      </c>
      <c r="D26" s="27"/>
      <c r="F26" s="35"/>
      <c r="H26" s="31"/>
      <c r="I26" s="13"/>
      <c r="J26" s="35">
        <v>1000</v>
      </c>
      <c r="L26" s="35"/>
      <c r="M26" s="35"/>
      <c r="N26" s="35"/>
      <c r="O26" s="14"/>
      <c r="P26" s="27"/>
      <c r="T26" s="31"/>
      <c r="U26" s="13"/>
      <c r="Z26" s="31"/>
      <c r="AA26" s="13"/>
      <c r="AB26" s="31"/>
      <c r="AC26" s="15"/>
    </row>
    <row r="27" spans="1:29" x14ac:dyDescent="0.25">
      <c r="A27" s="311"/>
      <c r="B27" s="20">
        <v>46097</v>
      </c>
      <c r="C27" s="14" t="s">
        <v>51</v>
      </c>
      <c r="D27" s="83"/>
      <c r="F27" s="52"/>
      <c r="H27" s="105"/>
      <c r="I27" s="13"/>
      <c r="J27" s="52"/>
      <c r="L27" s="35">
        <v>1300</v>
      </c>
      <c r="M27" s="52"/>
      <c r="N27" s="52"/>
      <c r="O27" s="14"/>
      <c r="P27" s="83"/>
      <c r="T27" s="105"/>
      <c r="U27" s="13"/>
      <c r="Z27" s="105"/>
      <c r="AA27" s="83"/>
      <c r="AB27" s="105"/>
      <c r="AC27" s="115"/>
    </row>
    <row r="28" spans="1:29" x14ac:dyDescent="0.25">
      <c r="A28" s="311"/>
      <c r="B28" s="20">
        <v>46097</v>
      </c>
      <c r="C28" s="14" t="s">
        <v>299</v>
      </c>
      <c r="D28" s="27"/>
      <c r="F28" s="35">
        <v>100</v>
      </c>
      <c r="H28" s="31"/>
      <c r="I28" s="13"/>
      <c r="J28" s="35"/>
      <c r="L28" s="35"/>
      <c r="M28" s="35"/>
      <c r="N28" s="35"/>
      <c r="O28" s="14"/>
      <c r="P28" s="27"/>
      <c r="T28" s="31"/>
      <c r="U28" s="13"/>
      <c r="Z28" s="31"/>
      <c r="AA28" s="13"/>
      <c r="AB28" s="31"/>
      <c r="AC28" s="15"/>
    </row>
    <row r="29" spans="1:29" x14ac:dyDescent="0.25">
      <c r="A29" s="311"/>
      <c r="B29" s="20">
        <v>46099</v>
      </c>
      <c r="C29" s="14" t="s">
        <v>302</v>
      </c>
      <c r="D29" s="27">
        <v>3000</v>
      </c>
      <c r="F29" s="35"/>
      <c r="H29" s="31"/>
      <c r="I29" s="13"/>
      <c r="J29" s="35"/>
      <c r="L29" s="35"/>
      <c r="M29" s="35"/>
      <c r="N29" s="35"/>
      <c r="O29" s="14"/>
      <c r="P29" s="27"/>
      <c r="T29" s="31"/>
      <c r="U29" s="13"/>
      <c r="Z29" s="31"/>
      <c r="AA29" s="13"/>
      <c r="AB29" s="31"/>
      <c r="AC29" s="15"/>
    </row>
    <row r="30" spans="1:29" x14ac:dyDescent="0.25">
      <c r="A30" s="311"/>
      <c r="B30" s="20">
        <v>46099</v>
      </c>
      <c r="C30" s="14" t="s">
        <v>303</v>
      </c>
      <c r="D30" s="27">
        <v>500</v>
      </c>
      <c r="F30" s="35"/>
      <c r="H30" s="31"/>
      <c r="I30" s="13"/>
      <c r="J30" s="35"/>
      <c r="L30" s="35"/>
      <c r="M30" s="35"/>
      <c r="N30" s="35"/>
      <c r="O30" s="14"/>
      <c r="P30" s="27"/>
      <c r="S30">
        <v>250</v>
      </c>
      <c r="T30" s="31"/>
      <c r="U30" s="13"/>
      <c r="Z30" s="31"/>
      <c r="AA30" s="13"/>
      <c r="AB30" s="31"/>
      <c r="AC30" s="15"/>
    </row>
    <row r="31" spans="1:29" x14ac:dyDescent="0.25">
      <c r="A31" s="311"/>
      <c r="B31" s="20">
        <v>46099</v>
      </c>
      <c r="C31" s="14" t="s">
        <v>299</v>
      </c>
      <c r="D31" s="27"/>
      <c r="F31" s="35">
        <v>30</v>
      </c>
      <c r="H31" s="31"/>
      <c r="I31" s="13"/>
      <c r="J31" s="35"/>
      <c r="L31" s="35"/>
      <c r="M31" s="35"/>
      <c r="N31" s="35"/>
      <c r="O31" s="14"/>
      <c r="P31" s="27"/>
      <c r="T31" s="31"/>
      <c r="U31" s="13"/>
      <c r="Z31" s="31"/>
      <c r="AA31" s="13"/>
      <c r="AB31" s="31"/>
      <c r="AC31" s="15"/>
    </row>
    <row r="32" spans="1:29" x14ac:dyDescent="0.25">
      <c r="A32" s="311"/>
      <c r="B32" s="20">
        <v>46099</v>
      </c>
      <c r="C32" s="14" t="s">
        <v>304</v>
      </c>
      <c r="D32" s="27"/>
      <c r="F32" s="35"/>
      <c r="H32" s="31"/>
      <c r="I32" s="13"/>
      <c r="J32" s="35"/>
      <c r="L32" s="35">
        <v>1000</v>
      </c>
      <c r="M32" s="35"/>
      <c r="N32" s="35"/>
      <c r="O32" s="14"/>
      <c r="P32" s="27"/>
      <c r="T32" s="31"/>
      <c r="U32" s="13"/>
      <c r="Z32" s="31"/>
      <c r="AA32" s="13"/>
      <c r="AB32" s="31"/>
      <c r="AC32" s="15"/>
    </row>
    <row r="33" spans="1:159" x14ac:dyDescent="0.25">
      <c r="A33" s="311"/>
      <c r="B33" s="20">
        <v>46099</v>
      </c>
      <c r="C33" s="14" t="s">
        <v>305</v>
      </c>
      <c r="D33" s="27"/>
      <c r="F33" s="35"/>
      <c r="H33" s="31"/>
      <c r="I33" s="13"/>
      <c r="J33" s="35"/>
      <c r="L33" s="35"/>
      <c r="M33" s="35">
        <v>1000</v>
      </c>
      <c r="N33" s="35"/>
      <c r="O33" s="14"/>
      <c r="P33" s="27"/>
      <c r="T33" s="31"/>
      <c r="U33" s="13"/>
      <c r="Z33" s="31"/>
      <c r="AA33" s="13"/>
      <c r="AB33" s="31"/>
      <c r="AC33" s="15"/>
    </row>
    <row r="34" spans="1:159" x14ac:dyDescent="0.25">
      <c r="A34" s="311"/>
      <c r="B34" s="20">
        <v>46099</v>
      </c>
      <c r="C34" s="14" t="s">
        <v>306</v>
      </c>
      <c r="D34" s="27"/>
      <c r="F34" s="35"/>
      <c r="H34" s="31"/>
      <c r="I34" s="13"/>
      <c r="J34" s="35"/>
      <c r="L34" s="35">
        <v>2000</v>
      </c>
      <c r="M34" s="35"/>
      <c r="N34" s="35"/>
      <c r="O34" s="14"/>
      <c r="P34" s="27"/>
      <c r="T34" s="31"/>
      <c r="U34" s="13"/>
      <c r="Z34" s="31"/>
      <c r="AA34" s="13"/>
      <c r="AB34" s="31"/>
      <c r="AC34" s="15"/>
    </row>
    <row r="35" spans="1:159" s="112" customFormat="1" x14ac:dyDescent="0.25">
      <c r="A35" s="311"/>
      <c r="B35" s="20">
        <v>46099</v>
      </c>
      <c r="C35" s="14" t="s">
        <v>307</v>
      </c>
      <c r="D35" s="27"/>
      <c r="E35"/>
      <c r="F35" s="35"/>
      <c r="G35"/>
      <c r="H35" s="31"/>
      <c r="I35" s="13"/>
      <c r="J35" s="35"/>
      <c r="K35"/>
      <c r="L35" s="35"/>
      <c r="M35" s="35"/>
      <c r="N35" s="35"/>
      <c r="O35" s="14"/>
      <c r="P35" s="27"/>
      <c r="Q35"/>
      <c r="R35"/>
      <c r="S35">
        <v>1000</v>
      </c>
      <c r="T35" s="31"/>
      <c r="U35" s="13"/>
      <c r="V35"/>
      <c r="W35"/>
      <c r="X35"/>
      <c r="Y35"/>
      <c r="Z35" s="31"/>
      <c r="AA35" s="13"/>
      <c r="AB35" s="31"/>
      <c r="AC35" s="1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</row>
    <row r="36" spans="1:159" x14ac:dyDescent="0.25">
      <c r="A36" s="311"/>
      <c r="B36" s="20">
        <v>46099</v>
      </c>
      <c r="C36" s="14" t="s">
        <v>308</v>
      </c>
      <c r="D36" s="27"/>
      <c r="F36" s="35"/>
      <c r="H36" s="31"/>
      <c r="I36" s="13"/>
      <c r="J36" s="35"/>
      <c r="L36" s="35"/>
      <c r="M36" s="35"/>
      <c r="N36" s="35"/>
      <c r="O36" s="14"/>
      <c r="P36" s="27"/>
      <c r="S36">
        <v>200</v>
      </c>
      <c r="T36" s="31"/>
      <c r="U36" s="13"/>
      <c r="Z36" s="31"/>
      <c r="AA36" s="13"/>
      <c r="AB36" s="31"/>
      <c r="AC36" s="15"/>
    </row>
    <row r="37" spans="1:159" x14ac:dyDescent="0.25">
      <c r="A37" s="311"/>
      <c r="B37" s="20">
        <v>46099</v>
      </c>
      <c r="C37" s="14" t="s">
        <v>309</v>
      </c>
      <c r="D37" s="27"/>
      <c r="F37" s="35"/>
      <c r="H37" s="31"/>
      <c r="I37" s="13"/>
      <c r="J37" s="35"/>
      <c r="L37" s="35"/>
      <c r="M37" s="35"/>
      <c r="N37" s="35"/>
      <c r="O37" s="14"/>
      <c r="P37" s="27"/>
      <c r="T37" s="31"/>
      <c r="U37" s="13">
        <v>60</v>
      </c>
      <c r="Z37" s="31"/>
      <c r="AA37" s="13"/>
      <c r="AB37" s="31"/>
      <c r="AC37" s="15"/>
      <c r="AH37">
        <f>500*2.9</f>
        <v>1450</v>
      </c>
    </row>
    <row r="38" spans="1:159" x14ac:dyDescent="0.25">
      <c r="A38" s="311"/>
      <c r="B38" s="20">
        <v>46099</v>
      </c>
      <c r="C38" s="14" t="s">
        <v>311</v>
      </c>
      <c r="D38" s="27"/>
      <c r="F38" s="35"/>
      <c r="H38" s="31"/>
      <c r="I38" s="13"/>
      <c r="J38" s="35"/>
      <c r="L38" s="35"/>
      <c r="M38" s="35"/>
      <c r="N38" s="35"/>
      <c r="O38" s="14"/>
      <c r="P38" s="27">
        <v>1400</v>
      </c>
      <c r="T38" s="31"/>
      <c r="U38" s="13"/>
      <c r="Z38" s="31"/>
      <c r="AA38" s="13"/>
      <c r="AB38" s="31"/>
      <c r="AC38" s="15"/>
    </row>
    <row r="39" spans="1:159" x14ac:dyDescent="0.25">
      <c r="A39" s="311"/>
      <c r="B39" s="20">
        <v>46100</v>
      </c>
      <c r="C39" s="14" t="s">
        <v>319</v>
      </c>
      <c r="D39" s="27">
        <v>500</v>
      </c>
      <c r="F39" s="35"/>
      <c r="H39" s="31"/>
      <c r="I39" s="13"/>
      <c r="J39" s="35"/>
      <c r="L39" s="35"/>
      <c r="M39" s="35"/>
      <c r="N39" s="35"/>
      <c r="O39" s="14"/>
      <c r="P39" s="27"/>
      <c r="T39" s="31"/>
      <c r="U39" s="13"/>
      <c r="Z39" s="31"/>
      <c r="AA39" s="13"/>
      <c r="AB39" s="31"/>
      <c r="AC39" s="15"/>
    </row>
    <row r="40" spans="1:159" x14ac:dyDescent="0.25">
      <c r="A40" s="311"/>
      <c r="B40" s="20">
        <v>46100</v>
      </c>
      <c r="C40" s="14" t="s">
        <v>320</v>
      </c>
      <c r="D40" s="27">
        <v>1428</v>
      </c>
      <c r="F40" s="35">
        <v>72</v>
      </c>
      <c r="H40" s="31"/>
      <c r="I40" s="13"/>
      <c r="J40" s="35"/>
      <c r="L40" s="35"/>
      <c r="M40" s="35"/>
      <c r="N40" s="35"/>
      <c r="O40" s="14"/>
      <c r="P40" s="27"/>
      <c r="T40" s="31"/>
      <c r="U40" s="13"/>
      <c r="Z40" s="31"/>
      <c r="AA40" s="13"/>
      <c r="AB40" s="31"/>
      <c r="AC40" s="15"/>
    </row>
    <row r="41" spans="1:159" x14ac:dyDescent="0.25">
      <c r="A41" s="311"/>
      <c r="B41" s="20">
        <v>46100</v>
      </c>
      <c r="C41" s="14" t="s">
        <v>321</v>
      </c>
      <c r="D41" s="27"/>
      <c r="F41" s="35"/>
      <c r="H41" s="31"/>
      <c r="I41" s="13"/>
      <c r="J41" s="35"/>
      <c r="L41" s="35">
        <v>1000</v>
      </c>
      <c r="M41" s="35"/>
      <c r="N41" s="35"/>
      <c r="O41" s="14"/>
      <c r="P41" s="27"/>
      <c r="T41" s="31"/>
      <c r="U41" s="13"/>
      <c r="Z41" s="31"/>
      <c r="AA41" s="13"/>
      <c r="AB41" s="31"/>
      <c r="AC41" s="15"/>
    </row>
    <row r="42" spans="1:159" x14ac:dyDescent="0.25">
      <c r="A42" s="311"/>
      <c r="B42" s="20">
        <v>46100</v>
      </c>
      <c r="C42" s="14" t="s">
        <v>322</v>
      </c>
      <c r="D42" s="27"/>
      <c r="F42" s="35"/>
      <c r="H42" s="31"/>
      <c r="I42" s="13"/>
      <c r="J42" s="35"/>
      <c r="L42" s="35">
        <v>1000</v>
      </c>
      <c r="M42" s="35"/>
      <c r="N42" s="35"/>
      <c r="O42" s="14"/>
      <c r="P42" s="27"/>
      <c r="T42" s="31"/>
      <c r="U42" s="13"/>
      <c r="Z42" s="31"/>
      <c r="AA42" s="13"/>
      <c r="AB42" s="31"/>
      <c r="AC42" s="15"/>
      <c r="AG42">
        <f>250*0.58</f>
        <v>145</v>
      </c>
    </row>
    <row r="43" spans="1:159" x14ac:dyDescent="0.25">
      <c r="A43" s="311"/>
      <c r="B43" s="20">
        <v>46100</v>
      </c>
      <c r="C43" s="14" t="s">
        <v>323</v>
      </c>
      <c r="D43" s="27"/>
      <c r="F43" s="35"/>
      <c r="H43" s="31"/>
      <c r="I43" s="13"/>
      <c r="J43" s="35"/>
      <c r="L43" s="35"/>
      <c r="M43" s="35"/>
      <c r="N43" s="35"/>
      <c r="O43" s="14"/>
      <c r="P43" s="27"/>
      <c r="S43">
        <v>25</v>
      </c>
      <c r="T43" s="31">
        <v>35</v>
      </c>
      <c r="U43" s="13"/>
      <c r="Z43" s="31"/>
      <c r="AA43" s="13"/>
      <c r="AB43" s="31"/>
      <c r="AC43" s="15"/>
    </row>
    <row r="44" spans="1:159" x14ac:dyDescent="0.25">
      <c r="A44" s="311"/>
      <c r="B44" s="20">
        <v>46100</v>
      </c>
      <c r="C44" s="14" t="s">
        <v>324</v>
      </c>
      <c r="D44" s="27"/>
      <c r="F44" s="35"/>
      <c r="H44" s="31"/>
      <c r="I44" s="13"/>
      <c r="J44" s="35"/>
      <c r="L44" s="35"/>
      <c r="M44" s="35"/>
      <c r="N44" s="35"/>
      <c r="O44" s="14"/>
      <c r="P44" s="27"/>
      <c r="T44" s="31"/>
      <c r="U44" s="13"/>
      <c r="X44">
        <v>70</v>
      </c>
      <c r="Z44" s="31"/>
      <c r="AA44" s="13"/>
      <c r="AB44" s="31"/>
      <c r="AC44" s="15"/>
    </row>
    <row r="45" spans="1:159" x14ac:dyDescent="0.25">
      <c r="A45" s="311"/>
      <c r="B45" s="20">
        <v>46101</v>
      </c>
      <c r="C45" s="14" t="s">
        <v>331</v>
      </c>
      <c r="D45" s="27">
        <v>1000</v>
      </c>
      <c r="F45" s="35"/>
      <c r="H45" s="31"/>
      <c r="I45" s="13"/>
      <c r="J45" s="35"/>
      <c r="L45" s="35"/>
      <c r="M45" s="35"/>
      <c r="N45" s="35"/>
      <c r="O45" s="14"/>
      <c r="P45" s="27"/>
      <c r="T45" s="31"/>
      <c r="U45" s="13"/>
      <c r="Z45" s="31"/>
      <c r="AA45" s="13"/>
      <c r="AB45" s="31"/>
      <c r="AC45" s="15"/>
    </row>
    <row r="46" spans="1:159" x14ac:dyDescent="0.25">
      <c r="A46" s="311"/>
      <c r="B46" s="20">
        <v>46101</v>
      </c>
      <c r="C46" s="14" t="s">
        <v>332</v>
      </c>
      <c r="D46" s="27">
        <v>18</v>
      </c>
      <c r="F46" s="35"/>
      <c r="H46" s="31"/>
      <c r="I46" s="13"/>
      <c r="J46" s="35"/>
      <c r="L46" s="35"/>
      <c r="M46" s="35"/>
      <c r="N46" s="35"/>
      <c r="O46" s="14"/>
      <c r="P46" s="27"/>
      <c r="T46" s="31"/>
      <c r="U46" s="13"/>
      <c r="Z46" s="31"/>
      <c r="AA46" s="13"/>
      <c r="AB46" s="31"/>
      <c r="AC46" s="15"/>
    </row>
    <row r="47" spans="1:159" x14ac:dyDescent="0.25">
      <c r="A47" s="311"/>
      <c r="B47" s="20">
        <v>46101</v>
      </c>
      <c r="C47" s="14" t="s">
        <v>296</v>
      </c>
      <c r="D47" s="27">
        <v>80</v>
      </c>
      <c r="F47" s="35"/>
      <c r="H47" s="31"/>
      <c r="I47" s="13"/>
      <c r="J47" s="35"/>
      <c r="L47" s="35"/>
      <c r="M47" s="35"/>
      <c r="N47" s="35"/>
      <c r="O47" s="14"/>
      <c r="P47" s="27"/>
      <c r="T47" s="31"/>
      <c r="U47" s="13"/>
      <c r="Z47" s="31"/>
      <c r="AA47" s="13"/>
      <c r="AB47" s="31"/>
      <c r="AC47" s="15"/>
    </row>
    <row r="48" spans="1:159" x14ac:dyDescent="0.25">
      <c r="A48" s="311"/>
      <c r="B48" s="20">
        <v>46102</v>
      </c>
      <c r="C48" s="14" t="s">
        <v>336</v>
      </c>
      <c r="D48" s="27"/>
      <c r="F48" s="35"/>
      <c r="H48" s="31"/>
      <c r="I48" s="13"/>
      <c r="J48" s="35">
        <v>2000</v>
      </c>
      <c r="L48" s="35"/>
      <c r="M48" s="35"/>
      <c r="N48" s="35"/>
      <c r="O48" s="14"/>
      <c r="P48" s="27"/>
      <c r="T48" s="31"/>
      <c r="U48" s="13"/>
      <c r="Z48" s="31"/>
      <c r="AA48" s="13"/>
      <c r="AB48" s="31"/>
      <c r="AC48" s="15"/>
      <c r="AF48">
        <f>500*1.9</f>
        <v>950</v>
      </c>
    </row>
    <row r="49" spans="1:238" x14ac:dyDescent="0.25">
      <c r="A49" s="311"/>
      <c r="B49" s="20"/>
      <c r="C49" s="14"/>
      <c r="D49" s="27">
        <v>500</v>
      </c>
      <c r="F49" s="35"/>
      <c r="H49" s="31"/>
      <c r="I49" s="13"/>
      <c r="J49" s="35"/>
      <c r="L49" s="35"/>
      <c r="M49" s="35"/>
      <c r="N49" s="35"/>
      <c r="O49" s="14"/>
      <c r="P49" s="27"/>
      <c r="T49" s="31"/>
      <c r="U49" s="13"/>
      <c r="Z49" s="31"/>
      <c r="AA49" s="13"/>
      <c r="AB49" s="31"/>
      <c r="AC49" s="15"/>
    </row>
    <row r="50" spans="1:238" x14ac:dyDescent="0.25">
      <c r="A50" s="311"/>
      <c r="B50" s="20"/>
      <c r="C50" s="14"/>
      <c r="D50" s="27">
        <v>70</v>
      </c>
      <c r="F50" s="35"/>
      <c r="H50" s="31"/>
      <c r="I50" s="13"/>
      <c r="J50" s="35"/>
      <c r="L50" s="35"/>
      <c r="M50" s="35"/>
      <c r="N50" s="35"/>
      <c r="O50" s="14"/>
      <c r="P50" s="27"/>
      <c r="T50" s="31"/>
      <c r="U50" s="13"/>
      <c r="Z50" s="31"/>
      <c r="AA50" s="13"/>
      <c r="AB50" s="31"/>
      <c r="AC50" s="15"/>
    </row>
    <row r="51" spans="1:238" x14ac:dyDescent="0.25">
      <c r="A51" s="311"/>
      <c r="B51" s="20"/>
      <c r="C51" s="14"/>
      <c r="D51" s="27"/>
      <c r="F51" s="35"/>
      <c r="H51" s="31"/>
      <c r="I51" s="13"/>
      <c r="J51" s="35"/>
      <c r="L51" s="35"/>
      <c r="M51" s="35"/>
      <c r="N51" s="35"/>
      <c r="O51" s="14"/>
      <c r="P51" s="27"/>
      <c r="T51" s="31"/>
      <c r="U51" s="13">
        <v>20</v>
      </c>
      <c r="Z51" s="31"/>
      <c r="AA51" s="13"/>
      <c r="AB51" s="31"/>
      <c r="AC51" s="15"/>
    </row>
    <row r="52" spans="1:238" x14ac:dyDescent="0.25">
      <c r="A52" s="311"/>
      <c r="B52" s="20"/>
      <c r="C52" s="14"/>
      <c r="D52" s="27"/>
      <c r="F52" s="35"/>
      <c r="H52" s="31"/>
      <c r="I52" s="13"/>
      <c r="J52" s="35"/>
      <c r="L52" s="35"/>
      <c r="M52" s="35"/>
      <c r="N52" s="35"/>
      <c r="O52" s="14"/>
      <c r="P52" s="27"/>
      <c r="T52" s="31"/>
      <c r="U52" s="13"/>
      <c r="Z52" s="31"/>
      <c r="AA52" s="13"/>
      <c r="AB52" s="31"/>
      <c r="AC52" s="15"/>
    </row>
    <row r="53" spans="1:238" x14ac:dyDescent="0.25">
      <c r="A53" s="311"/>
      <c r="B53" s="20"/>
      <c r="C53" s="14" t="s">
        <v>384</v>
      </c>
      <c r="D53" s="27"/>
      <c r="F53" s="35"/>
      <c r="H53" s="31"/>
      <c r="I53" s="13"/>
      <c r="J53" s="35"/>
      <c r="L53" s="35"/>
      <c r="M53" s="35"/>
      <c r="N53" s="35"/>
      <c r="O53" s="14"/>
      <c r="P53" s="27"/>
      <c r="T53" s="31"/>
      <c r="U53" s="13">
        <v>32</v>
      </c>
      <c r="Z53" s="31"/>
      <c r="AA53" s="13"/>
      <c r="AB53" s="31"/>
      <c r="AC53" s="15"/>
    </row>
    <row r="54" spans="1:238" x14ac:dyDescent="0.25">
      <c r="A54" s="311"/>
      <c r="B54" s="20"/>
      <c r="C54" s="14"/>
      <c r="D54" s="27"/>
      <c r="F54" s="35"/>
      <c r="H54" s="31"/>
      <c r="I54" s="13"/>
      <c r="J54" s="35"/>
      <c r="L54" s="35"/>
      <c r="M54" s="35"/>
      <c r="N54" s="35"/>
      <c r="O54" s="14"/>
      <c r="P54" s="27"/>
      <c r="T54" s="31"/>
      <c r="U54" s="13"/>
      <c r="Z54" s="31"/>
      <c r="AA54" s="13"/>
      <c r="AB54" s="31"/>
      <c r="AC54" s="15"/>
    </row>
    <row r="55" spans="1:238" x14ac:dyDescent="0.25">
      <c r="A55" s="311"/>
      <c r="B55" s="20"/>
      <c r="C55" s="14"/>
      <c r="D55" s="27"/>
      <c r="F55" s="35"/>
      <c r="H55" s="31"/>
      <c r="I55" s="13"/>
      <c r="J55" s="35"/>
      <c r="L55" s="35"/>
      <c r="M55" s="35"/>
      <c r="N55" s="35"/>
      <c r="O55" s="14"/>
      <c r="P55" s="27"/>
      <c r="T55" s="31"/>
      <c r="U55" s="13"/>
      <c r="Z55" s="31"/>
      <c r="AA55" s="13"/>
      <c r="AB55" s="31"/>
      <c r="AC55" s="15"/>
    </row>
    <row r="56" spans="1:238" x14ac:dyDescent="0.25">
      <c r="A56" s="311"/>
      <c r="B56" s="20"/>
      <c r="C56" s="14"/>
      <c r="D56" s="27"/>
      <c r="F56" s="35"/>
      <c r="H56" s="31"/>
      <c r="I56" s="13"/>
      <c r="J56" s="35"/>
      <c r="L56" s="35"/>
      <c r="M56" s="35"/>
      <c r="N56" s="35"/>
      <c r="O56" s="14"/>
      <c r="P56" s="27"/>
      <c r="T56" s="31"/>
      <c r="U56" s="13"/>
      <c r="Z56" s="31"/>
      <c r="AA56" s="13"/>
      <c r="AB56" s="31"/>
      <c r="AC56" s="15"/>
    </row>
    <row r="57" spans="1:238" x14ac:dyDescent="0.25">
      <c r="A57" s="311"/>
      <c r="B57" s="20"/>
      <c r="C57" s="14"/>
      <c r="D57" s="27"/>
      <c r="F57" s="35"/>
      <c r="H57" s="31"/>
      <c r="I57" s="13"/>
      <c r="J57" s="35"/>
      <c r="L57" s="35"/>
      <c r="M57" s="35"/>
      <c r="N57" s="35"/>
      <c r="O57" s="14"/>
      <c r="P57" s="27"/>
      <c r="T57" s="31"/>
      <c r="U57" s="13"/>
      <c r="Z57" s="31"/>
      <c r="AA57" s="13"/>
      <c r="AB57" s="31"/>
      <c r="AC57" s="15"/>
    </row>
    <row r="58" spans="1:238" x14ac:dyDescent="0.25">
      <c r="A58" s="311"/>
      <c r="B58" s="20"/>
      <c r="C58" s="14"/>
      <c r="D58" s="27"/>
      <c r="F58" s="35"/>
      <c r="H58" s="31"/>
      <c r="I58" s="13"/>
      <c r="J58" s="35"/>
      <c r="L58" s="35"/>
      <c r="M58" s="35"/>
      <c r="N58" s="35"/>
      <c r="O58" s="14"/>
      <c r="P58" s="27"/>
      <c r="T58" s="31"/>
      <c r="U58" s="13"/>
      <c r="Z58" s="31"/>
      <c r="AA58" s="13"/>
      <c r="AB58" s="31"/>
      <c r="AC58" s="15"/>
    </row>
    <row r="59" spans="1:238" x14ac:dyDescent="0.25">
      <c r="A59" s="311"/>
      <c r="B59" s="20"/>
      <c r="C59" s="14"/>
      <c r="D59" s="27"/>
      <c r="F59" s="35"/>
      <c r="H59" s="31"/>
      <c r="I59" s="13"/>
      <c r="J59" s="35"/>
      <c r="L59" s="35"/>
      <c r="M59" s="35"/>
      <c r="N59" s="35"/>
      <c r="O59" s="14"/>
      <c r="P59" s="27"/>
      <c r="T59" s="31"/>
      <c r="U59" s="13"/>
      <c r="Z59" s="31"/>
      <c r="AA59" s="13"/>
      <c r="AB59" s="31"/>
      <c r="AC59" s="15"/>
    </row>
    <row r="60" spans="1:238" x14ac:dyDescent="0.25">
      <c r="A60" s="311"/>
      <c r="B60" s="20"/>
      <c r="C60" s="14"/>
      <c r="D60" s="27"/>
      <c r="F60" s="35"/>
      <c r="H60" s="31"/>
      <c r="I60" s="13"/>
      <c r="J60" s="35"/>
      <c r="L60" s="35"/>
      <c r="M60" s="35"/>
      <c r="N60" s="35"/>
      <c r="O60" s="14"/>
      <c r="P60" s="27"/>
      <c r="T60" s="31"/>
      <c r="U60" s="13"/>
      <c r="Z60" s="31"/>
      <c r="AA60" s="13"/>
      <c r="AB60" s="31"/>
      <c r="AC60" s="15"/>
    </row>
    <row r="61" spans="1:238" x14ac:dyDescent="0.25">
      <c r="A61" s="311"/>
      <c r="B61" s="20"/>
      <c r="C61" s="14"/>
      <c r="D61" s="27"/>
      <c r="F61" s="35"/>
      <c r="H61" s="31"/>
      <c r="I61" s="13"/>
      <c r="J61" s="35"/>
      <c r="L61" s="35"/>
      <c r="M61" s="35"/>
      <c r="N61" s="35"/>
      <c r="O61" s="14"/>
      <c r="P61" s="27"/>
      <c r="T61" s="31"/>
      <c r="U61" s="13"/>
      <c r="Z61" s="31"/>
      <c r="AA61" s="13"/>
      <c r="AB61" s="31"/>
      <c r="AC61" s="15"/>
    </row>
    <row r="62" spans="1:238" s="52" customFormat="1" x14ac:dyDescent="0.25">
      <c r="A62" s="311"/>
      <c r="B62" s="114"/>
      <c r="C62" s="105" t="s">
        <v>178</v>
      </c>
      <c r="D62" s="83">
        <v>67</v>
      </c>
      <c r="H62" s="105">
        <v>30</v>
      </c>
      <c r="I62" s="83"/>
      <c r="O62" s="105"/>
      <c r="P62" s="83"/>
      <c r="T62" s="105">
        <v>3</v>
      </c>
      <c r="U62" s="83"/>
      <c r="Z62" s="105"/>
      <c r="AA62" s="83"/>
      <c r="AB62" s="105"/>
      <c r="AC62" s="115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</row>
    <row r="63" spans="1:238" x14ac:dyDescent="0.25">
      <c r="A63" s="311"/>
      <c r="B63" s="20"/>
      <c r="C63" s="14"/>
      <c r="D63" s="27"/>
      <c r="F63" s="35"/>
      <c r="H63" s="31"/>
      <c r="I63" s="13"/>
      <c r="J63" s="35"/>
      <c r="L63" s="35"/>
      <c r="M63" s="35"/>
      <c r="N63" s="35"/>
      <c r="O63" s="14"/>
      <c r="P63" s="27"/>
      <c r="T63" s="31"/>
      <c r="U63" s="13"/>
      <c r="Z63" s="31"/>
      <c r="AA63" s="13"/>
      <c r="AB63" s="31"/>
      <c r="AC63" s="15"/>
    </row>
    <row r="64" spans="1:238" ht="15.75" thickBot="1" x14ac:dyDescent="0.3">
      <c r="A64" s="312"/>
      <c r="B64" s="13"/>
      <c r="C64" s="14"/>
      <c r="D64" s="27"/>
      <c r="F64" s="35"/>
      <c r="H64" s="31"/>
      <c r="I64" s="13"/>
      <c r="J64" s="35"/>
      <c r="L64" s="35"/>
      <c r="M64" s="35"/>
      <c r="N64" s="35"/>
      <c r="O64" s="14"/>
      <c r="P64" s="27"/>
      <c r="T64" s="31"/>
      <c r="U64" s="13"/>
      <c r="Z64" s="31"/>
      <c r="AA64" s="13"/>
      <c r="AB64" s="31"/>
      <c r="AC64" s="15"/>
      <c r="AG64">
        <f>0.3*400</f>
        <v>120</v>
      </c>
    </row>
    <row r="65" spans="1:33" ht="21.75" thickBot="1" x14ac:dyDescent="0.3">
      <c r="A65" s="21" t="s">
        <v>23</v>
      </c>
      <c r="B65" s="22"/>
      <c r="C65" s="23"/>
      <c r="D65" s="29">
        <f t="shared" ref="D65:AC65" si="0">SUM(D4:D20)-SUM(D21:D64)</f>
        <v>2332</v>
      </c>
      <c r="E65" s="22">
        <f t="shared" si="0"/>
        <v>95</v>
      </c>
      <c r="F65" s="37">
        <f t="shared" si="0"/>
        <v>4063</v>
      </c>
      <c r="G65" s="24">
        <f t="shared" si="0"/>
        <v>0</v>
      </c>
      <c r="H65" s="33">
        <f t="shared" si="0"/>
        <v>0</v>
      </c>
      <c r="I65" s="22">
        <f t="shared" si="0"/>
        <v>0</v>
      </c>
      <c r="J65" s="37">
        <f t="shared" si="0"/>
        <v>1220</v>
      </c>
      <c r="K65" s="24">
        <f t="shared" si="0"/>
        <v>2088</v>
      </c>
      <c r="L65" s="37">
        <f t="shared" si="0"/>
        <v>29101</v>
      </c>
      <c r="M65" s="37">
        <f t="shared" si="0"/>
        <v>47</v>
      </c>
      <c r="N65" s="37">
        <f t="shared" si="0"/>
        <v>0</v>
      </c>
      <c r="O65" s="23">
        <f t="shared" si="0"/>
        <v>0</v>
      </c>
      <c r="P65" s="29">
        <f t="shared" si="0"/>
        <v>2</v>
      </c>
      <c r="Q65" s="29">
        <f t="shared" si="0"/>
        <v>0</v>
      </c>
      <c r="R65" s="29">
        <f t="shared" si="0"/>
        <v>0</v>
      </c>
      <c r="S65" s="107">
        <f t="shared" si="0"/>
        <v>1057</v>
      </c>
      <c r="T65" s="33">
        <f t="shared" si="0"/>
        <v>0</v>
      </c>
      <c r="U65" s="22">
        <f t="shared" si="0"/>
        <v>1498</v>
      </c>
      <c r="V65" s="22">
        <f t="shared" si="0"/>
        <v>204</v>
      </c>
      <c r="W65" s="22">
        <f t="shared" si="0"/>
        <v>70</v>
      </c>
      <c r="X65" s="22">
        <f t="shared" si="0"/>
        <v>1880</v>
      </c>
      <c r="Y65" s="22">
        <f t="shared" si="0"/>
        <v>0</v>
      </c>
      <c r="Z65" s="33">
        <f t="shared" si="0"/>
        <v>0</v>
      </c>
      <c r="AA65" s="22">
        <f t="shared" si="0"/>
        <v>0</v>
      </c>
      <c r="AB65" s="33">
        <f t="shared" si="0"/>
        <v>0</v>
      </c>
      <c r="AC65" s="25">
        <f t="shared" si="0"/>
        <v>35</v>
      </c>
    </row>
    <row r="67" spans="1:33" x14ac:dyDescent="0.25">
      <c r="C67" t="s">
        <v>176</v>
      </c>
      <c r="D67">
        <v>0.56000000000000005</v>
      </c>
      <c r="E67">
        <v>0.55000000000000004</v>
      </c>
      <c r="F67">
        <v>0.69</v>
      </c>
      <c r="G67">
        <v>0.65</v>
      </c>
      <c r="H67">
        <v>0.74</v>
      </c>
      <c r="I67">
        <f>+I65*0.68</f>
        <v>0</v>
      </c>
      <c r="J67">
        <v>0.8</v>
      </c>
      <c r="K67" s="50">
        <f>0.95+0.1</f>
        <v>1.05</v>
      </c>
      <c r="L67">
        <v>1.02</v>
      </c>
      <c r="M67">
        <v>0.82</v>
      </c>
      <c r="N67">
        <v>0.92</v>
      </c>
      <c r="O67">
        <f>+O65*0.66</f>
        <v>0</v>
      </c>
      <c r="P67">
        <v>2.7</v>
      </c>
      <c r="Q67">
        <f>+Q65*2.1</f>
        <v>0</v>
      </c>
      <c r="R67">
        <f>R65*1.95</f>
        <v>0</v>
      </c>
      <c r="S67">
        <v>2.7</v>
      </c>
      <c r="T67">
        <v>2.35</v>
      </c>
      <c r="U67">
        <v>2.8</v>
      </c>
      <c r="V67">
        <v>2.5499999999999998</v>
      </c>
      <c r="W67">
        <v>2.9</v>
      </c>
      <c r="X67">
        <v>2.85</v>
      </c>
      <c r="Y67">
        <v>2.4</v>
      </c>
      <c r="Z67">
        <f>+Z65*2.15</f>
        <v>0</v>
      </c>
      <c r="AA67">
        <f>+AA65*0.44</f>
        <v>0</v>
      </c>
      <c r="AB67">
        <f>+AB65*0.34</f>
        <v>0</v>
      </c>
      <c r="AC67" s="109"/>
    </row>
    <row r="68" spans="1:33" x14ac:dyDescent="0.25">
      <c r="D68">
        <f>+D65*D67</f>
        <v>1305.92</v>
      </c>
      <c r="E68">
        <f>+E65*E67</f>
        <v>52.250000000000007</v>
      </c>
      <c r="F68">
        <f t="shared" ref="F68:AC68" si="1">+F65*F67</f>
        <v>2803.47</v>
      </c>
      <c r="G68">
        <f t="shared" si="1"/>
        <v>0</v>
      </c>
      <c r="H68">
        <f t="shared" si="1"/>
        <v>0</v>
      </c>
      <c r="I68">
        <f t="shared" si="1"/>
        <v>0</v>
      </c>
      <c r="J68">
        <f t="shared" si="1"/>
        <v>976</v>
      </c>
      <c r="K68">
        <f t="shared" si="1"/>
        <v>2192.4</v>
      </c>
      <c r="L68">
        <f t="shared" si="1"/>
        <v>29683.02</v>
      </c>
      <c r="M68">
        <f>M65*M67</f>
        <v>38.54</v>
      </c>
      <c r="N68">
        <f t="shared" si="1"/>
        <v>0</v>
      </c>
      <c r="O68">
        <f t="shared" si="1"/>
        <v>0</v>
      </c>
      <c r="P68">
        <f t="shared" si="1"/>
        <v>5.4</v>
      </c>
      <c r="Q68">
        <f t="shared" si="1"/>
        <v>0</v>
      </c>
      <c r="R68">
        <f t="shared" si="1"/>
        <v>0</v>
      </c>
      <c r="S68">
        <f t="shared" si="1"/>
        <v>2853.9</v>
      </c>
      <c r="T68">
        <f t="shared" si="1"/>
        <v>0</v>
      </c>
      <c r="U68">
        <f t="shared" si="1"/>
        <v>4194.3999999999996</v>
      </c>
      <c r="V68">
        <f t="shared" si="1"/>
        <v>520.19999999999993</v>
      </c>
      <c r="W68">
        <f t="shared" si="1"/>
        <v>203</v>
      </c>
      <c r="X68">
        <f>X65*X67</f>
        <v>5358</v>
      </c>
      <c r="Z68">
        <f t="shared" si="1"/>
        <v>0</v>
      </c>
      <c r="AA68">
        <f t="shared" si="1"/>
        <v>0</v>
      </c>
      <c r="AC68">
        <f t="shared" si="1"/>
        <v>0</v>
      </c>
      <c r="AD68" s="52">
        <f>SUM(D68:AC68)</f>
        <v>50186.5</v>
      </c>
    </row>
    <row r="69" spans="1:33" ht="15.75" thickBot="1" x14ac:dyDescent="0.3"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103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spans="1:33" ht="15.75" thickBot="1" x14ac:dyDescent="0.3">
      <c r="C70" s="91"/>
      <c r="E70" s="79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8"/>
      <c r="T70" s="104"/>
      <c r="U70" s="104"/>
      <c r="V70" s="104"/>
      <c r="W70" s="104"/>
      <c r="X70" s="104"/>
      <c r="Y70" s="104"/>
      <c r="Z70" s="104"/>
      <c r="AA70" s="104"/>
      <c r="AB70" s="104"/>
      <c r="AC70" s="80"/>
    </row>
    <row r="72" spans="1:33" x14ac:dyDescent="0.25">
      <c r="O72" s="60"/>
      <c r="S72" s="50"/>
    </row>
    <row r="73" spans="1:33" x14ac:dyDescent="0.25">
      <c r="J73" s="60">
        <v>0.82</v>
      </c>
      <c r="S73" s="85"/>
      <c r="U73" s="84"/>
    </row>
    <row r="74" spans="1:33" x14ac:dyDescent="0.25">
      <c r="J74" s="60"/>
      <c r="S74" s="85"/>
      <c r="U74" s="84"/>
    </row>
    <row r="75" spans="1:33" x14ac:dyDescent="0.25">
      <c r="J75" s="60"/>
      <c r="S75" s="85"/>
      <c r="U75" s="84"/>
    </row>
    <row r="76" spans="1:33" x14ac:dyDescent="0.25">
      <c r="J76" s="60"/>
      <c r="S76" s="85"/>
      <c r="U76" s="84"/>
    </row>
    <row r="77" spans="1:33" x14ac:dyDescent="0.25">
      <c r="J77" s="60"/>
      <c r="S77" s="85"/>
      <c r="U77" s="84"/>
    </row>
    <row r="78" spans="1:33" x14ac:dyDescent="0.25">
      <c r="J78" s="60"/>
      <c r="S78" s="85">
        <f>M62*0.82</f>
        <v>0</v>
      </c>
      <c r="U78" s="84"/>
    </row>
    <row r="79" spans="1:33" x14ac:dyDescent="0.25">
      <c r="J79" s="60"/>
      <c r="S79" s="85"/>
      <c r="U79" s="84"/>
      <c r="AG79" t="s">
        <v>291</v>
      </c>
    </row>
    <row r="80" spans="1:33" x14ac:dyDescent="0.25">
      <c r="J80" s="60"/>
      <c r="P80">
        <f>N67*N68</f>
        <v>0</v>
      </c>
      <c r="S80" s="85"/>
      <c r="U80" s="84"/>
    </row>
    <row r="81" spans="3:36" x14ac:dyDescent="0.25">
      <c r="J81" s="60"/>
      <c r="S81" s="85"/>
      <c r="U81" s="84"/>
    </row>
    <row r="82" spans="3:36" x14ac:dyDescent="0.25">
      <c r="J82" s="60"/>
      <c r="S82" s="85"/>
      <c r="U82" s="84"/>
    </row>
    <row r="83" spans="3:36" x14ac:dyDescent="0.25">
      <c r="J83" s="60"/>
      <c r="S83" s="85"/>
      <c r="U83" s="84"/>
    </row>
    <row r="84" spans="3:36" x14ac:dyDescent="0.25">
      <c r="J84" s="60"/>
      <c r="S84" s="85"/>
      <c r="U84" s="84"/>
    </row>
    <row r="85" spans="3:36" x14ac:dyDescent="0.25">
      <c r="J85" s="60"/>
      <c r="S85" s="85"/>
      <c r="U85" s="84"/>
    </row>
    <row r="86" spans="3:36" x14ac:dyDescent="0.25">
      <c r="J86" s="60"/>
      <c r="S86" s="85"/>
      <c r="U86" s="84"/>
    </row>
    <row r="87" spans="3:36" x14ac:dyDescent="0.25">
      <c r="J87" s="60"/>
      <c r="S87" s="85"/>
      <c r="U87" s="84"/>
    </row>
    <row r="88" spans="3:36" x14ac:dyDescent="0.25">
      <c r="K88" s="60"/>
      <c r="S88" s="60"/>
    </row>
    <row r="90" spans="3:36" ht="30" customHeight="1" x14ac:dyDescent="0.25">
      <c r="AG90" t="s">
        <v>130</v>
      </c>
      <c r="AH90">
        <v>1667</v>
      </c>
    </row>
    <row r="91" spans="3:36" x14ac:dyDescent="0.25">
      <c r="AH91">
        <v>1070</v>
      </c>
    </row>
    <row r="92" spans="3:36" x14ac:dyDescent="0.25">
      <c r="V92" t="s">
        <v>139</v>
      </c>
      <c r="AH92">
        <f>AH90-AH91</f>
        <v>597</v>
      </c>
    </row>
    <row r="93" spans="3:36" x14ac:dyDescent="0.25">
      <c r="C93" s="98" t="s">
        <v>118</v>
      </c>
      <c r="D93">
        <f>5050+180</f>
        <v>5230</v>
      </c>
      <c r="E93">
        <v>140</v>
      </c>
      <c r="F93">
        <f>-310+70+80</f>
        <v>-160</v>
      </c>
      <c r="G93">
        <f>8000+1340-200</f>
        <v>9140</v>
      </c>
      <c r="H93">
        <f>12540+400</f>
        <v>12940</v>
      </c>
      <c r="I93">
        <f>3670+1320-7150</f>
        <v>-2160</v>
      </c>
      <c r="J93">
        <f>12700+870+980+24320+600</f>
        <v>39470</v>
      </c>
      <c r="K93">
        <f>38950+1000+1080+600</f>
        <v>41630</v>
      </c>
      <c r="L93">
        <f>23176+4500+600+1000+35680+3900</f>
        <v>68856</v>
      </c>
    </row>
    <row r="94" spans="3:36" x14ac:dyDescent="0.25">
      <c r="C94" t="s">
        <v>119</v>
      </c>
      <c r="D94">
        <v>6500</v>
      </c>
      <c r="E94">
        <v>6500</v>
      </c>
      <c r="F94">
        <v>6500</v>
      </c>
      <c r="G94">
        <v>6500</v>
      </c>
      <c r="H94">
        <v>5800</v>
      </c>
      <c r="I94">
        <v>5800</v>
      </c>
      <c r="J94">
        <v>5800</v>
      </c>
      <c r="K94">
        <v>5100</v>
      </c>
      <c r="L94">
        <v>5100</v>
      </c>
    </row>
    <row r="95" spans="3:36" x14ac:dyDescent="0.25">
      <c r="C95" t="s">
        <v>120</v>
      </c>
      <c r="D95">
        <v>33280</v>
      </c>
      <c r="E95">
        <v>33280</v>
      </c>
      <c r="F95">
        <f>38060-1480</f>
        <v>36580</v>
      </c>
      <c r="G95">
        <v>27560</v>
      </c>
      <c r="H95">
        <v>24080</v>
      </c>
      <c r="I95">
        <v>42702</v>
      </c>
      <c r="J95">
        <v>0</v>
      </c>
      <c r="K95">
        <v>0</v>
      </c>
      <c r="L95">
        <f>1081-340</f>
        <v>741</v>
      </c>
    </row>
    <row r="96" spans="3:36" x14ac:dyDescent="0.25">
      <c r="C96" t="s">
        <v>123</v>
      </c>
      <c r="D96">
        <v>2960</v>
      </c>
      <c r="E96">
        <v>2960</v>
      </c>
      <c r="F96">
        <f>1150</f>
        <v>1150</v>
      </c>
      <c r="G96">
        <v>1980</v>
      </c>
      <c r="H96">
        <v>4000</v>
      </c>
      <c r="I96">
        <v>0</v>
      </c>
      <c r="K96">
        <v>0</v>
      </c>
      <c r="L96">
        <v>0</v>
      </c>
      <c r="AG96" t="s">
        <v>149</v>
      </c>
      <c r="AH96">
        <v>14352</v>
      </c>
      <c r="AI96" t="s">
        <v>150</v>
      </c>
      <c r="AJ96" t="s">
        <v>151</v>
      </c>
    </row>
    <row r="97" spans="3:35" x14ac:dyDescent="0.25">
      <c r="C97" t="s">
        <v>122</v>
      </c>
      <c r="D97">
        <v>1300</v>
      </c>
      <c r="E97">
        <v>1300</v>
      </c>
      <c r="F97">
        <v>1300</v>
      </c>
      <c r="G97">
        <v>1300</v>
      </c>
      <c r="H97">
        <v>1140</v>
      </c>
      <c r="I97">
        <v>1140</v>
      </c>
      <c r="J97">
        <v>1140</v>
      </c>
      <c r="K97">
        <v>0</v>
      </c>
      <c r="L97">
        <v>0</v>
      </c>
      <c r="AH97">
        <v>-14547</v>
      </c>
      <c r="AI97" t="s">
        <v>152</v>
      </c>
    </row>
    <row r="98" spans="3:35" x14ac:dyDescent="0.25">
      <c r="C98" t="s">
        <v>127</v>
      </c>
      <c r="D98">
        <v>-9815</v>
      </c>
      <c r="E98">
        <v>-4815</v>
      </c>
      <c r="F98">
        <v>-4815</v>
      </c>
      <c r="G98">
        <v>-4815</v>
      </c>
      <c r="H98">
        <v>-4815</v>
      </c>
      <c r="I98">
        <v>-4815</v>
      </c>
      <c r="J98">
        <v>-3609</v>
      </c>
      <c r="K98">
        <v>-3609</v>
      </c>
      <c r="L98">
        <f>-1324-1120</f>
        <v>-2444</v>
      </c>
    </row>
    <row r="99" spans="3:35" x14ac:dyDescent="0.25">
      <c r="C99" t="s">
        <v>128</v>
      </c>
      <c r="L99">
        <f>-2336.5*12</f>
        <v>-28038</v>
      </c>
      <c r="AH99">
        <f>SUM(AH96:AH98)</f>
        <v>-195</v>
      </c>
      <c r="AI99" t="s">
        <v>153</v>
      </c>
    </row>
    <row r="101" spans="3:35" x14ac:dyDescent="0.25">
      <c r="D101">
        <f>SUM(D93:D100)</f>
        <v>39455</v>
      </c>
      <c r="E101">
        <f>SUM(E93:E98)</f>
        <v>39365</v>
      </c>
      <c r="F101">
        <f>SUM(F93:F98)</f>
        <v>40555</v>
      </c>
      <c r="G101">
        <f>SUM(G93:G98)</f>
        <v>41665</v>
      </c>
      <c r="H101">
        <f>SUM(H93:H98)</f>
        <v>43145</v>
      </c>
      <c r="I101">
        <f>SUM(I93:I98)</f>
        <v>42667</v>
      </c>
      <c r="J101">
        <f>SUM(J93:J100)</f>
        <v>42801</v>
      </c>
      <c r="K101">
        <f>SUM(K93:K100)</f>
        <v>43121</v>
      </c>
      <c r="L101">
        <f>SUM(L93:L100)</f>
        <v>44215</v>
      </c>
    </row>
    <row r="102" spans="3:35" x14ac:dyDescent="0.25">
      <c r="C102" t="s">
        <v>124</v>
      </c>
      <c r="D102">
        <v>100</v>
      </c>
      <c r="E102">
        <v>100</v>
      </c>
      <c r="F102">
        <v>100</v>
      </c>
      <c r="G102">
        <v>100</v>
      </c>
      <c r="H102">
        <f>100+350</f>
        <v>450</v>
      </c>
      <c r="I102">
        <v>100</v>
      </c>
      <c r="J102">
        <v>100</v>
      </c>
      <c r="AG102" t="s">
        <v>158</v>
      </c>
      <c r="AI102">
        <v>24005</v>
      </c>
    </row>
    <row r="103" spans="3:35" x14ac:dyDescent="0.25">
      <c r="C103" t="s">
        <v>125</v>
      </c>
      <c r="D103">
        <f t="shared" ref="D103:I103" si="2">+D101-D102</f>
        <v>39355</v>
      </c>
      <c r="E103">
        <f t="shared" si="2"/>
        <v>39265</v>
      </c>
      <c r="F103">
        <f t="shared" si="2"/>
        <v>40455</v>
      </c>
      <c r="G103">
        <f t="shared" si="2"/>
        <v>41565</v>
      </c>
      <c r="H103">
        <f t="shared" si="2"/>
        <v>42695</v>
      </c>
      <c r="I103">
        <f t="shared" si="2"/>
        <v>42567</v>
      </c>
      <c r="J103">
        <f>+J101-J102</f>
        <v>42701</v>
      </c>
      <c r="AI103">
        <v>-24080</v>
      </c>
    </row>
    <row r="104" spans="3:35" x14ac:dyDescent="0.25">
      <c r="G104">
        <f>+G103-F103</f>
        <v>1110</v>
      </c>
      <c r="H104">
        <f>+H103-G103</f>
        <v>1130</v>
      </c>
      <c r="L104">
        <f>+L101-K101</f>
        <v>1094</v>
      </c>
      <c r="AH104" t="s">
        <v>159</v>
      </c>
      <c r="AI104">
        <f>SUM(AI102:AI103)</f>
        <v>-75</v>
      </c>
    </row>
    <row r="105" spans="3:35" x14ac:dyDescent="0.25">
      <c r="I105">
        <f>+H103-I103</f>
        <v>128</v>
      </c>
      <c r="J105">
        <f>+J103-I103</f>
        <v>134</v>
      </c>
    </row>
    <row r="108" spans="3:35" x14ac:dyDescent="0.25">
      <c r="J108" s="102">
        <v>20611410159</v>
      </c>
    </row>
    <row r="109" spans="3:35" x14ac:dyDescent="0.25">
      <c r="J109" s="102">
        <v>41200545</v>
      </c>
    </row>
  </sheetData>
  <mergeCells count="7">
    <mergeCell ref="AA2:AB2"/>
    <mergeCell ref="A4:A20"/>
    <mergeCell ref="A21:A64"/>
    <mergeCell ref="D2:H2"/>
    <mergeCell ref="I2:O2"/>
    <mergeCell ref="P2:T2"/>
    <mergeCell ref="U2:Z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9146-AF75-408F-B37D-0A7E8DB0EF90}">
  <dimension ref="A1:IE97"/>
  <sheetViews>
    <sheetView zoomScale="60" zoomScaleNormal="60" workbookViewId="0">
      <pane xSplit="3" ySplit="3" topLeftCell="D15" activePane="bottomRight" state="frozen"/>
      <selection pane="topRight" activeCell="D1" sqref="D1"/>
      <selection pane="bottomLeft" activeCell="A4" sqref="A4"/>
      <selection pane="bottomRight" activeCell="Z40" sqref="Z4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9.42578125" customWidth="1"/>
    <col min="10" max="10" width="16" customWidth="1"/>
    <col min="11" max="11" width="11.28515625" customWidth="1"/>
    <col min="12" max="12" width="10.140625" customWidth="1"/>
    <col min="13" max="14" width="12" customWidth="1"/>
    <col min="15" max="15" width="11.28515625" customWidth="1"/>
    <col min="16" max="16" width="10.42578125" bestFit="1" customWidth="1"/>
    <col min="17" max="17" width="8.7109375" bestFit="1" customWidth="1"/>
    <col min="18" max="18" width="10.5703125" customWidth="1"/>
    <col min="19" max="19" width="8.7109375" customWidth="1"/>
    <col min="20" max="20" width="11.28515625" customWidth="1"/>
    <col min="21" max="21" width="10.85546875" customWidth="1"/>
    <col min="22" max="24" width="10.7109375" customWidth="1"/>
    <col min="25" max="26" width="13.5703125" customWidth="1"/>
    <col min="27" max="27" width="11.5703125" customWidth="1"/>
    <col min="28" max="28" width="14.42578125" customWidth="1"/>
    <col min="29" max="29" width="9.85546875" customWidth="1"/>
    <col min="30" max="30" width="14.5703125" customWidth="1"/>
    <col min="31" max="31" width="19" customWidth="1"/>
    <col min="34" max="34" width="15.140625" customWidth="1"/>
  </cols>
  <sheetData>
    <row r="1" spans="1:30" ht="33" customHeight="1" thickBot="1" x14ac:dyDescent="0.3"/>
    <row r="2" spans="1:30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09"/>
      <c r="J2" s="308" t="s">
        <v>1</v>
      </c>
      <c r="K2" s="313"/>
      <c r="L2" s="313"/>
      <c r="M2" s="313"/>
      <c r="N2" s="313"/>
      <c r="O2" s="313"/>
      <c r="P2" s="309"/>
      <c r="Q2" s="308" t="s">
        <v>2</v>
      </c>
      <c r="R2" s="313"/>
      <c r="S2" s="313"/>
      <c r="T2" s="313"/>
      <c r="U2" s="309"/>
      <c r="V2" s="308" t="s">
        <v>3</v>
      </c>
      <c r="W2" s="313"/>
      <c r="X2" s="313"/>
      <c r="Y2" s="313"/>
      <c r="Z2" s="313"/>
      <c r="AA2" s="309"/>
      <c r="AB2" s="308" t="s">
        <v>4</v>
      </c>
      <c r="AC2" s="309"/>
      <c r="AD2" s="46" t="s">
        <v>91</v>
      </c>
    </row>
    <row r="3" spans="1:30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8" t="s">
        <v>13</v>
      </c>
      <c r="J3" s="9" t="s">
        <v>394</v>
      </c>
      <c r="K3" s="7" t="s">
        <v>11</v>
      </c>
      <c r="L3" s="7" t="s">
        <v>12</v>
      </c>
      <c r="M3" s="7" t="s">
        <v>13</v>
      </c>
      <c r="N3" s="7" t="s">
        <v>182</v>
      </c>
      <c r="O3" s="7" t="s">
        <v>15</v>
      </c>
      <c r="P3" s="8" t="s">
        <v>136</v>
      </c>
      <c r="Q3" s="6" t="s">
        <v>12</v>
      </c>
      <c r="R3" s="7" t="s">
        <v>69</v>
      </c>
      <c r="S3" s="7" t="s">
        <v>13</v>
      </c>
      <c r="T3" s="7" t="s">
        <v>16</v>
      </c>
      <c r="U3" s="8" t="s">
        <v>162</v>
      </c>
      <c r="V3" s="6" t="s">
        <v>16</v>
      </c>
      <c r="W3" s="7" t="s">
        <v>77</v>
      </c>
      <c r="X3" s="7" t="s">
        <v>12</v>
      </c>
      <c r="Y3" s="7" t="s">
        <v>13</v>
      </c>
      <c r="Z3" s="7" t="s">
        <v>8</v>
      </c>
      <c r="AA3" s="8" t="s">
        <v>69</v>
      </c>
      <c r="AB3" s="6" t="s">
        <v>17</v>
      </c>
      <c r="AC3" s="8" t="s">
        <v>18</v>
      </c>
      <c r="AD3" s="10" t="s">
        <v>92</v>
      </c>
    </row>
    <row r="4" spans="1:30" x14ac:dyDescent="0.25">
      <c r="A4" s="310" t="s">
        <v>19</v>
      </c>
      <c r="B4" s="49"/>
      <c r="C4" s="2"/>
      <c r="D4" s="42">
        <v>2332</v>
      </c>
      <c r="E4" s="42">
        <f>'STOCK 08-14-02'!E25</f>
        <v>95</v>
      </c>
      <c r="F4" s="42">
        <v>4063</v>
      </c>
      <c r="G4" s="42">
        <v>0</v>
      </c>
      <c r="H4" s="42"/>
      <c r="I4" s="42">
        <v>0</v>
      </c>
      <c r="J4" s="42">
        <v>0</v>
      </c>
      <c r="K4" s="42">
        <v>1220</v>
      </c>
      <c r="L4" s="42">
        <v>2088</v>
      </c>
      <c r="M4" s="42">
        <v>29101</v>
      </c>
      <c r="N4" s="42">
        <v>47</v>
      </c>
      <c r="O4" s="42">
        <f>'STOCK 08-14-02'!M25</f>
        <v>0</v>
      </c>
      <c r="P4" s="42">
        <v>0</v>
      </c>
      <c r="Q4" s="42">
        <f>'STOCK 08-14-02'!O25</f>
        <v>2</v>
      </c>
      <c r="R4" s="42">
        <f>'STOCK 08-14-02'!P25</f>
        <v>0</v>
      </c>
      <c r="S4" s="42">
        <f>'STOCK 08-14-02'!Q25</f>
        <v>0</v>
      </c>
      <c r="T4" s="42">
        <v>1057</v>
      </c>
      <c r="U4" s="42">
        <v>0</v>
      </c>
      <c r="V4" s="42">
        <v>1498</v>
      </c>
      <c r="W4" s="42">
        <f>'STOCK 08-14-02'!U25</f>
        <v>204</v>
      </c>
      <c r="X4" s="42">
        <v>70</v>
      </c>
      <c r="Y4" s="42">
        <v>1880</v>
      </c>
      <c r="Z4" s="42">
        <v>0</v>
      </c>
      <c r="AA4" s="42">
        <f>'STOCK 08-14-02'!W25</f>
        <v>0</v>
      </c>
      <c r="AB4" s="42">
        <f>'STOCK 08-14-02'!X25</f>
        <v>0</v>
      </c>
      <c r="AC4" s="42">
        <v>0</v>
      </c>
      <c r="AD4" s="42">
        <v>35</v>
      </c>
    </row>
    <row r="5" spans="1:30" x14ac:dyDescent="0.25">
      <c r="A5" s="311"/>
      <c r="B5" s="20"/>
      <c r="C5" s="82"/>
      <c r="D5" s="27"/>
      <c r="F5" s="35"/>
      <c r="I5" s="31"/>
      <c r="J5" s="13"/>
      <c r="K5" s="35"/>
      <c r="M5" s="35"/>
      <c r="N5" s="35"/>
      <c r="O5" s="35"/>
      <c r="P5" s="14"/>
      <c r="Q5" s="27"/>
      <c r="U5" s="31"/>
      <c r="V5" s="13"/>
      <c r="AA5" s="31"/>
      <c r="AB5" s="13"/>
      <c r="AC5" s="31"/>
      <c r="AD5" s="15"/>
    </row>
    <row r="6" spans="1:30" x14ac:dyDescent="0.25">
      <c r="A6" s="311"/>
      <c r="B6" s="160">
        <v>46104</v>
      </c>
      <c r="C6" s="20" t="s">
        <v>351</v>
      </c>
      <c r="D6" s="27">
        <v>4000</v>
      </c>
      <c r="F6" s="35"/>
      <c r="I6" s="31"/>
      <c r="J6" s="13"/>
      <c r="K6" s="35"/>
      <c r="M6" s="35"/>
      <c r="N6" s="35"/>
      <c r="O6" s="35"/>
      <c r="P6" s="14"/>
      <c r="Q6" s="27"/>
      <c r="U6" s="31"/>
      <c r="V6" s="13"/>
      <c r="AA6" s="31"/>
      <c r="AB6" s="13"/>
      <c r="AC6" s="31"/>
      <c r="AD6" s="15"/>
    </row>
    <row r="7" spans="1:30" x14ac:dyDescent="0.25">
      <c r="A7" s="311"/>
      <c r="B7" s="160"/>
      <c r="C7" s="20" t="s">
        <v>361</v>
      </c>
      <c r="D7" s="27">
        <v>12</v>
      </c>
      <c r="F7" s="35"/>
      <c r="I7" s="31"/>
      <c r="J7" s="13"/>
      <c r="K7" s="35"/>
      <c r="M7" s="35"/>
      <c r="N7" s="35"/>
      <c r="O7" s="35"/>
      <c r="Q7" s="27"/>
      <c r="U7" s="31"/>
      <c r="V7" s="13"/>
      <c r="AA7" s="31"/>
      <c r="AB7" s="13"/>
      <c r="AC7" s="31"/>
      <c r="AD7" s="15"/>
    </row>
    <row r="8" spans="1:30" x14ac:dyDescent="0.25">
      <c r="A8" s="311"/>
      <c r="B8" s="20">
        <v>46106</v>
      </c>
      <c r="C8" s="20" t="s">
        <v>27</v>
      </c>
      <c r="D8" s="27"/>
      <c r="F8" s="35"/>
      <c r="I8" s="31"/>
      <c r="J8" s="13"/>
      <c r="K8" s="35">
        <v>6000</v>
      </c>
      <c r="M8" s="35"/>
      <c r="N8" s="35"/>
      <c r="O8" s="35"/>
      <c r="P8" s="14"/>
      <c r="Q8" s="27"/>
      <c r="U8" s="31"/>
      <c r="V8" s="13"/>
      <c r="AA8" s="31"/>
      <c r="AB8" s="13"/>
      <c r="AC8" s="31"/>
      <c r="AD8" s="15"/>
    </row>
    <row r="9" spans="1:30" x14ac:dyDescent="0.25">
      <c r="A9" s="311"/>
      <c r="B9" s="20">
        <v>46106</v>
      </c>
      <c r="C9" s="82" t="s">
        <v>351</v>
      </c>
      <c r="D9" s="27"/>
      <c r="F9" s="35">
        <v>5000</v>
      </c>
      <c r="I9" s="31"/>
      <c r="J9" s="13"/>
      <c r="K9" s="35"/>
      <c r="M9" s="35"/>
      <c r="N9" s="35"/>
      <c r="O9" s="35"/>
      <c r="P9" s="14"/>
      <c r="Q9" s="27"/>
      <c r="U9" s="31"/>
      <c r="V9" s="13"/>
      <c r="AA9" s="31"/>
      <c r="AB9" s="13"/>
      <c r="AC9" s="31"/>
      <c r="AD9" s="15"/>
    </row>
    <row r="10" spans="1:30" x14ac:dyDescent="0.25">
      <c r="A10" s="311"/>
      <c r="B10" s="20">
        <v>46106</v>
      </c>
      <c r="C10" s="20" t="s">
        <v>351</v>
      </c>
      <c r="D10" s="27">
        <v>4000</v>
      </c>
      <c r="F10" s="35"/>
      <c r="I10" s="31"/>
      <c r="J10" s="13"/>
      <c r="K10" s="35"/>
      <c r="M10" s="35"/>
      <c r="N10" s="35"/>
      <c r="O10" s="35"/>
      <c r="P10" s="14"/>
      <c r="Q10" s="27"/>
      <c r="U10" s="31"/>
      <c r="V10" s="13"/>
      <c r="AA10" s="31"/>
      <c r="AB10" s="13"/>
      <c r="AC10" s="31"/>
      <c r="AD10" s="15"/>
    </row>
    <row r="11" spans="1:30" x14ac:dyDescent="0.25">
      <c r="A11" s="311"/>
      <c r="B11" s="20">
        <v>46107</v>
      </c>
      <c r="C11" s="20" t="s">
        <v>27</v>
      </c>
      <c r="D11" s="27"/>
      <c r="F11" s="35"/>
      <c r="I11" s="31"/>
      <c r="J11" s="13"/>
      <c r="K11" s="35">
        <v>3000</v>
      </c>
      <c r="M11" s="35"/>
      <c r="N11" s="35"/>
      <c r="O11" s="35"/>
      <c r="P11" s="14"/>
      <c r="Q11" s="27"/>
      <c r="U11" s="31"/>
      <c r="V11" s="13"/>
      <c r="AA11" s="31"/>
      <c r="AB11" s="13"/>
      <c r="AC11" s="31"/>
      <c r="AD11" s="15"/>
    </row>
    <row r="12" spans="1:30" x14ac:dyDescent="0.25">
      <c r="A12" s="311"/>
      <c r="B12" s="20">
        <v>46107</v>
      </c>
      <c r="C12" s="82" t="s">
        <v>351</v>
      </c>
      <c r="D12" s="27"/>
      <c r="F12" s="35"/>
      <c r="I12" s="31"/>
      <c r="J12" s="13"/>
      <c r="K12" s="35"/>
      <c r="M12" s="35"/>
      <c r="N12" s="35"/>
      <c r="O12" s="35"/>
      <c r="P12" s="14"/>
      <c r="Q12" s="27"/>
      <c r="U12" s="31"/>
      <c r="V12" s="13">
        <v>1000</v>
      </c>
      <c r="AA12" s="31"/>
      <c r="AB12" s="13"/>
      <c r="AC12" s="31"/>
      <c r="AD12" s="15"/>
    </row>
    <row r="13" spans="1:30" x14ac:dyDescent="0.25">
      <c r="A13" s="311"/>
      <c r="B13" s="20">
        <v>46108</v>
      </c>
      <c r="C13" s="82" t="s">
        <v>361</v>
      </c>
      <c r="D13" s="27"/>
      <c r="F13" s="35"/>
      <c r="I13" s="31"/>
      <c r="J13" s="13"/>
      <c r="K13" s="35"/>
      <c r="L13">
        <v>93</v>
      </c>
      <c r="M13" s="35"/>
      <c r="N13" s="35"/>
      <c r="O13" s="35"/>
      <c r="P13" s="14"/>
      <c r="Q13" s="27"/>
      <c r="U13" s="31"/>
      <c r="V13" s="13"/>
      <c r="AA13" s="31"/>
      <c r="AB13" s="13"/>
      <c r="AC13" s="31"/>
      <c r="AD13" s="15"/>
    </row>
    <row r="14" spans="1:30" x14ac:dyDescent="0.25">
      <c r="A14" s="311"/>
      <c r="B14" s="20">
        <v>46108</v>
      </c>
      <c r="C14" s="82" t="s">
        <v>351</v>
      </c>
      <c r="D14" s="27">
        <v>4000</v>
      </c>
      <c r="F14" s="35"/>
      <c r="I14" s="31"/>
      <c r="J14" s="13"/>
      <c r="K14" s="35"/>
      <c r="M14" s="35"/>
      <c r="N14" s="35"/>
      <c r="O14" s="35"/>
      <c r="P14" s="14"/>
      <c r="Q14" s="27"/>
      <c r="U14" s="31"/>
      <c r="V14" s="13"/>
      <c r="AA14" s="31"/>
      <c r="AB14" s="13"/>
      <c r="AC14" s="31"/>
      <c r="AD14" s="15"/>
    </row>
    <row r="15" spans="1:30" x14ac:dyDescent="0.25">
      <c r="A15" s="311"/>
      <c r="B15" s="20">
        <v>46108</v>
      </c>
      <c r="C15" s="82" t="s">
        <v>351</v>
      </c>
      <c r="D15" s="27"/>
      <c r="F15" s="35"/>
      <c r="I15" s="31"/>
      <c r="J15" s="13"/>
      <c r="K15" s="35">
        <v>4000</v>
      </c>
      <c r="M15" s="35"/>
      <c r="N15" s="35"/>
      <c r="O15" s="35"/>
      <c r="P15" s="14"/>
      <c r="Q15" s="27"/>
      <c r="U15" s="31"/>
      <c r="V15" s="13"/>
      <c r="AA15" s="31"/>
      <c r="AB15" s="13"/>
      <c r="AC15" s="31"/>
      <c r="AD15" s="15"/>
    </row>
    <row r="16" spans="1:30" ht="16.5" customHeight="1" x14ac:dyDescent="0.25">
      <c r="A16" s="311"/>
      <c r="B16" s="20">
        <v>46108</v>
      </c>
      <c r="C16" s="20" t="s">
        <v>27</v>
      </c>
      <c r="D16" s="27"/>
      <c r="F16" s="35"/>
      <c r="I16" s="31"/>
      <c r="J16" s="13">
        <v>3500</v>
      </c>
      <c r="K16" s="35"/>
      <c r="M16" s="35"/>
      <c r="N16" s="35"/>
      <c r="O16" s="35"/>
      <c r="P16" s="14"/>
      <c r="Q16" s="27"/>
      <c r="U16" s="31"/>
      <c r="V16" s="13"/>
      <c r="AA16" s="31"/>
      <c r="AB16" s="13"/>
      <c r="AC16" s="31"/>
      <c r="AD16" s="15"/>
    </row>
    <row r="17" spans="1:30" x14ac:dyDescent="0.25">
      <c r="A17" s="311"/>
      <c r="B17" s="20">
        <v>46108</v>
      </c>
      <c r="C17" s="82" t="s">
        <v>361</v>
      </c>
      <c r="D17" s="27"/>
      <c r="F17" s="35"/>
      <c r="G17">
        <v>190</v>
      </c>
      <c r="I17" s="31"/>
      <c r="J17" s="13"/>
      <c r="K17" s="35"/>
      <c r="M17" s="35"/>
      <c r="N17" s="35"/>
      <c r="O17" s="35"/>
      <c r="P17" s="14"/>
      <c r="Q17" s="27"/>
      <c r="U17" s="31"/>
      <c r="V17" s="13"/>
      <c r="AA17" s="31"/>
      <c r="AB17" s="13"/>
      <c r="AC17" s="31"/>
      <c r="AD17" s="15"/>
    </row>
    <row r="18" spans="1:30" x14ac:dyDescent="0.25">
      <c r="A18" s="311"/>
      <c r="B18" s="20">
        <v>46108</v>
      </c>
      <c r="C18" s="82" t="s">
        <v>361</v>
      </c>
      <c r="D18" s="27"/>
      <c r="F18" s="35"/>
      <c r="H18">
        <v>52</v>
      </c>
      <c r="I18" s="31"/>
      <c r="J18" s="13"/>
      <c r="K18" s="35"/>
      <c r="M18" s="35"/>
      <c r="N18" s="35"/>
      <c r="O18" s="35"/>
      <c r="P18" s="14"/>
      <c r="Q18" s="27"/>
      <c r="U18" s="31"/>
      <c r="V18" s="13"/>
      <c r="AA18" s="31"/>
      <c r="AB18" s="13"/>
      <c r="AC18" s="31"/>
      <c r="AD18" s="15"/>
    </row>
    <row r="19" spans="1:30" x14ac:dyDescent="0.25">
      <c r="A19" s="311"/>
      <c r="B19" s="20">
        <v>46109</v>
      </c>
      <c r="C19" s="82" t="s">
        <v>27</v>
      </c>
      <c r="D19" s="27"/>
      <c r="F19" s="35"/>
      <c r="I19" s="31"/>
      <c r="J19" s="13"/>
      <c r="K19" s="35"/>
      <c r="M19" s="35"/>
      <c r="N19" s="35"/>
      <c r="O19" s="35">
        <v>3000</v>
      </c>
      <c r="P19" s="14"/>
      <c r="Q19" s="27"/>
      <c r="U19" s="31"/>
      <c r="V19" s="13"/>
      <c r="AA19" s="31"/>
      <c r="AB19" s="13"/>
      <c r="AC19" s="31"/>
      <c r="AD19" s="15"/>
    </row>
    <row r="20" spans="1:30" x14ac:dyDescent="0.25">
      <c r="A20" s="311"/>
      <c r="B20" s="20">
        <v>46109</v>
      </c>
      <c r="C20" s="82" t="s">
        <v>351</v>
      </c>
      <c r="D20" s="27"/>
      <c r="F20" s="35"/>
      <c r="I20" s="31"/>
      <c r="J20" s="13"/>
      <c r="K20" s="35"/>
      <c r="M20" s="35"/>
      <c r="N20" s="35"/>
      <c r="O20" s="35"/>
      <c r="P20" s="14"/>
      <c r="Q20" s="27"/>
      <c r="U20" s="31"/>
      <c r="V20" s="13">
        <v>1000</v>
      </c>
      <c r="AA20" s="31"/>
      <c r="AB20" s="13"/>
      <c r="AC20" s="31"/>
      <c r="AD20" s="15"/>
    </row>
    <row r="21" spans="1:30" x14ac:dyDescent="0.25">
      <c r="A21" s="311"/>
      <c r="B21" s="20"/>
      <c r="C21" s="82"/>
      <c r="D21" s="27"/>
      <c r="F21" s="35"/>
      <c r="I21" s="31"/>
      <c r="J21" s="13"/>
      <c r="K21" s="35"/>
      <c r="M21" s="35"/>
      <c r="N21" s="35"/>
      <c r="O21" s="35"/>
      <c r="P21" s="14"/>
      <c r="Q21" s="27"/>
      <c r="U21" s="31"/>
      <c r="V21" s="13"/>
      <c r="AA21" s="31"/>
      <c r="AB21" s="13"/>
      <c r="AC21" s="31"/>
      <c r="AD21" s="15"/>
    </row>
    <row r="22" spans="1:30" ht="15.75" thickBot="1" x14ac:dyDescent="0.3">
      <c r="A22" s="312"/>
      <c r="B22" s="72"/>
      <c r="C22" s="17"/>
      <c r="D22" s="28"/>
      <c r="E22" s="18"/>
      <c r="F22" s="36"/>
      <c r="G22" s="18"/>
      <c r="H22" s="18"/>
      <c r="I22" s="32"/>
      <c r="J22" s="16"/>
      <c r="K22" s="36"/>
      <c r="L22" s="18"/>
      <c r="M22" s="36"/>
      <c r="N22" s="36"/>
      <c r="O22" s="36"/>
      <c r="P22" s="17"/>
      <c r="Q22" s="28"/>
      <c r="R22" s="18"/>
      <c r="S22" s="18"/>
      <c r="T22" s="18"/>
      <c r="U22" s="32"/>
      <c r="V22" s="16"/>
      <c r="W22" s="18"/>
      <c r="X22" s="18"/>
      <c r="Y22" s="18"/>
      <c r="Z22" s="18"/>
      <c r="AA22" s="32"/>
      <c r="AB22" s="16"/>
      <c r="AC22" s="32"/>
      <c r="AD22" s="19"/>
    </row>
    <row r="23" spans="1:30" x14ac:dyDescent="0.25">
      <c r="A23" s="310" t="s">
        <v>62</v>
      </c>
      <c r="B23" s="160">
        <v>46104</v>
      </c>
      <c r="C23" s="14" t="s">
        <v>352</v>
      </c>
      <c r="D23" s="27">
        <v>4000</v>
      </c>
      <c r="F23" s="35"/>
      <c r="I23" s="31"/>
      <c r="J23" s="13"/>
      <c r="K23" s="35"/>
      <c r="M23" s="35"/>
      <c r="N23" s="35"/>
      <c r="O23" s="35"/>
      <c r="P23" s="14"/>
      <c r="Q23" s="27"/>
      <c r="U23" s="31"/>
      <c r="V23" s="13"/>
      <c r="AA23" s="31"/>
      <c r="AB23" s="13"/>
      <c r="AC23" s="31"/>
      <c r="AD23" s="15"/>
    </row>
    <row r="24" spans="1:30" x14ac:dyDescent="0.25">
      <c r="A24" s="311"/>
      <c r="B24" s="160">
        <v>46104</v>
      </c>
      <c r="C24" s="14" t="s">
        <v>353</v>
      </c>
      <c r="D24" s="27"/>
      <c r="F24" s="35"/>
      <c r="I24" s="31"/>
      <c r="J24" s="13"/>
      <c r="K24" s="35"/>
      <c r="L24">
        <v>2000</v>
      </c>
      <c r="M24" s="35"/>
      <c r="N24" s="35"/>
      <c r="O24" s="35"/>
      <c r="P24" s="14"/>
      <c r="Q24" s="27"/>
      <c r="U24" s="31"/>
      <c r="V24" s="13"/>
      <c r="AA24" s="31"/>
      <c r="AB24" s="13"/>
      <c r="AC24" s="31"/>
      <c r="AD24" s="15"/>
    </row>
    <row r="25" spans="1:30" x14ac:dyDescent="0.25">
      <c r="A25" s="311"/>
      <c r="B25" s="160">
        <v>46104</v>
      </c>
      <c r="C25" s="14" t="s">
        <v>354</v>
      </c>
      <c r="D25" s="27">
        <v>1500</v>
      </c>
      <c r="F25" s="35"/>
      <c r="I25" s="31"/>
      <c r="J25" s="13"/>
      <c r="K25" s="35"/>
      <c r="M25" s="35"/>
      <c r="N25" s="35"/>
      <c r="O25" s="35"/>
      <c r="P25" s="14"/>
      <c r="Q25" s="27"/>
      <c r="U25" s="31"/>
      <c r="V25" s="13"/>
      <c r="AA25" s="31"/>
      <c r="AB25" s="13"/>
      <c r="AC25" s="31"/>
      <c r="AD25" s="15"/>
    </row>
    <row r="26" spans="1:30" x14ac:dyDescent="0.25">
      <c r="A26" s="311"/>
      <c r="B26" s="160">
        <v>46104</v>
      </c>
      <c r="C26" s="14" t="s">
        <v>355</v>
      </c>
      <c r="D26" s="27">
        <v>800</v>
      </c>
      <c r="F26" s="35"/>
      <c r="I26" s="31"/>
      <c r="J26" s="13"/>
      <c r="K26" s="35"/>
      <c r="M26" s="35"/>
      <c r="N26" s="35"/>
      <c r="O26" s="35"/>
      <c r="P26" s="14"/>
      <c r="Q26" s="27"/>
      <c r="U26" s="31"/>
      <c r="V26" s="13"/>
      <c r="AA26" s="31"/>
      <c r="AB26" s="13"/>
      <c r="AC26" s="31"/>
      <c r="AD26" s="15"/>
    </row>
    <row r="27" spans="1:30" x14ac:dyDescent="0.25">
      <c r="A27" s="311"/>
      <c r="B27" s="160">
        <v>46104</v>
      </c>
      <c r="C27" s="14" t="s">
        <v>304</v>
      </c>
      <c r="D27" s="27"/>
      <c r="F27" s="35"/>
      <c r="I27" s="31"/>
      <c r="J27" s="13"/>
      <c r="K27" s="35"/>
      <c r="M27" s="35">
        <v>1000</v>
      </c>
      <c r="N27" s="35"/>
      <c r="O27" s="35"/>
      <c r="P27" s="14"/>
      <c r="Q27" s="27"/>
      <c r="U27" s="31"/>
      <c r="V27" s="13"/>
      <c r="AA27" s="31"/>
      <c r="AB27" s="13"/>
      <c r="AC27" s="31"/>
      <c r="AD27" s="15"/>
    </row>
    <row r="28" spans="1:30" x14ac:dyDescent="0.25">
      <c r="A28" s="311"/>
      <c r="B28" s="160">
        <v>46104</v>
      </c>
      <c r="C28" s="14" t="s">
        <v>356</v>
      </c>
      <c r="D28" s="27"/>
      <c r="F28" s="35"/>
      <c r="I28" s="31"/>
      <c r="J28" s="13"/>
      <c r="K28" s="35"/>
      <c r="M28" s="35"/>
      <c r="N28" s="35"/>
      <c r="O28" s="35"/>
      <c r="P28" s="14"/>
      <c r="Q28" s="27"/>
      <c r="T28">
        <v>30</v>
      </c>
      <c r="U28" s="31"/>
      <c r="V28" s="13"/>
      <c r="AA28" s="31"/>
      <c r="AB28" s="13"/>
      <c r="AC28" s="31"/>
      <c r="AD28" s="15"/>
    </row>
    <row r="29" spans="1:30" x14ac:dyDescent="0.25">
      <c r="A29" s="311"/>
      <c r="B29" s="160">
        <v>46105</v>
      </c>
      <c r="C29" s="14" t="s">
        <v>303</v>
      </c>
      <c r="D29" s="27">
        <v>44</v>
      </c>
      <c r="F29" s="35"/>
      <c r="I29" s="31"/>
      <c r="J29" s="13"/>
      <c r="K29" s="35"/>
      <c r="M29" s="35"/>
      <c r="N29" s="35"/>
      <c r="O29" s="35"/>
      <c r="P29" s="14"/>
      <c r="Q29" s="27"/>
      <c r="U29" s="31"/>
      <c r="V29" s="13"/>
      <c r="AA29" s="31"/>
      <c r="AB29" s="13"/>
      <c r="AC29" s="31"/>
      <c r="AD29" s="15"/>
    </row>
    <row r="30" spans="1:30" x14ac:dyDescent="0.25">
      <c r="A30" s="311"/>
      <c r="B30" s="160">
        <v>46105</v>
      </c>
      <c r="C30" s="14" t="s">
        <v>362</v>
      </c>
      <c r="D30" s="27"/>
      <c r="F30" s="35"/>
      <c r="I30" s="31"/>
      <c r="J30" s="13"/>
      <c r="K30" s="35">
        <v>1000</v>
      </c>
      <c r="M30" s="35"/>
      <c r="N30" s="35"/>
      <c r="O30" s="35"/>
      <c r="P30" s="14"/>
      <c r="Q30" s="27"/>
      <c r="U30" s="31"/>
      <c r="V30" s="13"/>
      <c r="AA30" s="31"/>
      <c r="AB30" s="13"/>
      <c r="AC30" s="31"/>
      <c r="AD30" s="15"/>
    </row>
    <row r="31" spans="1:30" x14ac:dyDescent="0.25">
      <c r="A31" s="311"/>
      <c r="B31" s="160">
        <v>46105</v>
      </c>
      <c r="C31" s="14" t="s">
        <v>296</v>
      </c>
      <c r="D31" s="27"/>
      <c r="F31" s="35"/>
      <c r="I31" s="31"/>
      <c r="J31" s="13"/>
      <c r="K31" s="35"/>
      <c r="M31" s="35"/>
      <c r="N31" s="35"/>
      <c r="O31" s="35"/>
      <c r="P31" s="14"/>
      <c r="Q31" s="27"/>
      <c r="T31">
        <v>2</v>
      </c>
      <c r="U31" s="31"/>
      <c r="V31" s="13"/>
      <c r="AA31" s="31"/>
      <c r="AB31" s="13"/>
      <c r="AC31" s="31"/>
      <c r="AD31" s="15"/>
    </row>
    <row r="32" spans="1:30" x14ac:dyDescent="0.25">
      <c r="A32" s="311"/>
      <c r="B32" s="160">
        <v>46105</v>
      </c>
      <c r="C32" s="14" t="s">
        <v>363</v>
      </c>
      <c r="D32" s="27"/>
      <c r="F32" s="35"/>
      <c r="I32" s="31"/>
      <c r="J32" s="13"/>
      <c r="K32" s="35"/>
      <c r="M32" s="35"/>
      <c r="N32" s="35"/>
      <c r="O32" s="35"/>
      <c r="P32" s="14"/>
      <c r="Q32" s="27"/>
      <c r="U32" s="31"/>
      <c r="V32" s="13"/>
      <c r="Y32">
        <v>800</v>
      </c>
      <c r="AA32" s="31"/>
      <c r="AB32" s="13"/>
      <c r="AC32" s="31"/>
      <c r="AD32" s="15"/>
    </row>
    <row r="33" spans="1:160" x14ac:dyDescent="0.25">
      <c r="A33" s="311"/>
      <c r="B33" s="160">
        <v>46105</v>
      </c>
      <c r="C33" s="14" t="s">
        <v>364</v>
      </c>
      <c r="D33" s="27"/>
      <c r="F33" s="35"/>
      <c r="I33" s="31"/>
      <c r="J33" s="13"/>
      <c r="K33" s="35"/>
      <c r="M33" s="35"/>
      <c r="N33" s="35"/>
      <c r="O33" s="35"/>
      <c r="P33" s="14"/>
      <c r="Q33" s="27"/>
      <c r="U33" s="31"/>
      <c r="V33" s="13">
        <v>800</v>
      </c>
      <c r="AA33" s="31"/>
      <c r="AB33" s="13"/>
      <c r="AC33" s="31"/>
      <c r="AD33" s="15"/>
    </row>
    <row r="34" spans="1:160" x14ac:dyDescent="0.25">
      <c r="A34" s="311"/>
      <c r="B34" s="160">
        <v>46105</v>
      </c>
      <c r="C34" s="14" t="s">
        <v>365</v>
      </c>
      <c r="D34" s="27"/>
      <c r="F34" s="35"/>
      <c r="I34" s="31"/>
      <c r="J34" s="13"/>
      <c r="K34" s="35"/>
      <c r="M34" s="35"/>
      <c r="N34" s="35"/>
      <c r="O34" s="35"/>
      <c r="P34" s="14"/>
      <c r="Q34" s="27"/>
      <c r="T34">
        <v>1000</v>
      </c>
      <c r="U34" s="31"/>
      <c r="V34" s="13"/>
      <c r="AA34" s="31"/>
      <c r="AB34" s="13"/>
      <c r="AC34" s="31"/>
      <c r="AD34" s="15"/>
    </row>
    <row r="35" spans="1:160" x14ac:dyDescent="0.25">
      <c r="A35" s="311"/>
      <c r="B35" s="160">
        <v>46106</v>
      </c>
      <c r="C35" s="14" t="s">
        <v>363</v>
      </c>
      <c r="D35" s="27"/>
      <c r="F35" s="35"/>
      <c r="I35" s="31"/>
      <c r="J35" s="13"/>
      <c r="K35" s="35"/>
      <c r="M35" s="35">
        <v>1000</v>
      </c>
      <c r="N35" s="35"/>
      <c r="O35" s="35"/>
      <c r="P35" s="14"/>
      <c r="Q35" s="27"/>
      <c r="U35" s="31"/>
      <c r="V35" s="13"/>
      <c r="AA35" s="31"/>
      <c r="AB35" s="13"/>
      <c r="AC35" s="31"/>
      <c r="AD35" s="15"/>
    </row>
    <row r="36" spans="1:160" x14ac:dyDescent="0.25">
      <c r="A36" s="311"/>
      <c r="B36" s="160">
        <v>46106</v>
      </c>
      <c r="C36" s="14" t="s">
        <v>374</v>
      </c>
      <c r="D36" s="27">
        <v>4000</v>
      </c>
      <c r="F36" s="35"/>
      <c r="I36" s="31"/>
      <c r="J36" s="13"/>
      <c r="K36" s="35"/>
      <c r="M36" s="35"/>
      <c r="N36" s="35"/>
      <c r="O36" s="35"/>
      <c r="P36" s="14"/>
      <c r="Q36" s="27"/>
      <c r="U36" s="31"/>
      <c r="V36" s="13"/>
      <c r="AA36" s="31"/>
      <c r="AB36" s="13"/>
      <c r="AC36" s="31"/>
      <c r="AD36" s="15"/>
    </row>
    <row r="37" spans="1:160" s="112" customFormat="1" x14ac:dyDescent="0.25">
      <c r="A37" s="311"/>
      <c r="B37" s="160">
        <v>46106</v>
      </c>
      <c r="C37" s="14" t="s">
        <v>375</v>
      </c>
      <c r="D37" s="27"/>
      <c r="E37"/>
      <c r="F37" s="35"/>
      <c r="G37"/>
      <c r="H37"/>
      <c r="I37" s="31"/>
      <c r="J37" s="13"/>
      <c r="K37" s="35">
        <v>500</v>
      </c>
      <c r="L37"/>
      <c r="M37" s="35"/>
      <c r="N37" s="35"/>
      <c r="O37" s="35"/>
      <c r="P37" s="14"/>
      <c r="Q37" s="27"/>
      <c r="R37"/>
      <c r="S37"/>
      <c r="T37"/>
      <c r="U37" s="31"/>
      <c r="V37" s="13"/>
      <c r="W37"/>
      <c r="X37"/>
      <c r="Y37"/>
      <c r="Z37"/>
      <c r="AA37" s="31"/>
      <c r="AB37" s="13"/>
      <c r="AC37" s="31"/>
      <c r="AD37" s="15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</row>
    <row r="38" spans="1:160" x14ac:dyDescent="0.25">
      <c r="A38" s="311"/>
      <c r="B38" s="160">
        <v>46106</v>
      </c>
      <c r="C38" s="14" t="s">
        <v>296</v>
      </c>
      <c r="D38" s="27"/>
      <c r="F38" s="35">
        <v>72</v>
      </c>
      <c r="I38" s="31"/>
      <c r="J38" s="13"/>
      <c r="K38" s="35"/>
      <c r="M38" s="35"/>
      <c r="N38" s="35"/>
      <c r="O38" s="35"/>
      <c r="P38" s="14"/>
      <c r="Q38" s="27"/>
      <c r="U38" s="31"/>
      <c r="V38" s="13"/>
      <c r="AA38" s="31"/>
      <c r="AB38" s="13"/>
      <c r="AC38" s="31"/>
      <c r="AD38" s="15"/>
    </row>
    <row r="39" spans="1:160" x14ac:dyDescent="0.25">
      <c r="A39" s="311"/>
      <c r="B39" s="160">
        <v>46106</v>
      </c>
      <c r="C39" s="14" t="s">
        <v>382</v>
      </c>
      <c r="D39" s="27"/>
      <c r="F39" s="35">
        <v>1000</v>
      </c>
      <c r="I39" s="31"/>
      <c r="J39" s="13"/>
      <c r="K39" s="35"/>
      <c r="M39" s="35"/>
      <c r="N39" s="35"/>
      <c r="O39" s="35"/>
      <c r="P39" s="14"/>
      <c r="Q39" s="27"/>
      <c r="U39" s="31"/>
      <c r="V39" s="13"/>
      <c r="AA39" s="31"/>
      <c r="AB39" s="13"/>
      <c r="AC39" s="31"/>
      <c r="AD39" s="15"/>
      <c r="AI39">
        <f>500*2.9</f>
        <v>1450</v>
      </c>
    </row>
    <row r="40" spans="1:160" x14ac:dyDescent="0.25">
      <c r="A40" s="311"/>
      <c r="B40" s="160">
        <v>46106</v>
      </c>
      <c r="C40" s="14" t="s">
        <v>383</v>
      </c>
      <c r="D40" s="27"/>
      <c r="F40" s="35">
        <v>150</v>
      </c>
      <c r="I40" s="31"/>
      <c r="J40" s="13"/>
      <c r="K40" s="35"/>
      <c r="M40" s="35"/>
      <c r="N40" s="35"/>
      <c r="O40" s="35"/>
      <c r="P40" s="14"/>
      <c r="Q40" s="27"/>
      <c r="U40" s="31"/>
      <c r="V40" s="13"/>
      <c r="AA40" s="31"/>
      <c r="AB40" s="13"/>
      <c r="AC40" s="31"/>
      <c r="AD40" s="15"/>
    </row>
    <row r="41" spans="1:160" x14ac:dyDescent="0.25">
      <c r="A41" s="311"/>
      <c r="B41" s="160">
        <v>46107</v>
      </c>
      <c r="C41" s="14" t="s">
        <v>392</v>
      </c>
      <c r="D41" s="27"/>
      <c r="F41" s="35">
        <v>180</v>
      </c>
      <c r="I41" s="31"/>
      <c r="J41" s="13"/>
      <c r="K41" s="35"/>
      <c r="M41" s="35"/>
      <c r="N41" s="35"/>
      <c r="O41" s="35"/>
      <c r="P41" s="14"/>
      <c r="Q41" s="27"/>
      <c r="U41" s="31"/>
      <c r="V41" s="13"/>
      <c r="AA41" s="31"/>
      <c r="AB41" s="13"/>
      <c r="AC41" s="31"/>
      <c r="AD41" s="15"/>
    </row>
    <row r="42" spans="1:160" x14ac:dyDescent="0.25">
      <c r="A42" s="311"/>
      <c r="B42" s="160">
        <v>46108</v>
      </c>
      <c r="C42" s="14" t="s">
        <v>304</v>
      </c>
      <c r="D42" s="27"/>
      <c r="F42" s="35"/>
      <c r="I42" s="31"/>
      <c r="J42" s="13"/>
      <c r="K42" s="35"/>
      <c r="M42" s="35">
        <v>1200</v>
      </c>
      <c r="N42" s="35"/>
      <c r="O42" s="35"/>
      <c r="P42" s="14"/>
      <c r="Q42" s="27"/>
      <c r="U42" s="31"/>
      <c r="V42" s="13"/>
      <c r="AA42" s="31"/>
      <c r="AB42" s="13"/>
      <c r="AC42" s="31"/>
      <c r="AD42" s="15"/>
    </row>
    <row r="43" spans="1:160" x14ac:dyDescent="0.25">
      <c r="A43" s="311"/>
      <c r="B43" s="160">
        <v>46108</v>
      </c>
      <c r="C43" s="14" t="s">
        <v>397</v>
      </c>
      <c r="D43" s="27"/>
      <c r="F43" s="35"/>
      <c r="I43" s="31"/>
      <c r="J43" s="13"/>
      <c r="K43" s="35"/>
      <c r="M43" s="35">
        <v>100</v>
      </c>
      <c r="N43" s="35"/>
      <c r="O43" s="35"/>
      <c r="P43" s="14"/>
      <c r="Q43" s="27"/>
      <c r="U43" s="31"/>
      <c r="V43" s="13"/>
      <c r="AA43" s="31"/>
      <c r="AB43" s="13"/>
      <c r="AC43" s="31"/>
      <c r="AD43" s="15"/>
    </row>
    <row r="44" spans="1:160" x14ac:dyDescent="0.25">
      <c r="A44" s="311"/>
      <c r="B44" s="160">
        <v>46108</v>
      </c>
      <c r="C44" s="14" t="s">
        <v>307</v>
      </c>
      <c r="D44" s="27"/>
      <c r="F44" s="35"/>
      <c r="I44" s="31"/>
      <c r="J44" s="13"/>
      <c r="K44" s="35"/>
      <c r="M44" s="35"/>
      <c r="N44" s="35"/>
      <c r="O44" s="35"/>
      <c r="P44" s="14"/>
      <c r="Q44" s="27"/>
      <c r="U44" s="31"/>
      <c r="V44" s="13">
        <v>400</v>
      </c>
      <c r="AA44" s="31"/>
      <c r="AB44" s="13"/>
      <c r="AC44" s="31"/>
      <c r="AD44" s="15"/>
      <c r="AH44">
        <f>250*0.58</f>
        <v>145</v>
      </c>
    </row>
    <row r="45" spans="1:160" x14ac:dyDescent="0.25">
      <c r="A45" s="311"/>
      <c r="B45" s="160">
        <v>46109</v>
      </c>
      <c r="C45" s="14" t="s">
        <v>406</v>
      </c>
      <c r="D45" s="27"/>
      <c r="F45" s="35"/>
      <c r="I45" s="31"/>
      <c r="J45" s="13"/>
      <c r="K45" s="35"/>
      <c r="M45" s="35"/>
      <c r="N45" s="35"/>
      <c r="O45" s="35"/>
      <c r="P45" s="14"/>
      <c r="Q45" s="27"/>
      <c r="U45" s="31"/>
      <c r="V45" s="13">
        <v>1000</v>
      </c>
      <c r="AA45" s="31"/>
      <c r="AB45" s="13"/>
      <c r="AC45" s="31"/>
      <c r="AD45" s="15"/>
    </row>
    <row r="46" spans="1:160" x14ac:dyDescent="0.25">
      <c r="A46" s="311"/>
      <c r="B46" s="160">
        <v>46109</v>
      </c>
      <c r="C46" s="14" t="s">
        <v>407</v>
      </c>
      <c r="D46" s="27"/>
      <c r="F46" s="35"/>
      <c r="I46" s="31"/>
      <c r="J46" s="13"/>
      <c r="K46" s="35"/>
      <c r="M46" s="35"/>
      <c r="N46" s="35"/>
      <c r="O46" s="35"/>
      <c r="P46" s="14"/>
      <c r="Q46" s="27"/>
      <c r="U46" s="31"/>
      <c r="V46" s="13">
        <v>300</v>
      </c>
      <c r="AA46" s="31"/>
      <c r="AB46" s="13"/>
      <c r="AC46" s="31"/>
      <c r="AD46" s="15"/>
    </row>
    <row r="47" spans="1:160" x14ac:dyDescent="0.25">
      <c r="A47" s="311"/>
      <c r="B47" s="20"/>
      <c r="C47" s="14"/>
      <c r="D47" s="27"/>
      <c r="F47" s="35"/>
      <c r="I47" s="31"/>
      <c r="J47" s="13"/>
      <c r="K47" s="35"/>
      <c r="M47" s="35"/>
      <c r="N47" s="35"/>
      <c r="O47" s="35"/>
      <c r="P47" s="14"/>
      <c r="Q47" s="27"/>
      <c r="U47" s="31"/>
      <c r="V47" s="13"/>
      <c r="AA47" s="31"/>
      <c r="AB47" s="13"/>
      <c r="AC47" s="31"/>
      <c r="AD47" s="15"/>
    </row>
    <row r="48" spans="1:160" x14ac:dyDescent="0.25">
      <c r="A48" s="311"/>
      <c r="B48" s="20"/>
      <c r="C48" s="14"/>
      <c r="D48" s="27"/>
      <c r="F48" s="35"/>
      <c r="I48" s="31"/>
      <c r="J48" s="13"/>
      <c r="K48" s="35"/>
      <c r="M48" s="35"/>
      <c r="N48" s="35"/>
      <c r="O48" s="35"/>
      <c r="P48" s="14"/>
      <c r="Q48" s="27"/>
      <c r="U48" s="31"/>
      <c r="V48" s="13"/>
      <c r="AA48" s="31"/>
      <c r="AB48" s="13"/>
      <c r="AC48" s="31"/>
      <c r="AD48" s="15"/>
    </row>
    <row r="49" spans="1:239" x14ac:dyDescent="0.25">
      <c r="A49" s="311"/>
      <c r="B49" s="20"/>
      <c r="C49" s="14"/>
      <c r="D49" s="27"/>
      <c r="F49" s="35"/>
      <c r="I49" s="31"/>
      <c r="J49" s="13"/>
      <c r="K49" s="35"/>
      <c r="M49" s="35"/>
      <c r="N49" s="35"/>
      <c r="O49" s="35"/>
      <c r="P49" s="14"/>
      <c r="Q49" s="27"/>
      <c r="U49" s="31"/>
      <c r="V49" s="13"/>
      <c r="AA49" s="31"/>
      <c r="AB49" s="13"/>
      <c r="AC49" s="31"/>
      <c r="AD49" s="15"/>
    </row>
    <row r="50" spans="1:239" s="52" customFormat="1" x14ac:dyDescent="0.25">
      <c r="A50" s="311"/>
      <c r="B50" s="114"/>
      <c r="C50" s="105" t="s">
        <v>178</v>
      </c>
      <c r="D50" s="83"/>
      <c r="E50" s="52">
        <v>48</v>
      </c>
      <c r="I50" s="105"/>
      <c r="J50" s="83"/>
      <c r="P50" s="105"/>
      <c r="Q50" s="83"/>
      <c r="U50" s="105"/>
      <c r="V50" s="83"/>
      <c r="AA50" s="105"/>
      <c r="AB50" s="83"/>
      <c r="AC50" s="105"/>
      <c r="AD50" s="115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</row>
    <row r="51" spans="1:239" x14ac:dyDescent="0.25">
      <c r="A51" s="311"/>
      <c r="B51" s="20"/>
      <c r="C51" s="14"/>
      <c r="D51" s="27"/>
      <c r="F51" s="35"/>
      <c r="I51" s="31"/>
      <c r="J51" s="13"/>
      <c r="K51" s="35"/>
      <c r="M51" s="35"/>
      <c r="N51" s="35"/>
      <c r="O51" s="35"/>
      <c r="P51" s="14"/>
      <c r="Q51" s="27"/>
      <c r="U51" s="31"/>
      <c r="V51" s="13"/>
      <c r="AA51" s="31"/>
      <c r="AB51" s="13"/>
      <c r="AC51" s="31"/>
      <c r="AD51" s="15"/>
    </row>
    <row r="52" spans="1:239" ht="15.75" thickBot="1" x14ac:dyDescent="0.3">
      <c r="A52" s="312"/>
      <c r="B52" s="13"/>
      <c r="C52" s="14"/>
      <c r="D52" s="27"/>
      <c r="F52" s="35"/>
      <c r="I52" s="31"/>
      <c r="J52" s="13"/>
      <c r="K52" s="35"/>
      <c r="M52" s="35"/>
      <c r="N52" s="35"/>
      <c r="O52" s="35"/>
      <c r="P52" s="14"/>
      <c r="Q52" s="27"/>
      <c r="U52" s="31"/>
      <c r="V52" s="13"/>
      <c r="AA52" s="31"/>
      <c r="AB52" s="13"/>
      <c r="AC52" s="31"/>
      <c r="AD52" s="15"/>
      <c r="AH52">
        <f>0.3*400</f>
        <v>120</v>
      </c>
    </row>
    <row r="53" spans="1:239" ht="21.75" thickBot="1" x14ac:dyDescent="0.3">
      <c r="A53" s="21" t="s">
        <v>23</v>
      </c>
      <c r="B53" s="22"/>
      <c r="C53" s="23"/>
      <c r="D53" s="29">
        <f t="shared" ref="D53:AD53" si="0">SUM(D4:D22)-SUM(D23:D52)</f>
        <v>4000</v>
      </c>
      <c r="E53" s="22">
        <f t="shared" si="0"/>
        <v>47</v>
      </c>
      <c r="F53" s="37">
        <f t="shared" si="0"/>
        <v>7661</v>
      </c>
      <c r="G53" s="24">
        <f t="shared" si="0"/>
        <v>190</v>
      </c>
      <c r="H53" s="24">
        <f t="shared" si="0"/>
        <v>52</v>
      </c>
      <c r="I53" s="33">
        <f t="shared" si="0"/>
        <v>0</v>
      </c>
      <c r="J53" s="22">
        <f t="shared" si="0"/>
        <v>3500</v>
      </c>
      <c r="K53" s="37">
        <f t="shared" si="0"/>
        <v>12720</v>
      </c>
      <c r="L53" s="24">
        <f t="shared" si="0"/>
        <v>181</v>
      </c>
      <c r="M53" s="37">
        <f t="shared" si="0"/>
        <v>25801</v>
      </c>
      <c r="N53" s="37">
        <f t="shared" si="0"/>
        <v>47</v>
      </c>
      <c r="O53" s="37">
        <f t="shared" si="0"/>
        <v>3000</v>
      </c>
      <c r="P53" s="23">
        <f t="shared" si="0"/>
        <v>0</v>
      </c>
      <c r="Q53" s="29">
        <f t="shared" si="0"/>
        <v>2</v>
      </c>
      <c r="R53" s="29">
        <f t="shared" si="0"/>
        <v>0</v>
      </c>
      <c r="S53" s="29">
        <f t="shared" si="0"/>
        <v>0</v>
      </c>
      <c r="T53" s="107">
        <f t="shared" si="0"/>
        <v>25</v>
      </c>
      <c r="U53" s="33">
        <f t="shared" si="0"/>
        <v>0</v>
      </c>
      <c r="V53" s="22">
        <f t="shared" si="0"/>
        <v>998</v>
      </c>
      <c r="W53" s="22">
        <f t="shared" si="0"/>
        <v>204</v>
      </c>
      <c r="X53" s="22">
        <f t="shared" si="0"/>
        <v>70</v>
      </c>
      <c r="Y53" s="22">
        <f t="shared" si="0"/>
        <v>1080</v>
      </c>
      <c r="Z53" s="22">
        <f t="shared" si="0"/>
        <v>0</v>
      </c>
      <c r="AA53" s="33">
        <f t="shared" si="0"/>
        <v>0</v>
      </c>
      <c r="AB53" s="22">
        <f t="shared" si="0"/>
        <v>0</v>
      </c>
      <c r="AC53" s="33">
        <f t="shared" si="0"/>
        <v>0</v>
      </c>
      <c r="AD53" s="25">
        <f t="shared" si="0"/>
        <v>35</v>
      </c>
    </row>
    <row r="55" spans="1:239" x14ac:dyDescent="0.25">
      <c r="C55" t="s">
        <v>176</v>
      </c>
      <c r="D55">
        <v>0.56000000000000005</v>
      </c>
      <c r="E55">
        <v>0.55000000000000004</v>
      </c>
      <c r="F55">
        <v>0.71</v>
      </c>
      <c r="G55">
        <v>0.65</v>
      </c>
      <c r="H55">
        <v>0.65</v>
      </c>
      <c r="I55">
        <v>0.74</v>
      </c>
      <c r="J55">
        <v>0.84</v>
      </c>
      <c r="K55">
        <v>0.8</v>
      </c>
      <c r="L55" s="50">
        <f>0.95+0.1</f>
        <v>1.05</v>
      </c>
      <c r="M55">
        <v>1.02</v>
      </c>
      <c r="N55">
        <v>0.82</v>
      </c>
      <c r="O55">
        <v>0.92</v>
      </c>
      <c r="P55">
        <f>+P53*0.66</f>
        <v>0</v>
      </c>
      <c r="Q55">
        <v>2.7</v>
      </c>
      <c r="R55">
        <f>+R53*2.1</f>
        <v>0</v>
      </c>
      <c r="S55">
        <f>S53*1.95</f>
        <v>0</v>
      </c>
      <c r="T55">
        <v>2.7</v>
      </c>
      <c r="U55">
        <v>2.35</v>
      </c>
      <c r="V55">
        <v>2.8</v>
      </c>
      <c r="W55">
        <v>2.5499999999999998</v>
      </c>
      <c r="X55">
        <v>2.9</v>
      </c>
      <c r="Y55">
        <v>2.85</v>
      </c>
      <c r="Z55">
        <v>2.4</v>
      </c>
      <c r="AA55">
        <f>+AA53*2.15</f>
        <v>0</v>
      </c>
      <c r="AB55">
        <f>+AB53*0.44</f>
        <v>0</v>
      </c>
      <c r="AC55">
        <f>+AC53*0.34</f>
        <v>0</v>
      </c>
      <c r="AD55" s="109"/>
    </row>
    <row r="56" spans="1:239" x14ac:dyDescent="0.25">
      <c r="D56">
        <f>+D53*D55</f>
        <v>2240</v>
      </c>
      <c r="E56">
        <f>+E53*E55</f>
        <v>25.85</v>
      </c>
      <c r="F56">
        <f t="shared" ref="F56:AD56" si="1">+F53*F55</f>
        <v>5439.3099999999995</v>
      </c>
      <c r="G56">
        <f t="shared" si="1"/>
        <v>123.5</v>
      </c>
      <c r="H56">
        <f t="shared" si="1"/>
        <v>33.800000000000004</v>
      </c>
      <c r="I56">
        <f t="shared" si="1"/>
        <v>0</v>
      </c>
      <c r="J56">
        <f t="shared" si="1"/>
        <v>2940</v>
      </c>
      <c r="K56">
        <f t="shared" si="1"/>
        <v>10176</v>
      </c>
      <c r="L56">
        <f t="shared" si="1"/>
        <v>190.05</v>
      </c>
      <c r="M56">
        <f t="shared" si="1"/>
        <v>26317.02</v>
      </c>
      <c r="N56">
        <f>N53*N55</f>
        <v>38.54</v>
      </c>
      <c r="O56">
        <f t="shared" si="1"/>
        <v>2760</v>
      </c>
      <c r="P56">
        <f t="shared" si="1"/>
        <v>0</v>
      </c>
      <c r="Q56">
        <f t="shared" si="1"/>
        <v>5.4</v>
      </c>
      <c r="R56">
        <f t="shared" si="1"/>
        <v>0</v>
      </c>
      <c r="S56">
        <f t="shared" si="1"/>
        <v>0</v>
      </c>
      <c r="T56">
        <f t="shared" si="1"/>
        <v>67.5</v>
      </c>
      <c r="U56">
        <f t="shared" si="1"/>
        <v>0</v>
      </c>
      <c r="V56">
        <f t="shared" si="1"/>
        <v>2794.3999999999996</v>
      </c>
      <c r="W56">
        <f t="shared" si="1"/>
        <v>520.19999999999993</v>
      </c>
      <c r="X56">
        <f t="shared" si="1"/>
        <v>203</v>
      </c>
      <c r="Y56">
        <f>Y53*Y55</f>
        <v>3078</v>
      </c>
      <c r="AA56">
        <f t="shared" si="1"/>
        <v>0</v>
      </c>
      <c r="AB56">
        <f t="shared" si="1"/>
        <v>0</v>
      </c>
      <c r="AD56">
        <f t="shared" si="1"/>
        <v>0</v>
      </c>
      <c r="AE56" s="52">
        <f>SUM(D56:AD56)</f>
        <v>56952.57</v>
      </c>
    </row>
    <row r="57" spans="1:239" ht="15.75" thickBot="1" x14ac:dyDescent="0.3"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103"/>
      <c r="U57" s="39"/>
      <c r="V57" s="39"/>
      <c r="W57" s="39"/>
      <c r="X57" s="39"/>
      <c r="Y57" s="39"/>
      <c r="Z57" s="39"/>
      <c r="AA57" s="39"/>
      <c r="AB57" s="39"/>
      <c r="AC57" s="39"/>
      <c r="AD57" s="39"/>
    </row>
    <row r="58" spans="1:239" ht="15.75" thickBot="1" x14ac:dyDescent="0.3">
      <c r="C58" s="91"/>
      <c r="E58" s="79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8"/>
      <c r="U58" s="104"/>
      <c r="V58" s="104"/>
      <c r="W58" s="104"/>
      <c r="X58" s="104"/>
      <c r="Y58" s="104"/>
      <c r="Z58" s="104"/>
      <c r="AA58" s="104"/>
      <c r="AB58" s="104"/>
      <c r="AC58" s="104"/>
      <c r="AD58" s="80"/>
    </row>
    <row r="60" spans="1:239" x14ac:dyDescent="0.25">
      <c r="P60" s="60"/>
      <c r="T60" s="50"/>
    </row>
    <row r="61" spans="1:239" x14ac:dyDescent="0.25">
      <c r="K61" s="60">
        <v>0.82</v>
      </c>
      <c r="T61" s="85"/>
      <c r="V61" s="84"/>
    </row>
    <row r="62" spans="1:239" x14ac:dyDescent="0.25">
      <c r="K62" s="60"/>
      <c r="T62" s="85"/>
      <c r="V62" s="84"/>
    </row>
    <row r="63" spans="1:239" x14ac:dyDescent="0.25">
      <c r="K63" s="60"/>
      <c r="T63" s="85"/>
      <c r="V63" s="84"/>
    </row>
    <row r="64" spans="1:239" x14ac:dyDescent="0.25">
      <c r="K64" s="60"/>
      <c r="T64" s="85"/>
      <c r="V64" s="84"/>
    </row>
    <row r="65" spans="11:35" x14ac:dyDescent="0.25">
      <c r="K65" s="60"/>
      <c r="T65" s="85"/>
      <c r="V65" s="84"/>
    </row>
    <row r="66" spans="11:35" x14ac:dyDescent="0.25">
      <c r="K66" s="60"/>
      <c r="T66" s="85">
        <f>N50*0.82</f>
        <v>0</v>
      </c>
      <c r="V66" s="84"/>
    </row>
    <row r="67" spans="11:35" x14ac:dyDescent="0.25">
      <c r="K67" s="60"/>
      <c r="T67" s="85"/>
      <c r="V67" s="84"/>
      <c r="AH67" t="s">
        <v>291</v>
      </c>
    </row>
    <row r="68" spans="11:35" x14ac:dyDescent="0.25">
      <c r="K68" s="60"/>
      <c r="Q68">
        <f>O55*O56</f>
        <v>2539.2000000000003</v>
      </c>
      <c r="T68" s="85"/>
      <c r="V68" s="84"/>
    </row>
    <row r="69" spans="11:35" x14ac:dyDescent="0.25">
      <c r="K69" s="60"/>
      <c r="T69" s="85"/>
      <c r="V69" s="84"/>
    </row>
    <row r="70" spans="11:35" x14ac:dyDescent="0.25">
      <c r="K70" s="60"/>
      <c r="T70" s="85"/>
      <c r="V70" s="84"/>
    </row>
    <row r="71" spans="11:35" x14ac:dyDescent="0.25">
      <c r="K71" s="60"/>
      <c r="T71" s="85"/>
      <c r="V71" s="84"/>
    </row>
    <row r="72" spans="11:35" x14ac:dyDescent="0.25">
      <c r="K72" s="60"/>
      <c r="T72" s="85"/>
      <c r="V72" s="84"/>
    </row>
    <row r="73" spans="11:35" x14ac:dyDescent="0.25">
      <c r="K73" s="60"/>
      <c r="T73" s="85"/>
      <c r="V73" s="84"/>
    </row>
    <row r="74" spans="11:35" x14ac:dyDescent="0.25">
      <c r="K74" s="60"/>
      <c r="T74" s="85"/>
      <c r="V74" s="84"/>
    </row>
    <row r="75" spans="11:35" x14ac:dyDescent="0.25">
      <c r="K75" s="60"/>
      <c r="T75" s="85"/>
      <c r="V75" s="84"/>
    </row>
    <row r="76" spans="11:35" x14ac:dyDescent="0.25">
      <c r="L76" s="60"/>
      <c r="T76" s="60"/>
    </row>
    <row r="78" spans="11:35" ht="30" customHeight="1" x14ac:dyDescent="0.25">
      <c r="AH78" t="s">
        <v>130</v>
      </c>
      <c r="AI78">
        <v>1667</v>
      </c>
    </row>
    <row r="79" spans="11:35" x14ac:dyDescent="0.25">
      <c r="AI79">
        <v>1070</v>
      </c>
    </row>
    <row r="80" spans="11:35" x14ac:dyDescent="0.25">
      <c r="W80" t="s">
        <v>139</v>
      </c>
      <c r="AI80">
        <f>AI78-AI79</f>
        <v>597</v>
      </c>
    </row>
    <row r="81" spans="3:37" x14ac:dyDescent="0.25">
      <c r="C81" s="98" t="s">
        <v>118</v>
      </c>
      <c r="D81">
        <f>5050+180</f>
        <v>5230</v>
      </c>
      <c r="E81">
        <v>140</v>
      </c>
      <c r="F81">
        <f>-310+70+80</f>
        <v>-160</v>
      </c>
      <c r="G81">
        <f>8000+1340-200</f>
        <v>9140</v>
      </c>
      <c r="I81">
        <f>12540+400</f>
        <v>12940</v>
      </c>
      <c r="J81">
        <f>3670+1320-7150</f>
        <v>-2160</v>
      </c>
      <c r="K81">
        <f>12700+870+980+24320+600</f>
        <v>39470</v>
      </c>
      <c r="L81">
        <f>38950+1000+1080+600</f>
        <v>41630</v>
      </c>
      <c r="M81">
        <f>23176+4500+600+1000+35680+3900</f>
        <v>68856</v>
      </c>
    </row>
    <row r="82" spans="3:37" x14ac:dyDescent="0.25">
      <c r="C82" t="s">
        <v>119</v>
      </c>
      <c r="D82">
        <v>6500</v>
      </c>
      <c r="E82">
        <v>6500</v>
      </c>
      <c r="F82">
        <v>6500</v>
      </c>
      <c r="G82">
        <v>6500</v>
      </c>
      <c r="I82">
        <v>5800</v>
      </c>
      <c r="J82">
        <v>5800</v>
      </c>
      <c r="K82">
        <v>5800</v>
      </c>
      <c r="L82">
        <v>5100</v>
      </c>
      <c r="M82">
        <v>5100</v>
      </c>
    </row>
    <row r="83" spans="3:37" x14ac:dyDescent="0.25">
      <c r="C83" t="s">
        <v>120</v>
      </c>
      <c r="D83">
        <v>33280</v>
      </c>
      <c r="E83">
        <v>33280</v>
      </c>
      <c r="F83">
        <f>38060-1480</f>
        <v>36580</v>
      </c>
      <c r="G83">
        <v>27560</v>
      </c>
      <c r="I83">
        <v>24080</v>
      </c>
      <c r="J83">
        <v>42702</v>
      </c>
      <c r="K83">
        <v>0</v>
      </c>
      <c r="L83">
        <v>0</v>
      </c>
      <c r="M83">
        <f>1081-340</f>
        <v>741</v>
      </c>
    </row>
    <row r="84" spans="3:37" x14ac:dyDescent="0.25">
      <c r="C84" t="s">
        <v>123</v>
      </c>
      <c r="D84">
        <v>2960</v>
      </c>
      <c r="E84">
        <v>2960</v>
      </c>
      <c r="F84">
        <f>1150</f>
        <v>1150</v>
      </c>
      <c r="G84">
        <v>1980</v>
      </c>
      <c r="I84">
        <v>4000</v>
      </c>
      <c r="J84">
        <v>0</v>
      </c>
      <c r="L84">
        <v>0</v>
      </c>
      <c r="M84">
        <v>0</v>
      </c>
      <c r="AH84" t="s">
        <v>149</v>
      </c>
      <c r="AI84">
        <v>14352</v>
      </c>
      <c r="AJ84" t="s">
        <v>150</v>
      </c>
      <c r="AK84" t="s">
        <v>151</v>
      </c>
    </row>
    <row r="85" spans="3:37" x14ac:dyDescent="0.25">
      <c r="C85" t="s">
        <v>122</v>
      </c>
      <c r="D85">
        <v>1300</v>
      </c>
      <c r="E85">
        <v>1300</v>
      </c>
      <c r="F85">
        <v>1300</v>
      </c>
      <c r="G85">
        <v>1300</v>
      </c>
      <c r="I85">
        <v>1140</v>
      </c>
      <c r="J85">
        <v>1140</v>
      </c>
      <c r="K85">
        <v>1140</v>
      </c>
      <c r="L85">
        <v>0</v>
      </c>
      <c r="M85">
        <v>0</v>
      </c>
      <c r="AI85">
        <v>-14547</v>
      </c>
      <c r="AJ85" t="s">
        <v>152</v>
      </c>
    </row>
    <row r="86" spans="3:37" x14ac:dyDescent="0.25">
      <c r="C86" t="s">
        <v>127</v>
      </c>
      <c r="D86">
        <v>-9815</v>
      </c>
      <c r="E86">
        <v>-4815</v>
      </c>
      <c r="F86">
        <v>-4815</v>
      </c>
      <c r="G86">
        <v>-4815</v>
      </c>
      <c r="I86">
        <v>-4815</v>
      </c>
      <c r="J86">
        <v>-4815</v>
      </c>
      <c r="K86">
        <v>-3609</v>
      </c>
      <c r="L86">
        <v>-3609</v>
      </c>
      <c r="M86">
        <f>-1324-1120</f>
        <v>-2444</v>
      </c>
    </row>
    <row r="87" spans="3:37" x14ac:dyDescent="0.25">
      <c r="C87" t="s">
        <v>128</v>
      </c>
      <c r="M87">
        <f>-2336.5*12</f>
        <v>-28038</v>
      </c>
      <c r="AI87">
        <f>SUM(AI84:AI86)</f>
        <v>-195</v>
      </c>
      <c r="AJ87" t="s">
        <v>153</v>
      </c>
    </row>
    <row r="89" spans="3:37" x14ac:dyDescent="0.25">
      <c r="D89">
        <f>SUM(D81:D88)</f>
        <v>39455</v>
      </c>
      <c r="E89">
        <f>SUM(E81:E86)</f>
        <v>39365</v>
      </c>
      <c r="F89">
        <f>SUM(F81:F86)</f>
        <v>40555</v>
      </c>
      <c r="G89">
        <f>SUM(G81:G86)</f>
        <v>41665</v>
      </c>
      <c r="I89">
        <f>SUM(I81:I86)</f>
        <v>43145</v>
      </c>
      <c r="J89">
        <f>SUM(J81:J86)</f>
        <v>42667</v>
      </c>
      <c r="K89">
        <f>SUM(K81:K88)</f>
        <v>42801</v>
      </c>
      <c r="L89">
        <f>SUM(L81:L88)</f>
        <v>43121</v>
      </c>
      <c r="M89">
        <f>SUM(M81:M88)</f>
        <v>44215</v>
      </c>
    </row>
    <row r="90" spans="3:37" x14ac:dyDescent="0.25">
      <c r="C90" t="s">
        <v>124</v>
      </c>
      <c r="D90">
        <v>100</v>
      </c>
      <c r="E90">
        <v>100</v>
      </c>
      <c r="F90">
        <v>100</v>
      </c>
      <c r="G90">
        <v>100</v>
      </c>
      <c r="I90">
        <f>100+350</f>
        <v>450</v>
      </c>
      <c r="J90">
        <v>100</v>
      </c>
      <c r="K90">
        <v>100</v>
      </c>
      <c r="AH90" t="s">
        <v>158</v>
      </c>
      <c r="AJ90">
        <v>24005</v>
      </c>
    </row>
    <row r="91" spans="3:37" x14ac:dyDescent="0.25">
      <c r="C91" t="s">
        <v>125</v>
      </c>
      <c r="D91">
        <f t="shared" ref="D91:J91" si="2">+D89-D90</f>
        <v>39355</v>
      </c>
      <c r="E91">
        <f t="shared" si="2"/>
        <v>39265</v>
      </c>
      <c r="F91">
        <f t="shared" si="2"/>
        <v>40455</v>
      </c>
      <c r="G91">
        <f t="shared" si="2"/>
        <v>41565</v>
      </c>
      <c r="I91">
        <f t="shared" si="2"/>
        <v>42695</v>
      </c>
      <c r="J91">
        <f t="shared" si="2"/>
        <v>42567</v>
      </c>
      <c r="K91">
        <f>+K89-K90</f>
        <v>42701</v>
      </c>
      <c r="AJ91">
        <v>-24080</v>
      </c>
    </row>
    <row r="92" spans="3:37" x14ac:dyDescent="0.25">
      <c r="G92">
        <f>+G91-F91</f>
        <v>1110</v>
      </c>
      <c r="I92">
        <f>+I91-G91</f>
        <v>1130</v>
      </c>
      <c r="M92">
        <f>+M89-L89</f>
        <v>1094</v>
      </c>
      <c r="AI92" t="s">
        <v>159</v>
      </c>
      <c r="AJ92">
        <f>SUM(AJ90:AJ91)</f>
        <v>-75</v>
      </c>
    </row>
    <row r="93" spans="3:37" x14ac:dyDescent="0.25">
      <c r="J93">
        <f>+I91-J91</f>
        <v>128</v>
      </c>
      <c r="K93">
        <f>+K91-J91</f>
        <v>134</v>
      </c>
    </row>
    <row r="96" spans="3:37" x14ac:dyDescent="0.25">
      <c r="K96" s="102">
        <v>20611410159</v>
      </c>
    </row>
    <row r="97" spans="11:11" x14ac:dyDescent="0.25">
      <c r="K97" s="102">
        <v>41200545</v>
      </c>
    </row>
  </sheetData>
  <mergeCells count="7">
    <mergeCell ref="AB2:AC2"/>
    <mergeCell ref="A4:A22"/>
    <mergeCell ref="A23:A52"/>
    <mergeCell ref="D2:I2"/>
    <mergeCell ref="J2:P2"/>
    <mergeCell ref="Q2:U2"/>
    <mergeCell ref="V2:AA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642A-301F-49A7-A3CE-1EF6F8F74CA2}">
  <dimension ref="A1:IE99"/>
  <sheetViews>
    <sheetView zoomScale="60" zoomScaleNormal="6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R40" sqref="R4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9.42578125" customWidth="1"/>
    <col min="10" max="10" width="16" customWidth="1"/>
    <col min="11" max="11" width="11.28515625" customWidth="1"/>
    <col min="12" max="12" width="10.140625" customWidth="1"/>
    <col min="13" max="14" width="12" customWidth="1"/>
    <col min="15" max="15" width="11.28515625" customWidth="1"/>
    <col min="16" max="16" width="10.42578125" bestFit="1" customWidth="1"/>
    <col min="17" max="17" width="8.7109375" bestFit="1" customWidth="1"/>
    <col min="18" max="18" width="10.5703125" customWidth="1"/>
    <col min="19" max="19" width="8.7109375" customWidth="1"/>
    <col min="20" max="20" width="11.28515625" customWidth="1"/>
    <col min="21" max="21" width="10.85546875" customWidth="1"/>
    <col min="22" max="22" width="10.7109375" customWidth="1"/>
    <col min="23" max="23" width="14.5703125" customWidth="1"/>
    <col min="24" max="24" width="10.7109375" customWidth="1"/>
    <col min="25" max="26" width="13.5703125" customWidth="1"/>
    <col min="27" max="27" width="11.5703125" customWidth="1"/>
    <col min="28" max="28" width="14.42578125" customWidth="1"/>
    <col min="29" max="29" width="9.85546875" customWidth="1"/>
    <col min="30" max="30" width="14.5703125" customWidth="1"/>
    <col min="31" max="31" width="19" customWidth="1"/>
    <col min="34" max="34" width="15.140625" customWidth="1"/>
  </cols>
  <sheetData>
    <row r="1" spans="1:30" ht="33" customHeight="1" thickBot="1" x14ac:dyDescent="0.3"/>
    <row r="2" spans="1:30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09"/>
      <c r="J2" s="308" t="s">
        <v>1</v>
      </c>
      <c r="K2" s="313"/>
      <c r="L2" s="313"/>
      <c r="M2" s="313"/>
      <c r="N2" s="313"/>
      <c r="O2" s="313"/>
      <c r="P2" s="309"/>
      <c r="Q2" s="308" t="s">
        <v>2</v>
      </c>
      <c r="R2" s="313"/>
      <c r="S2" s="313"/>
      <c r="T2" s="313"/>
      <c r="U2" s="309"/>
      <c r="V2" s="308" t="s">
        <v>3</v>
      </c>
      <c r="W2" s="313"/>
      <c r="X2" s="313"/>
      <c r="Y2" s="313"/>
      <c r="Z2" s="313"/>
      <c r="AA2" s="309"/>
      <c r="AB2" s="308" t="s">
        <v>4</v>
      </c>
      <c r="AC2" s="309"/>
      <c r="AD2" s="46" t="s">
        <v>91</v>
      </c>
    </row>
    <row r="3" spans="1:30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8" t="s">
        <v>13</v>
      </c>
      <c r="J3" s="9" t="s">
        <v>394</v>
      </c>
      <c r="K3" s="7" t="s">
        <v>11</v>
      </c>
      <c r="L3" s="7" t="s">
        <v>12</v>
      </c>
      <c r="M3" s="7" t="s">
        <v>13</v>
      </c>
      <c r="N3" s="7" t="s">
        <v>182</v>
      </c>
      <c r="O3" s="7" t="s">
        <v>15</v>
      </c>
      <c r="P3" s="8" t="s">
        <v>136</v>
      </c>
      <c r="Q3" s="6" t="s">
        <v>12</v>
      </c>
      <c r="R3" s="7" t="s">
        <v>69</v>
      </c>
      <c r="S3" s="7" t="s">
        <v>13</v>
      </c>
      <c r="T3" s="7" t="s">
        <v>16</v>
      </c>
      <c r="U3" s="8" t="s">
        <v>162</v>
      </c>
      <c r="V3" s="6" t="s">
        <v>16</v>
      </c>
      <c r="W3" s="7" t="s">
        <v>77</v>
      </c>
      <c r="X3" s="7" t="s">
        <v>12</v>
      </c>
      <c r="Y3" s="7" t="s">
        <v>13</v>
      </c>
      <c r="Z3" s="7" t="s">
        <v>8</v>
      </c>
      <c r="AA3" s="8" t="s">
        <v>69</v>
      </c>
      <c r="AB3" s="6" t="s">
        <v>17</v>
      </c>
      <c r="AC3" s="8" t="s">
        <v>18</v>
      </c>
      <c r="AD3" s="10" t="s">
        <v>92</v>
      </c>
    </row>
    <row r="4" spans="1:30" x14ac:dyDescent="0.25">
      <c r="A4" s="310" t="s">
        <v>19</v>
      </c>
      <c r="B4" s="49"/>
      <c r="C4" s="2"/>
      <c r="D4" s="42">
        <v>4000</v>
      </c>
      <c r="E4" s="42">
        <v>47</v>
      </c>
      <c r="F4" s="42">
        <v>7661</v>
      </c>
      <c r="G4" s="42">
        <v>190</v>
      </c>
      <c r="H4" s="42">
        <v>52</v>
      </c>
      <c r="I4" s="42">
        <v>0</v>
      </c>
      <c r="J4" s="42">
        <v>3500</v>
      </c>
      <c r="K4" s="42">
        <v>12720</v>
      </c>
      <c r="L4" s="42">
        <v>181</v>
      </c>
      <c r="M4" s="42">
        <v>25801</v>
      </c>
      <c r="N4" s="42">
        <v>47</v>
      </c>
      <c r="O4" s="42">
        <v>3000</v>
      </c>
      <c r="P4" s="42">
        <v>0</v>
      </c>
      <c r="Q4" s="42">
        <f>'STOCK 08-14-02'!O25</f>
        <v>2</v>
      </c>
      <c r="R4" s="42">
        <f>'STOCK 08-14-02'!P25</f>
        <v>0</v>
      </c>
      <c r="S4" s="42">
        <f>'STOCK 08-14-02'!Q25</f>
        <v>0</v>
      </c>
      <c r="T4" s="42">
        <v>25</v>
      </c>
      <c r="U4" s="42">
        <v>0</v>
      </c>
      <c r="V4" s="42">
        <v>998</v>
      </c>
      <c r="W4" s="42">
        <f>'STOCK 08-14-02'!U25</f>
        <v>204</v>
      </c>
      <c r="X4" s="42">
        <v>70</v>
      </c>
      <c r="Y4" s="42">
        <v>1080</v>
      </c>
      <c r="Z4" s="42">
        <v>0</v>
      </c>
      <c r="AA4" s="42">
        <f>'STOCK 08-14-02'!W25</f>
        <v>0</v>
      </c>
      <c r="AB4" s="42">
        <f>'STOCK 08-14-02'!X25</f>
        <v>0</v>
      </c>
      <c r="AC4" s="42">
        <v>0</v>
      </c>
      <c r="AD4" s="42">
        <v>35</v>
      </c>
    </row>
    <row r="5" spans="1:30" x14ac:dyDescent="0.25">
      <c r="A5" s="311"/>
      <c r="B5" s="20"/>
      <c r="C5" s="82"/>
      <c r="D5" s="27"/>
      <c r="F5" s="35"/>
      <c r="I5" s="31"/>
      <c r="J5" s="13"/>
      <c r="K5" s="35"/>
      <c r="M5" s="35"/>
      <c r="N5" s="35"/>
      <c r="O5" s="35"/>
      <c r="P5" s="14"/>
      <c r="Q5" s="27"/>
      <c r="U5" s="31"/>
      <c r="V5" s="13"/>
      <c r="AA5" s="31"/>
      <c r="AB5" s="13"/>
      <c r="AC5" s="31"/>
      <c r="AD5" s="15"/>
    </row>
    <row r="6" spans="1:30" x14ac:dyDescent="0.25">
      <c r="A6" s="311"/>
      <c r="B6" s="20"/>
      <c r="C6" s="82"/>
      <c r="D6" s="27"/>
      <c r="F6" s="35"/>
      <c r="I6" s="31"/>
      <c r="J6" s="13"/>
      <c r="K6" s="35"/>
      <c r="M6" s="35"/>
      <c r="N6" s="35"/>
      <c r="O6" s="35"/>
      <c r="P6" s="14"/>
      <c r="Q6" s="27"/>
      <c r="U6" s="31"/>
      <c r="V6" s="13"/>
      <c r="AA6" s="31"/>
      <c r="AB6" s="13"/>
      <c r="AC6" s="31"/>
      <c r="AD6" s="15"/>
    </row>
    <row r="7" spans="1:30" x14ac:dyDescent="0.25">
      <c r="A7" s="311"/>
      <c r="B7" s="20">
        <v>46111</v>
      </c>
      <c r="C7" s="82" t="s">
        <v>46</v>
      </c>
      <c r="D7" s="27"/>
      <c r="F7" s="35"/>
      <c r="I7" s="31"/>
      <c r="J7" s="13"/>
      <c r="K7" s="35"/>
      <c r="M7" s="35"/>
      <c r="N7" s="35"/>
      <c r="O7" s="35"/>
      <c r="P7" s="14"/>
      <c r="Q7" s="27"/>
      <c r="T7">
        <v>1500</v>
      </c>
      <c r="U7" s="31"/>
      <c r="V7" s="13"/>
      <c r="AA7" s="31"/>
      <c r="AB7" s="13"/>
      <c r="AC7" s="31"/>
      <c r="AD7" s="15"/>
    </row>
    <row r="8" spans="1:30" x14ac:dyDescent="0.25">
      <c r="A8" s="311"/>
      <c r="B8" s="20">
        <v>46111</v>
      </c>
      <c r="C8" s="82" t="s">
        <v>27</v>
      </c>
      <c r="D8" s="27"/>
      <c r="F8" s="35"/>
      <c r="I8" s="31"/>
      <c r="J8" s="13"/>
      <c r="K8" s="35"/>
      <c r="M8" s="35"/>
      <c r="N8" s="35"/>
      <c r="O8" s="35"/>
      <c r="P8" s="14"/>
      <c r="Q8" s="27"/>
      <c r="U8" s="31">
        <v>1200</v>
      </c>
      <c r="V8" s="13"/>
      <c r="AA8" s="31"/>
      <c r="AB8" s="13"/>
      <c r="AC8" s="31"/>
      <c r="AD8" s="15"/>
    </row>
    <row r="9" spans="1:30" x14ac:dyDescent="0.25">
      <c r="A9" s="311"/>
      <c r="B9" s="20">
        <v>46112</v>
      </c>
      <c r="C9" s="82" t="s">
        <v>27</v>
      </c>
      <c r="D9" s="27"/>
      <c r="F9" s="35"/>
      <c r="I9" s="31"/>
      <c r="J9" s="13"/>
      <c r="K9" s="35">
        <v>3500</v>
      </c>
      <c r="M9" s="35"/>
      <c r="N9" s="35"/>
      <c r="O9" s="35"/>
      <c r="P9" s="14"/>
      <c r="Q9" s="27"/>
      <c r="U9" s="31"/>
      <c r="V9" s="13"/>
      <c r="AA9" s="31"/>
      <c r="AB9" s="13"/>
      <c r="AC9" s="31"/>
      <c r="AD9" s="15"/>
    </row>
    <row r="10" spans="1:30" x14ac:dyDescent="0.25">
      <c r="A10" s="311"/>
      <c r="B10" s="20">
        <v>46113</v>
      </c>
      <c r="C10" s="82" t="s">
        <v>442</v>
      </c>
      <c r="D10" s="27"/>
      <c r="F10" s="35"/>
      <c r="I10" s="31"/>
      <c r="J10" s="13"/>
      <c r="K10" s="35"/>
      <c r="M10" s="35"/>
      <c r="N10" s="35"/>
      <c r="O10" s="35"/>
      <c r="P10" s="14"/>
      <c r="Q10" s="27"/>
      <c r="R10">
        <v>70</v>
      </c>
      <c r="U10" s="31"/>
      <c r="V10" s="13"/>
      <c r="AA10" s="31"/>
      <c r="AB10" s="13"/>
      <c r="AC10" s="31"/>
      <c r="AD10" s="15"/>
    </row>
    <row r="11" spans="1:30" x14ac:dyDescent="0.25">
      <c r="A11" s="311"/>
      <c r="B11" s="20">
        <v>46114</v>
      </c>
      <c r="C11" s="82" t="s">
        <v>46</v>
      </c>
      <c r="D11" s="27"/>
      <c r="F11" s="35"/>
      <c r="I11" s="31"/>
      <c r="J11" s="13"/>
      <c r="K11" s="35"/>
      <c r="M11" s="35"/>
      <c r="N11" s="35"/>
      <c r="O11" s="35"/>
      <c r="P11" s="14"/>
      <c r="Q11" s="27"/>
      <c r="U11" s="31"/>
      <c r="V11" s="13"/>
      <c r="AA11" s="31"/>
      <c r="AB11" s="13"/>
      <c r="AC11" s="31"/>
      <c r="AD11" s="15"/>
    </row>
    <row r="12" spans="1:30" x14ac:dyDescent="0.25">
      <c r="A12" s="311"/>
      <c r="B12" s="20">
        <v>46116</v>
      </c>
      <c r="C12" s="82" t="s">
        <v>27</v>
      </c>
      <c r="D12" s="27"/>
      <c r="F12" s="35"/>
      <c r="I12" s="31"/>
      <c r="J12" s="13"/>
      <c r="K12" s="35"/>
      <c r="M12" s="35"/>
      <c r="N12" s="35"/>
      <c r="O12" s="35"/>
      <c r="P12" s="14"/>
      <c r="Q12" s="27"/>
      <c r="T12">
        <v>1000</v>
      </c>
      <c r="U12" s="31"/>
      <c r="V12" s="13"/>
      <c r="AA12" s="31"/>
      <c r="AB12" s="13"/>
      <c r="AC12" s="31"/>
      <c r="AD12" s="15"/>
    </row>
    <row r="13" spans="1:30" x14ac:dyDescent="0.25">
      <c r="A13" s="311"/>
      <c r="B13" s="20">
        <v>46116</v>
      </c>
      <c r="C13" s="82" t="s">
        <v>133</v>
      </c>
      <c r="D13" s="27"/>
      <c r="F13" s="35"/>
      <c r="I13" s="31"/>
      <c r="J13" s="13"/>
      <c r="K13" s="35">
        <v>10000</v>
      </c>
      <c r="M13" s="35"/>
      <c r="N13" s="35"/>
      <c r="O13" s="35"/>
      <c r="P13" s="14"/>
      <c r="Q13" s="27"/>
      <c r="U13" s="31"/>
      <c r="V13" s="13"/>
      <c r="AA13" s="31"/>
      <c r="AB13" s="13"/>
      <c r="AC13" s="31"/>
      <c r="AD13" s="15"/>
    </row>
    <row r="14" spans="1:30" x14ac:dyDescent="0.25">
      <c r="A14" s="311"/>
      <c r="B14" s="20"/>
      <c r="C14" s="82"/>
      <c r="D14" s="27"/>
      <c r="F14" s="35"/>
      <c r="I14" s="31"/>
      <c r="J14" s="13"/>
      <c r="K14" s="35"/>
      <c r="M14" s="35"/>
      <c r="N14" s="35"/>
      <c r="O14" s="35"/>
      <c r="P14" s="14"/>
      <c r="Q14" s="27"/>
      <c r="U14" s="31"/>
      <c r="V14" s="13"/>
      <c r="AA14" s="31"/>
      <c r="AB14" s="13"/>
      <c r="AC14" s="31"/>
      <c r="AD14" s="15"/>
    </row>
    <row r="15" spans="1:30" x14ac:dyDescent="0.25">
      <c r="A15" s="311"/>
      <c r="B15" s="20"/>
      <c r="C15" s="82"/>
      <c r="D15" s="27"/>
      <c r="F15" s="35"/>
      <c r="I15" s="31"/>
      <c r="J15" s="13"/>
      <c r="K15" s="35"/>
      <c r="M15" s="35"/>
      <c r="N15" s="35"/>
      <c r="O15" s="35"/>
      <c r="P15" s="14"/>
      <c r="Q15" s="27"/>
      <c r="U15" s="31"/>
      <c r="V15" s="13"/>
      <c r="AA15" s="31"/>
      <c r="AB15" s="13"/>
      <c r="AC15" s="31"/>
      <c r="AD15" s="15"/>
    </row>
    <row r="16" spans="1:30" ht="15.75" thickBot="1" x14ac:dyDescent="0.3">
      <c r="A16" s="312"/>
      <c r="B16" s="72"/>
      <c r="C16" s="17"/>
      <c r="D16" s="28"/>
      <c r="E16" s="18"/>
      <c r="F16" s="36"/>
      <c r="G16" s="18"/>
      <c r="H16" s="18"/>
      <c r="I16" s="32"/>
      <c r="J16" s="16"/>
      <c r="K16" s="36"/>
      <c r="L16" s="18"/>
      <c r="M16" s="36"/>
      <c r="N16" s="36"/>
      <c r="O16" s="36"/>
      <c r="P16" s="17"/>
      <c r="Q16" s="28"/>
      <c r="R16" s="18"/>
      <c r="S16" s="18"/>
      <c r="T16" s="18"/>
      <c r="U16" s="32"/>
      <c r="V16" s="16"/>
      <c r="W16" s="18"/>
      <c r="X16" s="18"/>
      <c r="Y16" s="18"/>
      <c r="Z16" s="18"/>
      <c r="AA16" s="32"/>
      <c r="AB16" s="16"/>
      <c r="AC16" s="32"/>
      <c r="AD16" s="19"/>
    </row>
    <row r="17" spans="1:31" x14ac:dyDescent="0.25">
      <c r="A17" s="310" t="s">
        <v>62</v>
      </c>
      <c r="B17" s="160"/>
      <c r="C17" s="14"/>
      <c r="D17" s="27"/>
      <c r="F17" s="35"/>
      <c r="I17" s="31"/>
      <c r="J17" s="13"/>
      <c r="K17" s="35"/>
      <c r="M17" s="35"/>
      <c r="N17" s="35"/>
      <c r="O17" s="35"/>
      <c r="P17" s="14"/>
      <c r="Q17" s="27"/>
      <c r="U17" s="31"/>
      <c r="V17" s="13"/>
      <c r="AA17" s="31"/>
      <c r="AB17" s="13"/>
      <c r="AC17" s="31"/>
      <c r="AD17" s="15"/>
    </row>
    <row r="18" spans="1:31" x14ac:dyDescent="0.25">
      <c r="A18" s="311"/>
      <c r="B18" s="160"/>
      <c r="C18" s="14"/>
      <c r="D18" s="27"/>
      <c r="F18" s="35"/>
      <c r="I18" s="31"/>
      <c r="J18" s="13"/>
      <c r="K18" s="35"/>
      <c r="M18" s="35"/>
      <c r="N18" s="35"/>
      <c r="O18" s="35"/>
      <c r="P18" s="14"/>
      <c r="Q18" s="27"/>
      <c r="U18" s="31"/>
      <c r="V18" s="13"/>
      <c r="AA18" s="31"/>
      <c r="AB18" s="13"/>
      <c r="AC18" s="31"/>
      <c r="AD18" s="15"/>
    </row>
    <row r="19" spans="1:31" x14ac:dyDescent="0.25">
      <c r="A19" s="311"/>
      <c r="B19" s="160">
        <v>46111</v>
      </c>
      <c r="C19" s="14" t="s">
        <v>412</v>
      </c>
      <c r="D19" s="27"/>
      <c r="F19" s="35"/>
      <c r="I19" s="31"/>
      <c r="J19" s="13"/>
      <c r="K19" s="35"/>
      <c r="M19" s="35"/>
      <c r="N19" s="35"/>
      <c r="O19" s="35"/>
      <c r="P19" s="14"/>
      <c r="Q19" s="27"/>
      <c r="T19">
        <v>250</v>
      </c>
      <c r="U19" s="31"/>
      <c r="V19" s="13"/>
      <c r="AA19" s="31"/>
      <c r="AB19" s="13"/>
      <c r="AC19" s="31"/>
      <c r="AD19" s="15"/>
    </row>
    <row r="20" spans="1:31" x14ac:dyDescent="0.25">
      <c r="A20" s="311"/>
      <c r="B20" s="160">
        <v>46111</v>
      </c>
      <c r="C20" s="14" t="s">
        <v>414</v>
      </c>
      <c r="D20" s="27"/>
      <c r="F20" s="35"/>
      <c r="I20" s="31"/>
      <c r="J20" s="13"/>
      <c r="K20" s="35">
        <v>2000</v>
      </c>
      <c r="M20" s="35"/>
      <c r="N20" s="35"/>
      <c r="O20" s="35"/>
      <c r="P20" s="14"/>
      <c r="Q20" s="27"/>
      <c r="U20" s="31"/>
      <c r="V20" s="13"/>
      <c r="AA20" s="31"/>
      <c r="AB20" s="13"/>
      <c r="AC20" s="31"/>
      <c r="AD20" s="15"/>
      <c r="AE20" t="s">
        <v>193</v>
      </c>
    </row>
    <row r="21" spans="1:31" x14ac:dyDescent="0.25">
      <c r="A21" s="311"/>
      <c r="B21" s="160">
        <v>46111</v>
      </c>
      <c r="C21" s="14" t="s">
        <v>415</v>
      </c>
      <c r="D21" s="27"/>
      <c r="F21" s="35">
        <v>1000</v>
      </c>
      <c r="I21" s="31"/>
      <c r="J21" s="13"/>
      <c r="K21" s="35"/>
      <c r="M21" s="35"/>
      <c r="N21" s="35"/>
      <c r="O21" s="35"/>
      <c r="P21" s="14"/>
      <c r="Q21" s="27"/>
      <c r="U21" s="31"/>
      <c r="V21" s="13"/>
      <c r="AA21" s="31"/>
      <c r="AB21" s="13"/>
      <c r="AC21" s="31"/>
      <c r="AD21" s="15"/>
    </row>
    <row r="22" spans="1:31" x14ac:dyDescent="0.25">
      <c r="A22" s="311"/>
      <c r="B22" s="160">
        <v>46111</v>
      </c>
      <c r="C22" s="14" t="s">
        <v>416</v>
      </c>
      <c r="D22" s="27"/>
      <c r="F22" s="35"/>
      <c r="I22" s="31"/>
      <c r="J22" s="13"/>
      <c r="K22" s="35"/>
      <c r="M22" s="35"/>
      <c r="N22" s="35"/>
      <c r="O22" s="35"/>
      <c r="P22" s="14"/>
      <c r="Q22" s="27"/>
      <c r="T22">
        <v>330</v>
      </c>
      <c r="U22" s="31"/>
      <c r="V22" s="13"/>
      <c r="AA22" s="31"/>
      <c r="AB22" s="13"/>
      <c r="AC22" s="31"/>
      <c r="AD22" s="15"/>
    </row>
    <row r="23" spans="1:31" x14ac:dyDescent="0.25">
      <c r="A23" s="311"/>
      <c r="B23" s="160"/>
      <c r="C23" s="14"/>
      <c r="D23" s="27"/>
      <c r="F23" s="35"/>
      <c r="I23" s="31"/>
      <c r="J23" s="13"/>
      <c r="K23" s="35"/>
      <c r="M23" s="35"/>
      <c r="N23" s="35"/>
      <c r="O23" s="35"/>
      <c r="P23" s="14"/>
      <c r="Q23" s="27"/>
      <c r="U23" s="31"/>
      <c r="V23" s="13"/>
      <c r="AA23" s="31"/>
      <c r="AB23" s="13"/>
      <c r="AC23" s="31"/>
      <c r="AD23" s="15"/>
    </row>
    <row r="24" spans="1:31" x14ac:dyDescent="0.25">
      <c r="A24" s="311"/>
      <c r="B24" s="160">
        <v>46112</v>
      </c>
      <c r="C24" s="14" t="s">
        <v>422</v>
      </c>
      <c r="D24" s="27"/>
      <c r="F24" s="35"/>
      <c r="I24" s="31"/>
      <c r="J24" s="13"/>
      <c r="K24" s="35"/>
      <c r="M24" s="35"/>
      <c r="N24" s="35"/>
      <c r="O24" s="35"/>
      <c r="P24" s="14"/>
      <c r="Q24" s="27"/>
      <c r="U24" s="31"/>
      <c r="V24" s="13"/>
      <c r="AA24" s="31"/>
      <c r="AB24" s="13"/>
      <c r="AC24" s="31"/>
      <c r="AD24" s="15"/>
    </row>
    <row r="25" spans="1:31" x14ac:dyDescent="0.25">
      <c r="A25" s="311"/>
      <c r="B25" s="160">
        <v>46112</v>
      </c>
      <c r="C25" s="14" t="s">
        <v>424</v>
      </c>
      <c r="D25" s="27">
        <v>3500</v>
      </c>
      <c r="F25" s="35"/>
      <c r="I25" s="31"/>
      <c r="J25" s="13"/>
      <c r="K25" s="35"/>
      <c r="M25" s="35"/>
      <c r="N25" s="35"/>
      <c r="O25" s="35"/>
      <c r="P25" s="14"/>
      <c r="Q25" s="27"/>
      <c r="U25" s="31"/>
      <c r="V25" s="13"/>
      <c r="AA25" s="31"/>
      <c r="AB25" s="13"/>
      <c r="AC25" s="31"/>
      <c r="AD25" s="15"/>
    </row>
    <row r="26" spans="1:31" x14ac:dyDescent="0.25">
      <c r="A26" s="311"/>
      <c r="B26" s="160">
        <v>46112</v>
      </c>
      <c r="C26" s="14" t="s">
        <v>425</v>
      </c>
      <c r="D26" s="27"/>
      <c r="F26" s="35"/>
      <c r="I26" s="31"/>
      <c r="J26" s="13"/>
      <c r="K26" s="35"/>
      <c r="M26" s="35"/>
      <c r="N26" s="35"/>
      <c r="O26" s="35">
        <v>3000</v>
      </c>
      <c r="P26" s="14"/>
      <c r="Q26" s="27"/>
      <c r="U26" s="31"/>
      <c r="V26" s="13"/>
      <c r="AA26" s="31"/>
      <c r="AB26" s="13"/>
      <c r="AC26" s="31"/>
      <c r="AD26" s="15"/>
    </row>
    <row r="27" spans="1:31" x14ac:dyDescent="0.25">
      <c r="A27" s="311"/>
      <c r="B27" s="160">
        <v>46112</v>
      </c>
      <c r="C27" s="14" t="s">
        <v>426</v>
      </c>
      <c r="D27" s="27"/>
      <c r="F27" s="35"/>
      <c r="I27" s="31"/>
      <c r="J27" s="13"/>
      <c r="K27" s="35"/>
      <c r="M27" s="35">
        <v>1000</v>
      </c>
      <c r="N27" s="35"/>
      <c r="O27" s="35"/>
      <c r="P27" s="14"/>
      <c r="Q27" s="27"/>
      <c r="U27" s="31"/>
      <c r="V27" s="13"/>
      <c r="AA27" s="31"/>
      <c r="AB27" s="13"/>
      <c r="AC27" s="31"/>
      <c r="AD27" s="15"/>
    </row>
    <row r="28" spans="1:31" x14ac:dyDescent="0.25">
      <c r="A28" s="311"/>
      <c r="B28" s="160">
        <v>46112</v>
      </c>
      <c r="C28" s="14" t="s">
        <v>427</v>
      </c>
      <c r="D28" s="27"/>
      <c r="F28" s="35"/>
      <c r="I28" s="31"/>
      <c r="J28" s="13"/>
      <c r="K28" s="35">
        <v>3000</v>
      </c>
      <c r="M28" s="35"/>
      <c r="N28" s="35"/>
      <c r="O28" s="35"/>
      <c r="P28" s="14"/>
      <c r="Q28" s="27"/>
      <c r="U28" s="31"/>
      <c r="V28" s="13"/>
      <c r="AA28" s="31"/>
      <c r="AB28" s="13"/>
      <c r="AC28" s="31"/>
      <c r="AD28" s="15"/>
    </row>
    <row r="29" spans="1:31" x14ac:dyDescent="0.25">
      <c r="A29" s="311"/>
      <c r="B29" s="160">
        <v>46112</v>
      </c>
      <c r="C29" s="14" t="s">
        <v>428</v>
      </c>
      <c r="D29" s="27"/>
      <c r="F29" s="35"/>
      <c r="I29" s="31"/>
      <c r="J29" s="13">
        <v>3000</v>
      </c>
      <c r="K29" s="35"/>
      <c r="M29" s="35"/>
      <c r="N29" s="35"/>
      <c r="O29" s="35"/>
      <c r="P29" s="14"/>
      <c r="Q29" s="27"/>
      <c r="U29" s="31"/>
      <c r="V29" s="13"/>
      <c r="AA29" s="31"/>
      <c r="AB29" s="13"/>
      <c r="AC29" s="31"/>
      <c r="AD29" s="15"/>
    </row>
    <row r="30" spans="1:31" x14ac:dyDescent="0.25">
      <c r="A30" s="311"/>
      <c r="B30" s="160">
        <v>46113</v>
      </c>
      <c r="C30" s="14" t="s">
        <v>426</v>
      </c>
      <c r="D30" s="27"/>
      <c r="F30" s="35"/>
      <c r="I30" s="31"/>
      <c r="J30" s="13"/>
      <c r="K30" s="35">
        <v>500</v>
      </c>
      <c r="M30" s="35"/>
      <c r="N30" s="35"/>
      <c r="O30" s="35"/>
      <c r="P30" s="14"/>
      <c r="Q30" s="27"/>
      <c r="U30" s="31"/>
      <c r="V30" s="13"/>
      <c r="AA30" s="31"/>
      <c r="AB30" s="13"/>
      <c r="AC30" s="31"/>
      <c r="AD30" s="15"/>
    </row>
    <row r="31" spans="1:31" x14ac:dyDescent="0.25">
      <c r="A31" s="311"/>
      <c r="B31" s="160">
        <v>46113</v>
      </c>
      <c r="C31" s="14" t="s">
        <v>426</v>
      </c>
      <c r="D31" s="27"/>
      <c r="F31" s="35"/>
      <c r="I31" s="31"/>
      <c r="J31" s="13"/>
      <c r="K31" s="35">
        <v>200</v>
      </c>
      <c r="M31" s="35"/>
      <c r="N31" s="35"/>
      <c r="O31" s="35"/>
      <c r="P31" s="14"/>
      <c r="Q31" s="27"/>
      <c r="U31" s="31"/>
      <c r="V31" s="13"/>
      <c r="AA31" s="31"/>
      <c r="AB31" s="13"/>
      <c r="AC31" s="31"/>
      <c r="AD31" s="15"/>
    </row>
    <row r="32" spans="1:31" x14ac:dyDescent="0.25">
      <c r="A32" s="311"/>
      <c r="B32" s="160">
        <v>46113</v>
      </c>
      <c r="C32" s="14" t="s">
        <v>426</v>
      </c>
      <c r="D32" s="27"/>
      <c r="F32" s="35"/>
      <c r="I32" s="31"/>
      <c r="J32" s="13"/>
      <c r="K32" s="35">
        <v>2000</v>
      </c>
      <c r="M32" s="35"/>
      <c r="N32" s="35"/>
      <c r="O32" s="35"/>
      <c r="P32" s="14"/>
      <c r="Q32" s="27"/>
      <c r="U32" s="31"/>
      <c r="V32" s="13"/>
      <c r="AA32" s="31"/>
      <c r="AB32" s="13"/>
      <c r="AC32" s="31"/>
      <c r="AD32" s="15"/>
    </row>
    <row r="33" spans="1:31" x14ac:dyDescent="0.25">
      <c r="A33" s="311"/>
      <c r="B33" s="160">
        <v>46113</v>
      </c>
      <c r="C33" s="14" t="s">
        <v>434</v>
      </c>
      <c r="D33" s="27"/>
      <c r="F33" s="35"/>
      <c r="I33" s="31"/>
      <c r="J33" s="13"/>
      <c r="K33" s="35">
        <v>2000</v>
      </c>
      <c r="M33" s="35"/>
      <c r="N33" s="35"/>
      <c r="O33" s="35"/>
      <c r="P33" s="14"/>
      <c r="Q33" s="27"/>
      <c r="U33" s="31"/>
      <c r="V33" s="13"/>
      <c r="AA33" s="31"/>
      <c r="AB33" s="13"/>
      <c r="AC33" s="31"/>
      <c r="AD33" s="15"/>
    </row>
    <row r="34" spans="1:31" x14ac:dyDescent="0.25">
      <c r="A34" s="311"/>
      <c r="B34" s="160">
        <v>46113</v>
      </c>
      <c r="C34" s="14" t="s">
        <v>435</v>
      </c>
      <c r="D34" s="27"/>
      <c r="F34" s="35"/>
      <c r="I34" s="31"/>
      <c r="J34" s="13">
        <v>40</v>
      </c>
      <c r="K34" s="35"/>
      <c r="M34" s="35"/>
      <c r="N34" s="35"/>
      <c r="O34" s="35"/>
      <c r="P34" s="14"/>
      <c r="Q34" s="27"/>
      <c r="U34" s="31"/>
      <c r="V34" s="13"/>
      <c r="AA34" s="31"/>
      <c r="AB34" s="13"/>
      <c r="AC34" s="31"/>
      <c r="AD34" s="15"/>
    </row>
    <row r="35" spans="1:31" x14ac:dyDescent="0.25">
      <c r="A35" s="311"/>
      <c r="B35" s="160">
        <v>46113</v>
      </c>
      <c r="C35" s="14" t="s">
        <v>426</v>
      </c>
      <c r="D35" s="27"/>
      <c r="F35" s="35"/>
      <c r="I35" s="31"/>
      <c r="J35" s="13"/>
      <c r="K35" s="35"/>
      <c r="M35" s="35">
        <v>1000</v>
      </c>
      <c r="N35" s="35"/>
      <c r="O35" s="35"/>
      <c r="P35" s="14"/>
      <c r="Q35" s="27"/>
      <c r="U35" s="31"/>
      <c r="V35" s="13"/>
      <c r="AA35" s="31"/>
      <c r="AB35" s="13"/>
      <c r="AC35" s="31"/>
      <c r="AD35" s="15"/>
    </row>
    <row r="36" spans="1:31" x14ac:dyDescent="0.25">
      <c r="A36" s="311"/>
      <c r="B36" s="160">
        <v>46113</v>
      </c>
      <c r="C36" s="14" t="s">
        <v>422</v>
      </c>
      <c r="D36" s="27"/>
      <c r="F36" s="35"/>
      <c r="I36" s="31"/>
      <c r="J36" s="13"/>
      <c r="K36" s="35"/>
      <c r="M36" s="35"/>
      <c r="N36" s="35"/>
      <c r="O36" s="35"/>
      <c r="P36" s="14"/>
      <c r="Q36" s="27"/>
      <c r="R36">
        <v>70</v>
      </c>
      <c r="U36" s="31">
        <v>1200</v>
      </c>
      <c r="V36" s="13"/>
      <c r="AA36" s="31"/>
      <c r="AB36" s="13"/>
      <c r="AC36" s="31"/>
      <c r="AD36" s="15"/>
    </row>
    <row r="37" spans="1:31" x14ac:dyDescent="0.25">
      <c r="A37" s="311"/>
      <c r="B37" s="160">
        <v>46113</v>
      </c>
      <c r="C37" s="14" t="s">
        <v>421</v>
      </c>
      <c r="D37" s="27"/>
      <c r="F37" s="35"/>
      <c r="I37" s="31"/>
      <c r="J37" s="13"/>
      <c r="K37" s="35"/>
      <c r="M37" s="35"/>
      <c r="N37" s="35"/>
      <c r="O37" s="35"/>
      <c r="P37" s="14"/>
      <c r="Q37" s="27"/>
      <c r="U37" s="31"/>
      <c r="V37" s="13"/>
      <c r="Y37">
        <v>750</v>
      </c>
      <c r="AA37" s="31"/>
      <c r="AB37" s="13"/>
      <c r="AC37" s="31"/>
      <c r="AD37" s="15"/>
    </row>
    <row r="38" spans="1:31" x14ac:dyDescent="0.25">
      <c r="A38" s="311"/>
      <c r="B38" s="160"/>
      <c r="C38" s="14"/>
      <c r="D38" s="27"/>
      <c r="F38" s="35"/>
      <c r="I38" s="31"/>
      <c r="J38" s="13"/>
      <c r="K38" s="35"/>
      <c r="M38" s="35"/>
      <c r="N38" s="35"/>
      <c r="O38" s="35"/>
      <c r="P38" s="14"/>
      <c r="Q38" s="27"/>
      <c r="U38" s="31"/>
      <c r="V38" s="13"/>
      <c r="AA38" s="31"/>
      <c r="AB38" s="13"/>
      <c r="AC38" s="31"/>
      <c r="AD38" s="15"/>
    </row>
    <row r="39" spans="1:31" x14ac:dyDescent="0.25">
      <c r="A39" s="311"/>
      <c r="B39" s="160">
        <v>46114</v>
      </c>
      <c r="C39" s="14" t="s">
        <v>445</v>
      </c>
      <c r="D39" s="27">
        <v>500</v>
      </c>
      <c r="F39" s="35"/>
      <c r="I39" s="31"/>
      <c r="J39" s="13"/>
      <c r="K39" s="35"/>
      <c r="M39" s="35"/>
      <c r="N39" s="35"/>
      <c r="O39" s="35"/>
      <c r="P39" s="14"/>
      <c r="Q39" s="27"/>
      <c r="U39" s="31"/>
      <c r="V39" s="13"/>
      <c r="AA39" s="31"/>
      <c r="AB39" s="13"/>
      <c r="AC39" s="31"/>
      <c r="AD39" s="15"/>
    </row>
    <row r="40" spans="1:31" x14ac:dyDescent="0.25">
      <c r="A40" s="311"/>
      <c r="B40" s="160">
        <v>46114</v>
      </c>
      <c r="C40" s="14" t="s">
        <v>450</v>
      </c>
      <c r="D40" s="27"/>
      <c r="F40" s="35"/>
      <c r="I40" s="31"/>
      <c r="J40" s="13"/>
      <c r="K40" s="35">
        <v>2000</v>
      </c>
      <c r="M40" s="35"/>
      <c r="N40" s="35"/>
      <c r="O40" s="35"/>
      <c r="P40" s="14"/>
      <c r="Q40" s="27"/>
      <c r="U40" s="31"/>
      <c r="V40" s="13"/>
      <c r="AA40" s="31"/>
      <c r="AB40" s="13"/>
      <c r="AC40" s="31"/>
      <c r="AD40" s="15"/>
    </row>
    <row r="41" spans="1:31" x14ac:dyDescent="0.25">
      <c r="A41" s="311"/>
      <c r="B41" s="160">
        <v>46114</v>
      </c>
      <c r="C41" s="14" t="s">
        <v>451</v>
      </c>
      <c r="D41" s="27"/>
      <c r="F41" s="35"/>
      <c r="I41" s="31"/>
      <c r="J41" s="13"/>
      <c r="K41" s="35">
        <v>60</v>
      </c>
      <c r="M41" s="35"/>
      <c r="N41" s="35"/>
      <c r="O41" s="35"/>
      <c r="P41" s="14"/>
      <c r="Q41" s="27"/>
      <c r="U41" s="31"/>
      <c r="V41" s="13"/>
      <c r="AA41" s="31"/>
      <c r="AB41" s="13"/>
      <c r="AC41" s="31"/>
      <c r="AD41" s="15"/>
    </row>
    <row r="42" spans="1:31" x14ac:dyDescent="0.25">
      <c r="A42" s="311"/>
      <c r="B42" s="160">
        <v>46114</v>
      </c>
      <c r="C42" s="14" t="s">
        <v>452</v>
      </c>
      <c r="D42" s="27"/>
      <c r="F42" s="35"/>
      <c r="I42" s="31"/>
      <c r="J42" s="13"/>
      <c r="K42" s="35">
        <v>1000</v>
      </c>
      <c r="M42" s="35"/>
      <c r="N42" s="35"/>
      <c r="O42" s="35"/>
      <c r="P42" s="14"/>
      <c r="Q42" s="27"/>
      <c r="U42" s="31"/>
      <c r="V42" s="13"/>
      <c r="AA42" s="31"/>
      <c r="AB42" s="13"/>
      <c r="AC42" s="31"/>
      <c r="AD42" s="15"/>
    </row>
    <row r="43" spans="1:31" x14ac:dyDescent="0.25">
      <c r="A43" s="311"/>
      <c r="B43" s="160">
        <v>46114</v>
      </c>
      <c r="C43" s="14" t="s">
        <v>424</v>
      </c>
      <c r="D43" s="27"/>
      <c r="F43" s="35"/>
      <c r="I43" s="31"/>
      <c r="J43" s="13"/>
      <c r="K43" s="35"/>
      <c r="M43" s="35"/>
      <c r="N43" s="35"/>
      <c r="O43" s="35"/>
      <c r="P43" s="14"/>
      <c r="Q43" s="27"/>
      <c r="T43">
        <v>760</v>
      </c>
      <c r="U43" s="31"/>
      <c r="V43" s="13"/>
      <c r="AA43" s="31"/>
      <c r="AB43" s="13"/>
      <c r="AC43" s="31"/>
      <c r="AD43" s="15"/>
      <c r="AE43" t="s">
        <v>453</v>
      </c>
    </row>
    <row r="44" spans="1:31" x14ac:dyDescent="0.25">
      <c r="A44" s="311"/>
      <c r="B44" s="160">
        <v>46114</v>
      </c>
      <c r="C44" s="14" t="s">
        <v>454</v>
      </c>
      <c r="D44" s="27"/>
      <c r="F44" s="35"/>
      <c r="I44" s="31"/>
      <c r="J44" s="13"/>
      <c r="K44" s="35"/>
      <c r="M44" s="35">
        <v>380</v>
      </c>
      <c r="N44" s="35"/>
      <c r="O44" s="35"/>
      <c r="P44" s="14"/>
      <c r="Q44" s="27"/>
      <c r="U44" s="31"/>
      <c r="V44" s="13"/>
      <c r="AA44" s="31"/>
      <c r="AB44" s="13"/>
      <c r="AC44" s="31"/>
      <c r="AD44" s="15"/>
    </row>
    <row r="45" spans="1:31" x14ac:dyDescent="0.25">
      <c r="A45" s="311"/>
      <c r="B45" s="160">
        <v>46116</v>
      </c>
      <c r="C45" s="14" t="s">
        <v>466</v>
      </c>
      <c r="D45" s="27"/>
      <c r="F45" s="35"/>
      <c r="G45">
        <v>50</v>
      </c>
      <c r="I45" s="31"/>
      <c r="J45" s="13"/>
      <c r="K45" s="35"/>
      <c r="M45" s="35"/>
      <c r="N45" s="35"/>
      <c r="O45" s="35"/>
      <c r="P45" s="14"/>
      <c r="Q45" s="27"/>
      <c r="U45" s="31"/>
      <c r="V45" s="13"/>
      <c r="AA45" s="31"/>
      <c r="AB45" s="13"/>
      <c r="AC45" s="31"/>
      <c r="AD45" s="15"/>
    </row>
    <row r="46" spans="1:31" x14ac:dyDescent="0.25">
      <c r="A46" s="311"/>
      <c r="B46" s="160">
        <v>46116</v>
      </c>
      <c r="C46" s="14" t="s">
        <v>392</v>
      </c>
      <c r="D46" s="27"/>
      <c r="F46" s="35"/>
      <c r="I46" s="31"/>
      <c r="J46" s="13"/>
      <c r="K46" s="35"/>
      <c r="M46" s="35">
        <v>1000</v>
      </c>
      <c r="N46" s="35"/>
      <c r="O46" s="35"/>
      <c r="P46" s="14"/>
      <c r="Q46" s="27"/>
      <c r="U46" s="31"/>
      <c r="V46" s="13"/>
      <c r="AA46" s="31"/>
      <c r="AB46" s="13"/>
      <c r="AC46" s="31"/>
      <c r="AD46" s="15"/>
    </row>
    <row r="47" spans="1:31" x14ac:dyDescent="0.25">
      <c r="A47" s="311"/>
      <c r="B47" s="160">
        <v>46116</v>
      </c>
      <c r="C47" s="14" t="s">
        <v>470</v>
      </c>
      <c r="D47" s="27"/>
      <c r="F47" s="35">
        <v>1500</v>
      </c>
      <c r="I47" s="31"/>
      <c r="J47" s="13"/>
      <c r="K47" s="35"/>
      <c r="M47" s="35"/>
      <c r="N47" s="35"/>
      <c r="O47" s="35"/>
      <c r="P47" s="14"/>
      <c r="Q47" s="27"/>
      <c r="U47" s="31"/>
      <c r="V47" s="13"/>
      <c r="AA47" s="31"/>
      <c r="AB47" s="13"/>
      <c r="AC47" s="31"/>
      <c r="AD47" s="15"/>
    </row>
    <row r="48" spans="1:31" x14ac:dyDescent="0.25">
      <c r="A48" s="311"/>
      <c r="B48" s="160">
        <v>46116</v>
      </c>
      <c r="C48" s="14" t="s">
        <v>471</v>
      </c>
      <c r="D48" s="27"/>
      <c r="F48" s="35"/>
      <c r="I48" s="31"/>
      <c r="J48" s="13"/>
      <c r="K48" s="35"/>
      <c r="M48" s="35"/>
      <c r="N48" s="35"/>
      <c r="O48" s="35"/>
      <c r="P48" s="14"/>
      <c r="Q48" s="27"/>
      <c r="U48" s="31"/>
      <c r="V48" s="13"/>
      <c r="W48">
        <v>150</v>
      </c>
      <c r="AA48" s="31"/>
      <c r="AB48" s="13"/>
      <c r="AC48" s="31"/>
      <c r="AD48" s="15"/>
    </row>
    <row r="49" spans="1:239" x14ac:dyDescent="0.25">
      <c r="A49" s="311"/>
      <c r="B49" s="160"/>
      <c r="C49" s="14"/>
      <c r="D49" s="27"/>
      <c r="F49" s="35"/>
      <c r="I49" s="31"/>
      <c r="J49" s="13"/>
      <c r="K49" s="35"/>
      <c r="M49" s="35"/>
      <c r="N49" s="35"/>
      <c r="O49" s="35"/>
      <c r="P49" s="14"/>
      <c r="Q49" s="27"/>
      <c r="U49" s="31"/>
      <c r="V49" s="13"/>
      <c r="AA49" s="31"/>
      <c r="AB49" s="13"/>
      <c r="AC49" s="31"/>
      <c r="AD49" s="15"/>
    </row>
    <row r="50" spans="1:239" x14ac:dyDescent="0.25">
      <c r="A50" s="311"/>
      <c r="B50" s="160"/>
      <c r="C50" s="14"/>
      <c r="D50" s="27"/>
      <c r="F50" s="35"/>
      <c r="I50" s="31"/>
      <c r="J50" s="13"/>
      <c r="K50" s="35"/>
      <c r="M50" s="35"/>
      <c r="N50" s="35"/>
      <c r="O50" s="35"/>
      <c r="P50" s="14"/>
      <c r="Q50" s="27"/>
      <c r="U50" s="31"/>
      <c r="V50" s="13"/>
      <c r="AA50" s="31"/>
      <c r="AB50" s="13"/>
      <c r="AC50" s="31"/>
      <c r="AD50" s="15"/>
    </row>
    <row r="51" spans="1:239" x14ac:dyDescent="0.25">
      <c r="A51" s="311"/>
      <c r="B51" s="160"/>
      <c r="C51" s="14"/>
      <c r="D51" s="27"/>
      <c r="F51" s="35"/>
      <c r="I51" s="31"/>
      <c r="J51" s="13"/>
      <c r="K51" s="35"/>
      <c r="M51" s="35"/>
      <c r="N51" s="35"/>
      <c r="O51" s="35"/>
      <c r="P51" s="14"/>
      <c r="Q51" s="27"/>
      <c r="U51" s="31"/>
      <c r="V51" s="13"/>
      <c r="AA51" s="31"/>
      <c r="AB51" s="13"/>
      <c r="AC51" s="31"/>
      <c r="AD51" s="15"/>
    </row>
    <row r="52" spans="1:239" x14ac:dyDescent="0.25">
      <c r="A52" s="311"/>
      <c r="B52" s="20"/>
      <c r="C52" s="14"/>
      <c r="D52" s="27"/>
      <c r="F52" s="35"/>
      <c r="I52" s="31"/>
      <c r="J52" s="13"/>
      <c r="K52" s="35"/>
      <c r="M52" s="35"/>
      <c r="N52" s="35"/>
      <c r="O52" s="35"/>
      <c r="P52" s="14"/>
      <c r="Q52" s="27"/>
      <c r="U52" s="31"/>
      <c r="V52" s="13"/>
      <c r="AA52" s="31"/>
      <c r="AB52" s="13"/>
      <c r="AC52" s="31"/>
      <c r="AD52" s="15"/>
    </row>
    <row r="53" spans="1:239" s="52" customFormat="1" x14ac:dyDescent="0.25">
      <c r="A53" s="311"/>
      <c r="B53" s="114"/>
      <c r="C53" s="105"/>
      <c r="D53" s="83"/>
      <c r="I53" s="105"/>
      <c r="J53" s="83"/>
      <c r="P53" s="105"/>
      <c r="Q53" s="83"/>
      <c r="U53" s="105"/>
      <c r="V53" s="83"/>
      <c r="AA53" s="105"/>
      <c r="AB53" s="83"/>
      <c r="AC53" s="105"/>
      <c r="AD53" s="115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</row>
    <row r="54" spans="1:239" x14ac:dyDescent="0.25">
      <c r="A54" s="311"/>
      <c r="B54" s="20"/>
      <c r="C54" s="14"/>
      <c r="D54" s="27"/>
      <c r="F54" s="35"/>
      <c r="I54" s="31"/>
      <c r="J54" s="13"/>
      <c r="K54" s="35"/>
      <c r="M54" s="35"/>
      <c r="N54" s="35"/>
      <c r="O54" s="35"/>
      <c r="P54" s="14"/>
      <c r="Q54" s="27"/>
      <c r="U54" s="31"/>
      <c r="V54" s="13"/>
      <c r="AA54" s="31"/>
      <c r="AB54" s="13"/>
      <c r="AC54" s="31"/>
      <c r="AD54" s="15"/>
    </row>
    <row r="55" spans="1:239" ht="15.75" thickBot="1" x14ac:dyDescent="0.3">
      <c r="A55" s="312"/>
      <c r="B55" s="13"/>
      <c r="C55" s="14"/>
      <c r="D55" s="27"/>
      <c r="F55" s="35"/>
      <c r="I55" s="31"/>
      <c r="J55" s="13"/>
      <c r="K55" s="35"/>
      <c r="M55" s="35"/>
      <c r="N55" s="35"/>
      <c r="O55" s="35"/>
      <c r="P55" s="14"/>
      <c r="Q55" s="27"/>
      <c r="U55" s="31"/>
      <c r="V55" s="13"/>
      <c r="AA55" s="31"/>
      <c r="AB55" s="13"/>
      <c r="AC55" s="31"/>
      <c r="AD55" s="15"/>
      <c r="AH55">
        <f>0.3*400</f>
        <v>120</v>
      </c>
    </row>
    <row r="56" spans="1:239" ht="21.75" thickBot="1" x14ac:dyDescent="0.3">
      <c r="A56" s="21" t="s">
        <v>23</v>
      </c>
      <c r="B56" s="22"/>
      <c r="C56" s="23"/>
      <c r="D56" s="29">
        <f t="shared" ref="D56:AD56" si="0">SUM(D4:D16)-SUM(D17:D55)</f>
        <v>0</v>
      </c>
      <c r="E56" s="22">
        <f t="shared" si="0"/>
        <v>47</v>
      </c>
      <c r="F56" s="37">
        <f t="shared" si="0"/>
        <v>5161</v>
      </c>
      <c r="G56" s="24">
        <f t="shared" si="0"/>
        <v>140</v>
      </c>
      <c r="H56" s="24">
        <f t="shared" si="0"/>
        <v>52</v>
      </c>
      <c r="I56" s="33">
        <f t="shared" si="0"/>
        <v>0</v>
      </c>
      <c r="J56" s="22">
        <f t="shared" si="0"/>
        <v>460</v>
      </c>
      <c r="K56" s="37">
        <f t="shared" si="0"/>
        <v>13460</v>
      </c>
      <c r="L56" s="24">
        <f t="shared" si="0"/>
        <v>181</v>
      </c>
      <c r="M56" s="37">
        <f t="shared" si="0"/>
        <v>22421</v>
      </c>
      <c r="N56" s="37">
        <f t="shared" si="0"/>
        <v>47</v>
      </c>
      <c r="O56" s="37">
        <f t="shared" si="0"/>
        <v>0</v>
      </c>
      <c r="P56" s="23">
        <f t="shared" si="0"/>
        <v>0</v>
      </c>
      <c r="Q56" s="29">
        <f t="shared" si="0"/>
        <v>2</v>
      </c>
      <c r="R56" s="29">
        <f t="shared" si="0"/>
        <v>0</v>
      </c>
      <c r="S56" s="29">
        <f t="shared" si="0"/>
        <v>0</v>
      </c>
      <c r="T56" s="107">
        <f t="shared" si="0"/>
        <v>1185</v>
      </c>
      <c r="U56" s="33">
        <f t="shared" si="0"/>
        <v>0</v>
      </c>
      <c r="V56" s="22">
        <f t="shared" si="0"/>
        <v>998</v>
      </c>
      <c r="W56" s="22">
        <f t="shared" si="0"/>
        <v>54</v>
      </c>
      <c r="X56" s="22">
        <f t="shared" si="0"/>
        <v>70</v>
      </c>
      <c r="Y56" s="22">
        <f t="shared" si="0"/>
        <v>330</v>
      </c>
      <c r="Z56" s="22">
        <f t="shared" si="0"/>
        <v>0</v>
      </c>
      <c r="AA56" s="33">
        <f t="shared" si="0"/>
        <v>0</v>
      </c>
      <c r="AB56" s="22">
        <f t="shared" si="0"/>
        <v>0</v>
      </c>
      <c r="AC56" s="33">
        <f t="shared" si="0"/>
        <v>0</v>
      </c>
      <c r="AD56" s="25">
        <f t="shared" si="0"/>
        <v>35</v>
      </c>
    </row>
    <row r="58" spans="1:239" x14ac:dyDescent="0.25">
      <c r="C58" t="s">
        <v>176</v>
      </c>
      <c r="D58">
        <v>0.56000000000000005</v>
      </c>
      <c r="E58">
        <v>0.55000000000000004</v>
      </c>
      <c r="F58">
        <v>0.71</v>
      </c>
      <c r="G58">
        <v>0.65</v>
      </c>
      <c r="H58">
        <v>0.65</v>
      </c>
      <c r="I58">
        <v>0.74</v>
      </c>
      <c r="J58">
        <v>0.84</v>
      </c>
      <c r="K58">
        <v>0.86</v>
      </c>
      <c r="L58" s="50">
        <f>0.95+0.1</f>
        <v>1.05</v>
      </c>
      <c r="M58">
        <v>1.02</v>
      </c>
      <c r="N58">
        <v>0.82</v>
      </c>
      <c r="O58">
        <v>0.92</v>
      </c>
      <c r="P58">
        <f>+P56*0.66</f>
        <v>0</v>
      </c>
      <c r="Q58">
        <v>2.7</v>
      </c>
      <c r="R58">
        <v>2.6</v>
      </c>
      <c r="S58">
        <f>S56*1.95</f>
        <v>0</v>
      </c>
      <c r="T58">
        <v>2.7</v>
      </c>
      <c r="U58">
        <v>2.4</v>
      </c>
      <c r="V58">
        <v>2.8</v>
      </c>
      <c r="W58" t="s">
        <v>563</v>
      </c>
      <c r="X58">
        <v>2.9</v>
      </c>
      <c r="Y58">
        <v>2.85</v>
      </c>
      <c r="Z58">
        <v>2.7</v>
      </c>
      <c r="AA58">
        <f>+AA56*2.15</f>
        <v>0</v>
      </c>
      <c r="AB58">
        <f>+AB56*0.44</f>
        <v>0</v>
      </c>
      <c r="AC58">
        <f>+AC56*0.34</f>
        <v>0</v>
      </c>
      <c r="AD58" s="109"/>
    </row>
    <row r="59" spans="1:239" x14ac:dyDescent="0.25">
      <c r="D59">
        <f>+D56*D58</f>
        <v>0</v>
      </c>
      <c r="E59">
        <f>+E56*E58</f>
        <v>25.85</v>
      </c>
      <c r="F59">
        <f t="shared" ref="F59:AD59" si="1">+F56*F58</f>
        <v>3664.31</v>
      </c>
      <c r="G59">
        <f t="shared" si="1"/>
        <v>91</v>
      </c>
      <c r="H59">
        <f t="shared" si="1"/>
        <v>33.800000000000004</v>
      </c>
      <c r="I59">
        <f t="shared" si="1"/>
        <v>0</v>
      </c>
      <c r="J59">
        <f t="shared" si="1"/>
        <v>386.4</v>
      </c>
      <c r="K59">
        <f t="shared" si="1"/>
        <v>11575.6</v>
      </c>
      <c r="L59">
        <f t="shared" si="1"/>
        <v>190.05</v>
      </c>
      <c r="M59">
        <f t="shared" si="1"/>
        <v>22869.420000000002</v>
      </c>
      <c r="N59">
        <f>N56*N58</f>
        <v>38.54</v>
      </c>
      <c r="O59">
        <f t="shared" si="1"/>
        <v>0</v>
      </c>
      <c r="P59">
        <f t="shared" si="1"/>
        <v>0</v>
      </c>
      <c r="Q59">
        <f t="shared" si="1"/>
        <v>5.4</v>
      </c>
      <c r="R59">
        <f t="shared" si="1"/>
        <v>0</v>
      </c>
      <c r="S59">
        <f t="shared" si="1"/>
        <v>0</v>
      </c>
      <c r="T59">
        <f t="shared" si="1"/>
        <v>3199.5</v>
      </c>
      <c r="U59">
        <f t="shared" si="1"/>
        <v>0</v>
      </c>
      <c r="V59">
        <f t="shared" si="1"/>
        <v>2794.3999999999996</v>
      </c>
      <c r="W59" t="e">
        <f t="shared" si="1"/>
        <v>#VALUE!</v>
      </c>
      <c r="X59">
        <f t="shared" si="1"/>
        <v>203</v>
      </c>
      <c r="Y59">
        <f>Y56*Y58</f>
        <v>940.5</v>
      </c>
      <c r="AA59">
        <f t="shared" si="1"/>
        <v>0</v>
      </c>
      <c r="AB59">
        <f t="shared" si="1"/>
        <v>0</v>
      </c>
      <c r="AD59">
        <f t="shared" si="1"/>
        <v>0</v>
      </c>
      <c r="AE59" s="52" t="e">
        <f>SUM(D59:AD59)</f>
        <v>#VALUE!</v>
      </c>
    </row>
    <row r="60" spans="1:239" x14ac:dyDescent="0.25"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103"/>
      <c r="U60" s="39"/>
      <c r="V60" s="39"/>
      <c r="W60" s="39"/>
      <c r="X60" s="39"/>
      <c r="Y60" s="39"/>
      <c r="Z60" s="39"/>
      <c r="AA60" s="39"/>
      <c r="AB60" s="39"/>
      <c r="AC60" s="39"/>
      <c r="AD60" s="39"/>
    </row>
    <row r="61" spans="1:239" x14ac:dyDescent="0.25"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103"/>
      <c r="U61" s="39"/>
      <c r="V61" s="39"/>
      <c r="W61" s="39"/>
      <c r="X61" s="39"/>
      <c r="Y61" s="39"/>
      <c r="Z61" s="39"/>
      <c r="AA61" s="39"/>
      <c r="AB61" s="39"/>
      <c r="AC61" s="39"/>
      <c r="AD61" s="39"/>
    </row>
    <row r="62" spans="1:239" x14ac:dyDescent="0.25"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103"/>
      <c r="U62" s="39"/>
      <c r="V62" s="39"/>
      <c r="W62" s="39"/>
      <c r="X62" s="39"/>
      <c r="Y62" s="39"/>
      <c r="Z62" s="39"/>
      <c r="AA62" s="39"/>
      <c r="AB62" s="39"/>
      <c r="AC62" s="39"/>
      <c r="AD62" s="39"/>
    </row>
    <row r="63" spans="1:239" x14ac:dyDescent="0.25"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103"/>
      <c r="U63" s="39"/>
      <c r="V63" s="39"/>
      <c r="W63" s="39"/>
      <c r="X63" s="39"/>
      <c r="Y63" s="39"/>
      <c r="Z63" s="39"/>
      <c r="AA63" s="39"/>
      <c r="AB63" s="39"/>
      <c r="AC63" s="39"/>
      <c r="AD63" s="39"/>
    </row>
    <row r="64" spans="1:239" x14ac:dyDescent="0.25">
      <c r="C64" s="39"/>
      <c r="D64" s="39"/>
      <c r="E64" s="39"/>
      <c r="F64" s="39"/>
      <c r="G64" s="39"/>
      <c r="H64" s="39"/>
      <c r="I64" s="39"/>
      <c r="K64" s="60"/>
      <c r="T64" s="85"/>
      <c r="V64" s="84"/>
    </row>
    <row r="65" spans="3:35" x14ac:dyDescent="0.25">
      <c r="C65" s="39"/>
      <c r="D65" s="39"/>
      <c r="E65" s="39"/>
      <c r="F65" s="39"/>
      <c r="G65" s="39"/>
      <c r="H65" s="39"/>
      <c r="I65" s="39"/>
      <c r="L65" s="60"/>
      <c r="T65" s="60"/>
    </row>
    <row r="67" spans="3:35" x14ac:dyDescent="0.25">
      <c r="AH67" t="s">
        <v>130</v>
      </c>
      <c r="AI67">
        <v>1667</v>
      </c>
    </row>
    <row r="68" spans="3:35" x14ac:dyDescent="0.25">
      <c r="AI68">
        <v>1070</v>
      </c>
    </row>
    <row r="69" spans="3:35" x14ac:dyDescent="0.25">
      <c r="W69" t="s">
        <v>139</v>
      </c>
      <c r="AI69">
        <f>AI67-AI68</f>
        <v>597</v>
      </c>
    </row>
    <row r="70" spans="3:35" x14ac:dyDescent="0.25">
      <c r="J70">
        <f>3670+1320-7150</f>
        <v>-2160</v>
      </c>
      <c r="K70">
        <f>12700+870+980+24320+600</f>
        <v>39470</v>
      </c>
      <c r="L70">
        <f>38950+1000+1080+600</f>
        <v>41630</v>
      </c>
      <c r="M70">
        <f>23176+4500+600+1000+35680+3900</f>
        <v>68856</v>
      </c>
    </row>
    <row r="71" spans="3:35" x14ac:dyDescent="0.25">
      <c r="J71">
        <v>5800</v>
      </c>
      <c r="K71">
        <v>5800</v>
      </c>
      <c r="L71">
        <v>5100</v>
      </c>
      <c r="M71">
        <v>5100</v>
      </c>
    </row>
    <row r="72" spans="3:35" x14ac:dyDescent="0.25">
      <c r="J72">
        <v>42702</v>
      </c>
      <c r="K72">
        <v>0</v>
      </c>
      <c r="L72">
        <v>0</v>
      </c>
      <c r="M72">
        <f>1081-340</f>
        <v>741</v>
      </c>
    </row>
    <row r="73" spans="3:35" x14ac:dyDescent="0.25">
      <c r="J73">
        <v>0</v>
      </c>
      <c r="L73">
        <v>0</v>
      </c>
      <c r="M73">
        <v>0</v>
      </c>
      <c r="AH73" t="s">
        <v>149</v>
      </c>
      <c r="AI73">
        <v>14352</v>
      </c>
    </row>
    <row r="74" spans="3:35" x14ac:dyDescent="0.25">
      <c r="J74">
        <v>1140</v>
      </c>
      <c r="K74">
        <v>1140</v>
      </c>
      <c r="L74">
        <v>0</v>
      </c>
      <c r="M74">
        <v>0</v>
      </c>
      <c r="AI74">
        <v>-14547</v>
      </c>
    </row>
    <row r="75" spans="3:35" x14ac:dyDescent="0.25">
      <c r="J75">
        <v>-4815</v>
      </c>
      <c r="K75">
        <v>-3609</v>
      </c>
      <c r="L75">
        <v>-3609</v>
      </c>
      <c r="M75">
        <f>-1324-1120</f>
        <v>-2444</v>
      </c>
    </row>
    <row r="76" spans="3:35" x14ac:dyDescent="0.25">
      <c r="M76">
        <f>-2336.5*12</f>
        <v>-28038</v>
      </c>
      <c r="AI76">
        <f>SUM(AI73:AI75)</f>
        <v>-195</v>
      </c>
    </row>
    <row r="78" spans="3:35" x14ac:dyDescent="0.25">
      <c r="J78">
        <f>SUM(J70:J75)</f>
        <v>42667</v>
      </c>
      <c r="K78">
        <f>SUM(K70:K77)</f>
        <v>42801</v>
      </c>
      <c r="L78">
        <f>SUM(L70:L77)</f>
        <v>43121</v>
      </c>
      <c r="M78">
        <f>SUM(M70:M77)</f>
        <v>44215</v>
      </c>
    </row>
    <row r="79" spans="3:35" x14ac:dyDescent="0.25">
      <c r="J79">
        <v>100</v>
      </c>
      <c r="K79">
        <v>100</v>
      </c>
      <c r="AH79" t="s">
        <v>158</v>
      </c>
    </row>
    <row r="80" spans="3:35" x14ac:dyDescent="0.25">
      <c r="J80">
        <f>+J78-J79</f>
        <v>42567</v>
      </c>
      <c r="K80">
        <f>+K78-K79</f>
        <v>42701</v>
      </c>
    </row>
    <row r="81" spans="3:37" x14ac:dyDescent="0.25">
      <c r="M81">
        <f>+M78-L78</f>
        <v>1094</v>
      </c>
      <c r="AI81" t="s">
        <v>159</v>
      </c>
    </row>
    <row r="82" spans="3:37" x14ac:dyDescent="0.25">
      <c r="J82">
        <f>+I98-J80</f>
        <v>128</v>
      </c>
      <c r="K82">
        <f>+K80-J80</f>
        <v>134</v>
      </c>
    </row>
    <row r="85" spans="3:37" ht="30" customHeight="1" x14ac:dyDescent="0.25">
      <c r="K85" s="102">
        <v>20611410159</v>
      </c>
    </row>
    <row r="86" spans="3:37" x14ac:dyDescent="0.25">
      <c r="K86" s="102">
        <v>41200545</v>
      </c>
    </row>
    <row r="88" spans="3:37" x14ac:dyDescent="0.25">
      <c r="C88" s="98" t="s">
        <v>118</v>
      </c>
      <c r="D88">
        <f>5050+180</f>
        <v>5230</v>
      </c>
      <c r="E88">
        <v>140</v>
      </c>
      <c r="F88">
        <f>-310+70+80</f>
        <v>-160</v>
      </c>
      <c r="G88">
        <f>8000+1340-200</f>
        <v>9140</v>
      </c>
      <c r="I88">
        <f>12540+400</f>
        <v>12940</v>
      </c>
    </row>
    <row r="89" spans="3:37" x14ac:dyDescent="0.25">
      <c r="C89" t="s">
        <v>119</v>
      </c>
      <c r="D89">
        <v>6500</v>
      </c>
      <c r="E89">
        <v>6500</v>
      </c>
      <c r="F89">
        <v>6500</v>
      </c>
      <c r="G89">
        <v>6500</v>
      </c>
      <c r="I89">
        <v>5800</v>
      </c>
    </row>
    <row r="90" spans="3:37" x14ac:dyDescent="0.25">
      <c r="C90" t="s">
        <v>120</v>
      </c>
      <c r="D90">
        <v>33280</v>
      </c>
      <c r="E90">
        <v>33280</v>
      </c>
      <c r="F90">
        <f>38060-1480</f>
        <v>36580</v>
      </c>
      <c r="G90">
        <v>27560</v>
      </c>
      <c r="I90">
        <v>24080</v>
      </c>
    </row>
    <row r="91" spans="3:37" x14ac:dyDescent="0.25">
      <c r="C91" t="s">
        <v>123</v>
      </c>
      <c r="D91">
        <v>2960</v>
      </c>
      <c r="E91">
        <v>2960</v>
      </c>
      <c r="F91">
        <f>1150</f>
        <v>1150</v>
      </c>
      <c r="G91">
        <v>1980</v>
      </c>
      <c r="I91">
        <v>4000</v>
      </c>
      <c r="AJ91" t="s">
        <v>150</v>
      </c>
      <c r="AK91" t="s">
        <v>151</v>
      </c>
    </row>
    <row r="92" spans="3:37" x14ac:dyDescent="0.25">
      <c r="C92" t="s">
        <v>122</v>
      </c>
      <c r="D92">
        <v>1300</v>
      </c>
      <c r="E92">
        <v>1300</v>
      </c>
      <c r="F92">
        <v>1300</v>
      </c>
      <c r="G92">
        <v>1300</v>
      </c>
      <c r="I92">
        <v>1140</v>
      </c>
      <c r="AJ92" t="s">
        <v>152</v>
      </c>
    </row>
    <row r="93" spans="3:37" x14ac:dyDescent="0.25">
      <c r="C93" t="s">
        <v>127</v>
      </c>
      <c r="D93">
        <v>-9815</v>
      </c>
      <c r="E93">
        <v>-4815</v>
      </c>
      <c r="F93">
        <v>-4815</v>
      </c>
      <c r="G93">
        <v>-4815</v>
      </c>
      <c r="I93">
        <v>-4815</v>
      </c>
    </row>
    <row r="94" spans="3:37" x14ac:dyDescent="0.25">
      <c r="C94" t="s">
        <v>128</v>
      </c>
      <c r="AJ94" t="s">
        <v>153</v>
      </c>
    </row>
    <row r="96" spans="3:37" x14ac:dyDescent="0.25">
      <c r="D96">
        <f>SUM(D88:D95)</f>
        <v>39455</v>
      </c>
      <c r="E96">
        <f>SUM(E88:E93)</f>
        <v>39365</v>
      </c>
      <c r="F96">
        <f>SUM(F88:F93)</f>
        <v>40555</v>
      </c>
      <c r="G96">
        <f>SUM(G88:G93)</f>
        <v>41665</v>
      </c>
      <c r="I96">
        <f>SUM(I88:I93)</f>
        <v>43145</v>
      </c>
    </row>
    <row r="97" spans="3:36" x14ac:dyDescent="0.25">
      <c r="C97" t="s">
        <v>124</v>
      </c>
      <c r="D97">
        <v>100</v>
      </c>
      <c r="E97">
        <v>100</v>
      </c>
      <c r="F97">
        <v>100</v>
      </c>
      <c r="G97">
        <v>100</v>
      </c>
      <c r="I97">
        <f>100+350</f>
        <v>450</v>
      </c>
      <c r="AJ97">
        <v>24005</v>
      </c>
    </row>
    <row r="98" spans="3:36" x14ac:dyDescent="0.25">
      <c r="C98" t="s">
        <v>125</v>
      </c>
      <c r="D98">
        <f>+D96-D97</f>
        <v>39355</v>
      </c>
      <c r="E98">
        <f>+E96-E97</f>
        <v>39265</v>
      </c>
      <c r="F98">
        <f>+F96-F97</f>
        <v>40455</v>
      </c>
      <c r="G98">
        <f>+G96-G97</f>
        <v>41565</v>
      </c>
      <c r="I98">
        <f>+I96-I97</f>
        <v>42695</v>
      </c>
      <c r="AJ98">
        <v>-24080</v>
      </c>
    </row>
    <row r="99" spans="3:36" x14ac:dyDescent="0.25">
      <c r="G99">
        <f>+G98-F98</f>
        <v>1110</v>
      </c>
      <c r="I99">
        <f>+I98-G98</f>
        <v>1130</v>
      </c>
      <c r="AJ99">
        <f>SUM(AJ97:AJ98)</f>
        <v>-75</v>
      </c>
    </row>
  </sheetData>
  <mergeCells count="7">
    <mergeCell ref="AB2:AC2"/>
    <mergeCell ref="A4:A16"/>
    <mergeCell ref="A17:A55"/>
    <mergeCell ref="D2:I2"/>
    <mergeCell ref="J2:P2"/>
    <mergeCell ref="Q2:U2"/>
    <mergeCell ref="V2:AA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AAF7-26D2-4A4C-AE33-09D5CCC67774}">
  <dimension ref="A1:IE8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2" sqref="A12:XFD12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9.42578125" customWidth="1"/>
    <col min="10" max="10" width="16" customWidth="1"/>
    <col min="11" max="11" width="11.28515625" customWidth="1"/>
    <col min="12" max="12" width="10.140625" customWidth="1"/>
    <col min="13" max="14" width="12" customWidth="1"/>
    <col min="15" max="15" width="11.28515625" customWidth="1"/>
    <col min="16" max="16" width="10.42578125" bestFit="1" customWidth="1"/>
    <col min="17" max="17" width="8.7109375" bestFit="1" customWidth="1"/>
    <col min="18" max="18" width="10.5703125" customWidth="1"/>
    <col min="19" max="19" width="8.7109375" customWidth="1"/>
    <col min="20" max="20" width="11.28515625" customWidth="1"/>
    <col min="21" max="21" width="10.85546875" customWidth="1"/>
    <col min="22" max="24" width="10.7109375" customWidth="1"/>
    <col min="25" max="26" width="13.5703125" customWidth="1"/>
    <col min="27" max="27" width="11.5703125" customWidth="1"/>
    <col min="28" max="28" width="14.42578125" customWidth="1"/>
    <col min="29" max="29" width="9.85546875" customWidth="1"/>
    <col min="30" max="30" width="14.5703125" customWidth="1"/>
    <col min="31" max="31" width="19" customWidth="1"/>
    <col min="34" max="34" width="15.140625" customWidth="1"/>
  </cols>
  <sheetData>
    <row r="1" spans="1:30" ht="33" customHeight="1" thickBot="1" x14ac:dyDescent="0.3"/>
    <row r="2" spans="1:30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09"/>
      <c r="J2" s="308" t="s">
        <v>1</v>
      </c>
      <c r="K2" s="313"/>
      <c r="L2" s="313"/>
      <c r="M2" s="313"/>
      <c r="N2" s="313"/>
      <c r="O2" s="313"/>
      <c r="P2" s="309"/>
      <c r="Q2" s="308" t="s">
        <v>2</v>
      </c>
      <c r="R2" s="313"/>
      <c r="S2" s="313"/>
      <c r="T2" s="313"/>
      <c r="U2" s="309"/>
      <c r="V2" s="308" t="s">
        <v>3</v>
      </c>
      <c r="W2" s="313"/>
      <c r="X2" s="313"/>
      <c r="Y2" s="313"/>
      <c r="Z2" s="313"/>
      <c r="AA2" s="309"/>
      <c r="AB2" s="308" t="s">
        <v>4</v>
      </c>
      <c r="AC2" s="309"/>
      <c r="AD2" s="46" t="s">
        <v>91</v>
      </c>
    </row>
    <row r="3" spans="1:30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8" t="s">
        <v>13</v>
      </c>
      <c r="J3" s="9" t="s">
        <v>394</v>
      </c>
      <c r="K3" s="7" t="s">
        <v>11</v>
      </c>
      <c r="L3" s="7" t="s">
        <v>12</v>
      </c>
      <c r="M3" s="7" t="s">
        <v>13</v>
      </c>
      <c r="N3" s="7" t="s">
        <v>182</v>
      </c>
      <c r="O3" s="7" t="s">
        <v>15</v>
      </c>
      <c r="P3" s="8" t="s">
        <v>136</v>
      </c>
      <c r="Q3" s="6" t="s">
        <v>12</v>
      </c>
      <c r="R3" s="7" t="s">
        <v>69</v>
      </c>
      <c r="S3" s="7" t="s">
        <v>13</v>
      </c>
      <c r="T3" s="7" t="s">
        <v>16</v>
      </c>
      <c r="U3" s="8" t="s">
        <v>162</v>
      </c>
      <c r="V3" s="6" t="s">
        <v>16</v>
      </c>
      <c r="W3" s="7" t="s">
        <v>77</v>
      </c>
      <c r="X3" s="7" t="s">
        <v>12</v>
      </c>
      <c r="Y3" s="7" t="s">
        <v>13</v>
      </c>
      <c r="Z3" s="7" t="s">
        <v>8</v>
      </c>
      <c r="AA3" s="8" t="s">
        <v>69</v>
      </c>
      <c r="AB3" s="6" t="s">
        <v>17</v>
      </c>
      <c r="AC3" s="8" t="s">
        <v>18</v>
      </c>
      <c r="AD3" s="10" t="s">
        <v>92</v>
      </c>
    </row>
    <row r="4" spans="1:30" x14ac:dyDescent="0.25">
      <c r="A4" s="310" t="s">
        <v>19</v>
      </c>
      <c r="B4" s="49"/>
      <c r="C4" s="2"/>
      <c r="D4" s="42">
        <v>0</v>
      </c>
      <c r="E4" s="42">
        <v>47</v>
      </c>
      <c r="F4" s="42">
        <v>5161</v>
      </c>
      <c r="G4" s="42">
        <v>140</v>
      </c>
      <c r="H4" s="42">
        <v>52</v>
      </c>
      <c r="I4" s="42">
        <v>0</v>
      </c>
      <c r="J4" s="42">
        <v>460</v>
      </c>
      <c r="K4" s="42">
        <v>13460</v>
      </c>
      <c r="L4" s="42">
        <v>181</v>
      </c>
      <c r="M4" s="42">
        <v>22421</v>
      </c>
      <c r="N4" s="42">
        <v>47</v>
      </c>
      <c r="O4" s="42">
        <v>0</v>
      </c>
      <c r="P4" s="42">
        <v>0</v>
      </c>
      <c r="Q4" s="42">
        <f>'STOCK 08-14-02'!O25</f>
        <v>2</v>
      </c>
      <c r="R4" s="42">
        <f>'STOCK 08-14-02'!P25</f>
        <v>0</v>
      </c>
      <c r="S4" s="42">
        <f>'STOCK 08-14-02'!Q25</f>
        <v>0</v>
      </c>
      <c r="T4" s="42">
        <v>1185</v>
      </c>
      <c r="U4" s="42">
        <v>0</v>
      </c>
      <c r="V4" s="42">
        <v>998</v>
      </c>
      <c r="W4" s="42">
        <v>54</v>
      </c>
      <c r="X4" s="42">
        <v>70</v>
      </c>
      <c r="Y4" s="42">
        <v>330</v>
      </c>
      <c r="Z4" s="42">
        <v>0</v>
      </c>
      <c r="AA4" s="42">
        <f>'STOCK 08-14-02'!W25</f>
        <v>0</v>
      </c>
      <c r="AB4" s="42">
        <f>'STOCK 08-14-02'!X25</f>
        <v>0</v>
      </c>
      <c r="AC4" s="42">
        <v>0</v>
      </c>
      <c r="AD4" s="42">
        <v>35</v>
      </c>
    </row>
    <row r="5" spans="1:30" x14ac:dyDescent="0.25">
      <c r="A5" s="311"/>
      <c r="B5" s="20"/>
      <c r="C5" s="82"/>
      <c r="D5" s="27"/>
      <c r="F5" s="35"/>
      <c r="I5" s="31"/>
      <c r="J5" s="13"/>
      <c r="K5" s="35"/>
      <c r="M5" s="35"/>
      <c r="N5" s="35"/>
      <c r="O5" s="35"/>
      <c r="P5" s="14"/>
      <c r="Q5" s="27"/>
      <c r="U5" s="31"/>
      <c r="V5" s="13"/>
      <c r="AA5" s="31"/>
      <c r="AB5" s="13"/>
      <c r="AC5" s="31"/>
      <c r="AD5" s="15"/>
    </row>
    <row r="6" spans="1:30" x14ac:dyDescent="0.25">
      <c r="A6" s="311"/>
      <c r="B6" s="20">
        <v>46119</v>
      </c>
      <c r="C6" s="82" t="s">
        <v>27</v>
      </c>
      <c r="D6" s="27"/>
      <c r="F6" s="35"/>
      <c r="I6" s="31"/>
      <c r="J6" s="13"/>
      <c r="K6" s="35"/>
      <c r="M6" s="35"/>
      <c r="N6" s="35"/>
      <c r="O6" s="35"/>
      <c r="P6" s="14"/>
      <c r="Q6" s="27"/>
      <c r="T6">
        <v>1000</v>
      </c>
      <c r="U6" s="31"/>
      <c r="V6" s="13"/>
      <c r="AA6" s="31"/>
      <c r="AB6" s="13"/>
      <c r="AC6" s="31"/>
      <c r="AD6" s="15"/>
    </row>
    <row r="7" spans="1:30" x14ac:dyDescent="0.25">
      <c r="A7" s="311"/>
      <c r="B7" s="20">
        <v>46119</v>
      </c>
      <c r="C7" s="82" t="s">
        <v>46</v>
      </c>
      <c r="D7" s="27"/>
      <c r="F7" s="35"/>
      <c r="I7" s="31"/>
      <c r="J7" s="13"/>
      <c r="K7" s="35"/>
      <c r="M7" s="35"/>
      <c r="N7" s="35"/>
      <c r="O7" s="35">
        <v>4000</v>
      </c>
      <c r="P7" s="14"/>
      <c r="Q7" s="27"/>
      <c r="U7" s="31"/>
      <c r="V7" s="13"/>
      <c r="AA7" s="31"/>
      <c r="AB7" s="13"/>
      <c r="AC7" s="31"/>
      <c r="AD7" s="15"/>
    </row>
    <row r="8" spans="1:30" x14ac:dyDescent="0.25">
      <c r="A8" s="311"/>
      <c r="B8" s="20">
        <v>46120</v>
      </c>
      <c r="C8" s="82" t="s">
        <v>27</v>
      </c>
      <c r="D8" s="27"/>
      <c r="F8" s="35"/>
      <c r="I8" s="31"/>
      <c r="J8" s="13"/>
      <c r="K8" s="35">
        <v>1000</v>
      </c>
      <c r="M8" s="35"/>
      <c r="N8" s="35"/>
      <c r="O8" s="35"/>
      <c r="P8" s="14"/>
      <c r="Q8" s="27"/>
      <c r="U8" s="31"/>
      <c r="V8" s="13"/>
      <c r="AA8" s="31"/>
      <c r="AB8" s="13"/>
      <c r="AC8" s="31"/>
      <c r="AD8" s="15"/>
    </row>
    <row r="9" spans="1:30" x14ac:dyDescent="0.25">
      <c r="A9" s="311"/>
      <c r="B9" s="20">
        <v>46120</v>
      </c>
      <c r="C9" s="82" t="s">
        <v>46</v>
      </c>
      <c r="D9" s="27">
        <v>1000</v>
      </c>
      <c r="F9" s="35"/>
      <c r="I9" s="31"/>
      <c r="J9" s="13"/>
      <c r="K9" s="35"/>
      <c r="M9" s="35"/>
      <c r="N9" s="35"/>
      <c r="O9" s="35"/>
      <c r="P9" s="14"/>
      <c r="Q9" s="27"/>
      <c r="U9" s="31"/>
      <c r="V9" s="13"/>
      <c r="AA9" s="31"/>
      <c r="AB9" s="13"/>
      <c r="AC9" s="31"/>
      <c r="AD9" s="15"/>
    </row>
    <row r="10" spans="1:30" x14ac:dyDescent="0.25">
      <c r="A10" s="311"/>
      <c r="B10" s="20">
        <v>46120</v>
      </c>
      <c r="C10" s="82" t="s">
        <v>538</v>
      </c>
      <c r="D10" s="27"/>
      <c r="F10" s="35"/>
      <c r="I10" s="31"/>
      <c r="J10" s="13"/>
      <c r="K10" s="35"/>
      <c r="M10" s="35"/>
      <c r="N10" s="35"/>
      <c r="O10" s="35"/>
      <c r="P10" s="14"/>
      <c r="Q10" s="27"/>
      <c r="S10">
        <v>1800</v>
      </c>
      <c r="U10" s="31"/>
      <c r="V10" s="13"/>
      <c r="AA10" s="31"/>
      <c r="AB10" s="13"/>
      <c r="AC10" s="31"/>
      <c r="AD10" s="15"/>
    </row>
    <row r="11" spans="1:30" x14ac:dyDescent="0.25">
      <c r="A11" s="311"/>
      <c r="B11" s="20">
        <v>46121</v>
      </c>
      <c r="C11" s="82" t="s">
        <v>27</v>
      </c>
      <c r="D11" s="27"/>
      <c r="F11" s="35"/>
      <c r="I11" s="31"/>
      <c r="J11" s="13"/>
      <c r="K11" s="35"/>
      <c r="M11" s="35"/>
      <c r="N11" s="35"/>
      <c r="O11" s="35"/>
      <c r="P11" s="14">
        <v>2000</v>
      </c>
      <c r="Q11" s="27"/>
      <c r="U11" s="31"/>
      <c r="V11" s="13"/>
      <c r="AA11" s="31"/>
      <c r="AB11" s="13"/>
      <c r="AC11" s="31"/>
      <c r="AD11" s="15"/>
    </row>
    <row r="12" spans="1:30" x14ac:dyDescent="0.25">
      <c r="A12" s="311"/>
      <c r="B12" s="20">
        <v>46121</v>
      </c>
      <c r="C12" s="82" t="s">
        <v>46</v>
      </c>
      <c r="D12" s="27"/>
      <c r="F12" s="35"/>
      <c r="I12" s="31"/>
      <c r="J12" s="13"/>
      <c r="K12" s="35">
        <v>4000</v>
      </c>
      <c r="M12" s="35"/>
      <c r="N12" s="35"/>
      <c r="O12" s="35"/>
      <c r="P12" s="14"/>
      <c r="Q12" s="27"/>
      <c r="U12" s="31"/>
      <c r="V12" s="13"/>
      <c r="AA12" s="31"/>
      <c r="AB12" s="13"/>
      <c r="AC12" s="31"/>
      <c r="AD12" s="15"/>
    </row>
    <row r="13" spans="1:30" x14ac:dyDescent="0.25">
      <c r="A13" s="311"/>
      <c r="B13" s="20">
        <v>46122</v>
      </c>
      <c r="C13" s="82" t="s">
        <v>27</v>
      </c>
      <c r="D13" s="27"/>
      <c r="F13" s="35"/>
      <c r="I13" s="31"/>
      <c r="J13" s="13"/>
      <c r="K13" s="35"/>
      <c r="M13" s="35"/>
      <c r="N13" s="35"/>
      <c r="O13" s="35"/>
      <c r="P13" s="14"/>
      <c r="Q13" s="27"/>
      <c r="U13" s="31"/>
      <c r="V13" s="83">
        <v>1000</v>
      </c>
      <c r="AA13" s="31"/>
      <c r="AB13" s="13"/>
      <c r="AC13" s="31"/>
      <c r="AD13" s="15"/>
    </row>
    <row r="14" spans="1:30" x14ac:dyDescent="0.25">
      <c r="A14" s="311"/>
      <c r="B14" s="20">
        <v>46122</v>
      </c>
      <c r="C14" s="82" t="s">
        <v>46</v>
      </c>
      <c r="D14" s="27">
        <v>5000</v>
      </c>
      <c r="F14" s="35"/>
      <c r="I14" s="31"/>
      <c r="J14" s="13"/>
      <c r="K14" s="35"/>
      <c r="M14" s="35"/>
      <c r="N14" s="35"/>
      <c r="O14" s="35"/>
      <c r="P14" s="14"/>
      <c r="Q14" s="27"/>
      <c r="U14" s="31"/>
      <c r="V14" s="13"/>
      <c r="AA14" s="31"/>
      <c r="AB14" s="13"/>
      <c r="AC14" s="31"/>
      <c r="AD14" s="15"/>
    </row>
    <row r="15" spans="1:30" x14ac:dyDescent="0.25">
      <c r="A15" s="311"/>
      <c r="B15" s="20"/>
      <c r="C15" s="82"/>
      <c r="D15" s="27"/>
      <c r="F15" s="35"/>
      <c r="I15" s="31"/>
      <c r="J15" s="13"/>
      <c r="K15" s="35"/>
      <c r="M15" s="35"/>
      <c r="N15" s="35"/>
      <c r="O15" s="35"/>
      <c r="P15" s="14"/>
      <c r="Q15" s="27"/>
      <c r="U15" s="31"/>
      <c r="V15" s="13"/>
      <c r="AA15" s="31"/>
      <c r="AB15" s="13"/>
      <c r="AC15" s="31"/>
      <c r="AD15" s="15"/>
    </row>
    <row r="16" spans="1:30" ht="15.75" thickBot="1" x14ac:dyDescent="0.3">
      <c r="A16" s="312"/>
      <c r="B16" s="72"/>
      <c r="C16" s="17"/>
      <c r="D16" s="28"/>
      <c r="E16" s="18"/>
      <c r="F16" s="36"/>
      <c r="G16" s="18"/>
      <c r="H16" s="18"/>
      <c r="I16" s="32"/>
      <c r="J16" s="16"/>
      <c r="K16" s="36"/>
      <c r="L16" s="18"/>
      <c r="M16" s="36"/>
      <c r="N16" s="36"/>
      <c r="O16" s="36"/>
      <c r="P16" s="17"/>
      <c r="Q16" s="28"/>
      <c r="R16" s="18"/>
      <c r="S16" s="18"/>
      <c r="T16" s="18"/>
      <c r="U16" s="32"/>
      <c r="V16" s="16"/>
      <c r="W16" s="18"/>
      <c r="X16" s="18"/>
      <c r="Y16" s="18"/>
      <c r="Z16" s="18"/>
      <c r="AA16" s="32"/>
      <c r="AB16" s="16"/>
      <c r="AC16" s="32"/>
      <c r="AD16" s="19"/>
    </row>
    <row r="17" spans="1:31" x14ac:dyDescent="0.25">
      <c r="A17" s="310" t="s">
        <v>62</v>
      </c>
      <c r="B17" s="160"/>
      <c r="C17" s="14"/>
      <c r="D17" s="27"/>
      <c r="F17" s="35"/>
      <c r="I17" s="31"/>
      <c r="J17" s="13"/>
      <c r="K17" s="35"/>
      <c r="M17" s="35"/>
      <c r="N17" s="35"/>
      <c r="O17" s="35"/>
      <c r="P17" s="14"/>
      <c r="Q17" s="27"/>
      <c r="U17" s="31"/>
      <c r="V17" s="13"/>
      <c r="AA17" s="31"/>
      <c r="AB17" s="13"/>
      <c r="AC17" s="31"/>
      <c r="AD17" s="15"/>
    </row>
    <row r="18" spans="1:31" x14ac:dyDescent="0.25">
      <c r="A18" s="311"/>
      <c r="B18" s="160">
        <v>46118</v>
      </c>
      <c r="C18" s="14" t="s">
        <v>426</v>
      </c>
      <c r="D18" s="27"/>
      <c r="F18" s="35"/>
      <c r="I18" s="31"/>
      <c r="J18" s="13"/>
      <c r="K18" s="35"/>
      <c r="M18" s="35"/>
      <c r="N18" s="35"/>
      <c r="O18" s="35"/>
      <c r="P18" s="14"/>
      <c r="Q18" s="27"/>
      <c r="T18">
        <v>1000</v>
      </c>
      <c r="U18" s="31"/>
      <c r="V18" s="13"/>
      <c r="AA18" s="31"/>
      <c r="AB18" s="13"/>
      <c r="AC18" s="31"/>
      <c r="AD18" s="15"/>
    </row>
    <row r="19" spans="1:31" x14ac:dyDescent="0.25">
      <c r="A19" s="311"/>
      <c r="B19" s="160">
        <v>46118</v>
      </c>
      <c r="C19" s="14" t="s">
        <v>353</v>
      </c>
      <c r="D19" s="27"/>
      <c r="F19" s="35"/>
      <c r="I19" s="31"/>
      <c r="J19" s="13"/>
      <c r="K19" s="35">
        <v>3000</v>
      </c>
      <c r="M19" s="35"/>
      <c r="N19" s="35"/>
      <c r="O19" s="35"/>
      <c r="P19" s="14"/>
      <c r="Q19" s="27"/>
      <c r="U19" s="31"/>
      <c r="V19" s="13"/>
      <c r="AA19" s="31"/>
      <c r="AB19" s="13"/>
      <c r="AC19" s="31"/>
      <c r="AD19" s="15"/>
    </row>
    <row r="20" spans="1:31" x14ac:dyDescent="0.25">
      <c r="A20" s="311"/>
      <c r="B20" s="160">
        <v>46119</v>
      </c>
      <c r="C20" s="14" t="s">
        <v>353</v>
      </c>
      <c r="D20" s="27"/>
      <c r="F20" s="35"/>
      <c r="I20" s="31"/>
      <c r="J20" s="13"/>
      <c r="K20" s="35"/>
      <c r="M20" s="35"/>
      <c r="N20" s="35"/>
      <c r="O20" s="35"/>
      <c r="P20" s="14"/>
      <c r="Q20" s="27"/>
      <c r="T20">
        <v>5</v>
      </c>
      <c r="U20" s="31"/>
      <c r="V20" s="13"/>
      <c r="AA20" s="31"/>
      <c r="AB20" s="13"/>
      <c r="AC20" s="31"/>
      <c r="AD20" s="15"/>
    </row>
    <row r="21" spans="1:31" x14ac:dyDescent="0.25">
      <c r="A21" s="311"/>
      <c r="B21" s="160">
        <v>46119</v>
      </c>
      <c r="C21" s="14" t="s">
        <v>507</v>
      </c>
      <c r="D21" s="27"/>
      <c r="F21" s="35"/>
      <c r="I21" s="31"/>
      <c r="J21" s="13"/>
      <c r="K21" s="35"/>
      <c r="M21" s="35"/>
      <c r="N21" s="35"/>
      <c r="O21" s="35">
        <v>1000</v>
      </c>
      <c r="P21" s="14"/>
      <c r="Q21" s="27"/>
      <c r="U21" s="31"/>
      <c r="V21" s="13"/>
      <c r="AA21" s="31"/>
      <c r="AB21" s="13"/>
      <c r="AC21" s="31"/>
      <c r="AD21" s="15"/>
    </row>
    <row r="22" spans="1:31" x14ac:dyDescent="0.25">
      <c r="A22" s="311"/>
      <c r="B22" s="160">
        <v>46119</v>
      </c>
      <c r="C22" s="14" t="s">
        <v>508</v>
      </c>
      <c r="D22" s="27"/>
      <c r="F22" s="35">
        <v>1000</v>
      </c>
      <c r="I22" s="31"/>
      <c r="J22" s="13"/>
      <c r="K22" s="35"/>
      <c r="M22" s="35"/>
      <c r="N22" s="35"/>
      <c r="O22" s="35"/>
      <c r="P22" s="14"/>
      <c r="Q22" s="27"/>
      <c r="U22" s="31"/>
      <c r="V22" s="13"/>
      <c r="AA22" s="31"/>
      <c r="AB22" s="13"/>
      <c r="AC22" s="31"/>
      <c r="AD22" s="15"/>
    </row>
    <row r="23" spans="1:31" x14ac:dyDescent="0.25">
      <c r="A23" s="311"/>
      <c r="B23" s="160">
        <v>46119</v>
      </c>
      <c r="C23" s="14" t="s">
        <v>510</v>
      </c>
      <c r="D23" s="27"/>
      <c r="F23" s="35"/>
      <c r="I23" s="31"/>
      <c r="J23" s="13"/>
      <c r="K23" s="35">
        <v>2000</v>
      </c>
      <c r="M23" s="35"/>
      <c r="N23" s="35"/>
      <c r="O23" s="35"/>
      <c r="P23" s="14"/>
      <c r="Q23" s="27"/>
      <c r="U23" s="31"/>
      <c r="V23" s="13"/>
      <c r="AA23" s="31"/>
      <c r="AB23" s="13"/>
      <c r="AC23" s="31"/>
      <c r="AD23" s="15"/>
    </row>
    <row r="24" spans="1:31" x14ac:dyDescent="0.25">
      <c r="A24" s="311"/>
      <c r="B24" s="160">
        <v>46119</v>
      </c>
      <c r="C24" s="14" t="s">
        <v>511</v>
      </c>
      <c r="D24" s="27"/>
      <c r="F24" s="35"/>
      <c r="I24" s="31"/>
      <c r="J24" s="13"/>
      <c r="K24" s="35">
        <v>800</v>
      </c>
      <c r="M24" s="35"/>
      <c r="N24" s="35"/>
      <c r="O24" s="35"/>
      <c r="P24" s="14"/>
      <c r="Q24" s="27"/>
      <c r="U24" s="31"/>
      <c r="V24" s="13"/>
      <c r="AA24" s="31"/>
      <c r="AB24" s="13"/>
      <c r="AC24" s="31"/>
      <c r="AD24" s="15"/>
    </row>
    <row r="25" spans="1:31" x14ac:dyDescent="0.25">
      <c r="A25" s="311"/>
      <c r="B25" s="160">
        <v>46119</v>
      </c>
      <c r="C25" s="14" t="s">
        <v>512</v>
      </c>
      <c r="D25" s="27"/>
      <c r="F25" s="35">
        <v>300</v>
      </c>
      <c r="I25" s="31"/>
      <c r="J25" s="13"/>
      <c r="K25" s="35"/>
      <c r="M25" s="35"/>
      <c r="N25" s="35"/>
      <c r="O25" s="35"/>
      <c r="P25" s="14"/>
      <c r="Q25" s="27"/>
      <c r="U25" s="31"/>
      <c r="V25" s="13"/>
      <c r="AA25" s="31"/>
      <c r="AB25" s="13"/>
      <c r="AC25" s="31"/>
      <c r="AD25" s="15"/>
    </row>
    <row r="26" spans="1:31" ht="16.5" customHeight="1" x14ac:dyDescent="0.25">
      <c r="A26" s="311"/>
      <c r="B26" s="160">
        <v>46120</v>
      </c>
      <c r="C26" s="14" t="s">
        <v>536</v>
      </c>
      <c r="D26" s="27"/>
      <c r="F26" s="35"/>
      <c r="I26" s="31"/>
      <c r="J26" s="13"/>
      <c r="K26" s="35"/>
      <c r="M26" s="35">
        <v>4000</v>
      </c>
      <c r="N26" s="35"/>
      <c r="O26" s="35"/>
      <c r="P26" s="14"/>
      <c r="Q26" s="27"/>
      <c r="U26" s="31"/>
      <c r="V26" s="13"/>
      <c r="AA26" s="31"/>
      <c r="AB26" s="13"/>
      <c r="AC26" s="31"/>
      <c r="AD26" s="15"/>
    </row>
    <row r="27" spans="1:31" x14ac:dyDescent="0.25">
      <c r="A27" s="311"/>
      <c r="B27" s="160">
        <v>46120</v>
      </c>
      <c r="C27" s="14" t="s">
        <v>537</v>
      </c>
      <c r="D27" s="27"/>
      <c r="F27" s="35"/>
      <c r="I27" s="31"/>
      <c r="J27" s="13"/>
      <c r="K27" s="35"/>
      <c r="M27" s="35">
        <v>3000</v>
      </c>
      <c r="N27" s="35"/>
      <c r="O27" s="35"/>
      <c r="P27" s="14"/>
      <c r="Q27" s="27"/>
      <c r="U27" s="31"/>
      <c r="V27" s="13"/>
      <c r="AA27" s="31"/>
      <c r="AB27" s="13"/>
      <c r="AC27" s="31"/>
      <c r="AD27" s="15"/>
      <c r="AE27" t="s">
        <v>532</v>
      </c>
    </row>
    <row r="28" spans="1:31" x14ac:dyDescent="0.25">
      <c r="A28" s="311"/>
      <c r="B28" s="160">
        <v>46121</v>
      </c>
      <c r="C28" s="14" t="s">
        <v>549</v>
      </c>
      <c r="D28" s="27"/>
      <c r="F28" s="35"/>
      <c r="I28" s="31"/>
      <c r="J28" s="13"/>
      <c r="K28" s="35"/>
      <c r="M28" s="35"/>
      <c r="N28" s="35"/>
      <c r="O28" s="35">
        <v>2000</v>
      </c>
      <c r="P28" s="14"/>
      <c r="Q28" s="27"/>
      <c r="U28" s="31"/>
      <c r="V28" s="13"/>
      <c r="AA28" s="31"/>
      <c r="AB28" s="13"/>
      <c r="AC28" s="31"/>
      <c r="AD28" s="15"/>
    </row>
    <row r="29" spans="1:31" x14ac:dyDescent="0.25">
      <c r="A29" s="311"/>
      <c r="B29" s="160">
        <v>46121</v>
      </c>
      <c r="C29" s="14" t="s">
        <v>550</v>
      </c>
      <c r="D29" s="27"/>
      <c r="F29" s="35"/>
      <c r="I29" s="31"/>
      <c r="J29" s="13"/>
      <c r="K29" s="35"/>
      <c r="M29" s="35"/>
      <c r="N29" s="35"/>
      <c r="O29" s="35"/>
      <c r="P29" s="14"/>
      <c r="Q29" s="27"/>
      <c r="U29" s="31"/>
      <c r="V29" s="13"/>
      <c r="Y29">
        <v>70</v>
      </c>
      <c r="AA29" s="31"/>
      <c r="AB29" s="13"/>
      <c r="AC29" s="31"/>
      <c r="AD29" s="15"/>
    </row>
    <row r="30" spans="1:31" x14ac:dyDescent="0.25">
      <c r="A30" s="311"/>
      <c r="B30" s="160">
        <v>46122</v>
      </c>
      <c r="C30" s="14" t="s">
        <v>559</v>
      </c>
      <c r="D30" s="27"/>
      <c r="F30" s="35"/>
      <c r="I30" s="31"/>
      <c r="J30" s="13"/>
      <c r="K30" s="35">
        <v>700</v>
      </c>
      <c r="M30" s="35"/>
      <c r="N30" s="35"/>
      <c r="O30" s="35"/>
      <c r="P30" s="14"/>
      <c r="Q30" s="27"/>
      <c r="U30" s="31"/>
      <c r="V30" s="13"/>
      <c r="AA30" s="31"/>
      <c r="AB30" s="13"/>
      <c r="AC30" s="31"/>
      <c r="AD30" s="15"/>
    </row>
    <row r="31" spans="1:31" x14ac:dyDescent="0.25">
      <c r="A31" s="311"/>
      <c r="B31" s="160">
        <v>46122</v>
      </c>
      <c r="C31" s="14" t="s">
        <v>560</v>
      </c>
      <c r="D31" s="27"/>
      <c r="F31" s="35"/>
      <c r="I31" s="31"/>
      <c r="J31" s="13"/>
      <c r="K31" s="35"/>
      <c r="M31" s="35">
        <v>500</v>
      </c>
      <c r="N31" s="35"/>
      <c r="O31" s="35"/>
      <c r="P31" s="14"/>
      <c r="Q31" s="27"/>
      <c r="U31" s="31"/>
      <c r="V31" s="13"/>
      <c r="AA31" s="31"/>
      <c r="AB31" s="13"/>
      <c r="AC31" s="31"/>
      <c r="AD31" s="15"/>
    </row>
    <row r="32" spans="1:31" x14ac:dyDescent="0.25">
      <c r="A32" s="311"/>
      <c r="B32" s="160">
        <v>46122</v>
      </c>
      <c r="C32" s="14" t="s">
        <v>561</v>
      </c>
      <c r="D32" s="27"/>
      <c r="F32" s="35"/>
      <c r="I32" s="31"/>
      <c r="J32" s="13"/>
      <c r="K32" s="35"/>
      <c r="M32" s="35"/>
      <c r="N32" s="35"/>
      <c r="O32" s="35"/>
      <c r="P32" s="14"/>
      <c r="Q32" s="27"/>
      <c r="U32" s="31"/>
      <c r="V32" s="13">
        <v>450</v>
      </c>
      <c r="AA32" s="31"/>
      <c r="AB32" s="13"/>
      <c r="AC32" s="31"/>
      <c r="AD32" s="15"/>
    </row>
    <row r="33" spans="1:239" x14ac:dyDescent="0.25">
      <c r="A33" s="311"/>
      <c r="B33" s="160">
        <v>46123</v>
      </c>
      <c r="C33" s="14" t="s">
        <v>567</v>
      </c>
      <c r="D33" s="27"/>
      <c r="F33" s="35"/>
      <c r="I33" s="31"/>
      <c r="J33" s="13"/>
      <c r="K33" s="35"/>
      <c r="M33" s="35"/>
      <c r="N33" s="35"/>
      <c r="O33" s="35"/>
      <c r="P33" s="14"/>
      <c r="Q33" s="27"/>
      <c r="U33" s="31"/>
      <c r="V33" s="13">
        <v>500</v>
      </c>
      <c r="AA33" s="31"/>
      <c r="AB33" s="13"/>
      <c r="AC33" s="31"/>
      <c r="AD33" s="15"/>
    </row>
    <row r="34" spans="1:239" x14ac:dyDescent="0.25">
      <c r="A34" s="311"/>
      <c r="B34" s="160">
        <v>46123</v>
      </c>
      <c r="C34" s="14" t="s">
        <v>573</v>
      </c>
      <c r="D34" s="27"/>
      <c r="F34" s="35"/>
      <c r="I34" s="31"/>
      <c r="J34" s="13"/>
      <c r="K34" s="35"/>
      <c r="M34" s="35"/>
      <c r="N34" s="35"/>
      <c r="O34" s="35"/>
      <c r="P34" s="14">
        <v>500</v>
      </c>
      <c r="Q34" s="27"/>
      <c r="U34" s="31"/>
      <c r="V34" s="13"/>
      <c r="AA34" s="31"/>
      <c r="AB34" s="13"/>
      <c r="AC34" s="31"/>
      <c r="AD34" s="15"/>
    </row>
    <row r="35" spans="1:239" x14ac:dyDescent="0.25">
      <c r="A35" s="311"/>
      <c r="B35" s="160">
        <v>46123</v>
      </c>
      <c r="C35" s="14" t="s">
        <v>550</v>
      </c>
      <c r="D35" s="27"/>
      <c r="F35" s="35"/>
      <c r="I35" s="31"/>
      <c r="J35" s="13"/>
      <c r="K35" s="35"/>
      <c r="M35" s="35"/>
      <c r="N35" s="35"/>
      <c r="O35" s="35"/>
      <c r="P35" s="14"/>
      <c r="Q35" s="27"/>
      <c r="U35" s="31"/>
      <c r="V35" s="13"/>
      <c r="Y35">
        <v>100</v>
      </c>
      <c r="AA35" s="31"/>
      <c r="AB35" s="13"/>
      <c r="AC35" s="31"/>
      <c r="AD35" s="15"/>
    </row>
    <row r="36" spans="1:239" x14ac:dyDescent="0.25">
      <c r="A36" s="311"/>
      <c r="B36" s="160">
        <v>46123</v>
      </c>
      <c r="C36" s="14" t="s">
        <v>296</v>
      </c>
      <c r="D36" s="27"/>
      <c r="F36" s="35"/>
      <c r="I36" s="31"/>
      <c r="J36" s="13"/>
      <c r="K36" s="35">
        <v>500</v>
      </c>
      <c r="M36" s="35"/>
      <c r="N36" s="35"/>
      <c r="O36" s="35"/>
      <c r="P36" s="14"/>
      <c r="Q36" s="27"/>
      <c r="U36" s="31"/>
      <c r="V36" s="13"/>
      <c r="AA36" s="31"/>
      <c r="AB36" s="13"/>
      <c r="AC36" s="31"/>
      <c r="AD36" s="15"/>
    </row>
    <row r="37" spans="1:239" x14ac:dyDescent="0.25">
      <c r="A37" s="311"/>
      <c r="B37" s="20"/>
      <c r="C37" s="14"/>
      <c r="D37" s="27"/>
      <c r="F37" s="35"/>
      <c r="I37" s="31"/>
      <c r="J37" s="13"/>
      <c r="K37" s="35"/>
      <c r="M37" s="35"/>
      <c r="N37" s="35"/>
      <c r="O37" s="35"/>
      <c r="P37" s="14"/>
      <c r="Q37" s="27"/>
      <c r="U37" s="31"/>
      <c r="V37" s="13"/>
      <c r="AA37" s="31"/>
      <c r="AB37" s="13"/>
      <c r="AC37" s="31"/>
      <c r="AD37" s="15"/>
    </row>
    <row r="38" spans="1:239" s="52" customFormat="1" x14ac:dyDescent="0.25">
      <c r="A38" s="311"/>
      <c r="B38" s="114"/>
      <c r="C38" s="105"/>
      <c r="D38" s="83"/>
      <c r="I38" s="105"/>
      <c r="J38" s="83"/>
      <c r="P38" s="105"/>
      <c r="Q38" s="83"/>
      <c r="U38" s="105"/>
      <c r="V38" s="83"/>
      <c r="AA38" s="105"/>
      <c r="AB38" s="83"/>
      <c r="AC38" s="105"/>
      <c r="AD38" s="115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</row>
    <row r="39" spans="1:239" x14ac:dyDescent="0.25">
      <c r="A39" s="311"/>
      <c r="B39" s="20"/>
      <c r="C39" s="14"/>
      <c r="D39" s="27"/>
      <c r="F39" s="35"/>
      <c r="I39" s="31"/>
      <c r="J39" s="13"/>
      <c r="K39" s="35"/>
      <c r="M39" s="35"/>
      <c r="N39" s="35"/>
      <c r="O39" s="35"/>
      <c r="P39" s="14"/>
      <c r="Q39" s="27"/>
      <c r="U39" s="31"/>
      <c r="V39" s="13"/>
      <c r="AA39" s="31"/>
      <c r="AB39" s="13"/>
      <c r="AC39" s="31"/>
      <c r="AD39" s="15"/>
    </row>
    <row r="40" spans="1:239" ht="15.75" thickBot="1" x14ac:dyDescent="0.3">
      <c r="A40" s="312"/>
      <c r="B40" s="13"/>
      <c r="C40" s="14"/>
      <c r="D40" s="27"/>
      <c r="F40" s="35"/>
      <c r="I40" s="31"/>
      <c r="J40" s="13"/>
      <c r="K40" s="35"/>
      <c r="M40" s="35"/>
      <c r="N40" s="35"/>
      <c r="O40" s="35"/>
      <c r="P40" s="14"/>
      <c r="Q40" s="27"/>
      <c r="U40" s="31"/>
      <c r="V40" s="13"/>
      <c r="AA40" s="31"/>
      <c r="AB40" s="13"/>
      <c r="AC40" s="31"/>
      <c r="AD40" s="15"/>
      <c r="AH40">
        <f>0.3*400</f>
        <v>120</v>
      </c>
    </row>
    <row r="41" spans="1:239" ht="21.75" thickBot="1" x14ac:dyDescent="0.3">
      <c r="A41" s="21" t="s">
        <v>23</v>
      </c>
      <c r="B41" s="22"/>
      <c r="C41" s="23"/>
      <c r="D41" s="29">
        <f t="shared" ref="D41:AD41" si="0">SUM(D4:D16)-SUM(D17:D40)</f>
        <v>6000</v>
      </c>
      <c r="E41" s="22">
        <f t="shared" si="0"/>
        <v>47</v>
      </c>
      <c r="F41" s="37">
        <f t="shared" si="0"/>
        <v>3861</v>
      </c>
      <c r="G41" s="24">
        <f t="shared" si="0"/>
        <v>140</v>
      </c>
      <c r="H41" s="24">
        <f t="shared" si="0"/>
        <v>52</v>
      </c>
      <c r="I41" s="33">
        <f t="shared" si="0"/>
        <v>0</v>
      </c>
      <c r="J41" s="22">
        <f t="shared" si="0"/>
        <v>460</v>
      </c>
      <c r="K41" s="37">
        <f t="shared" si="0"/>
        <v>11460</v>
      </c>
      <c r="L41" s="24">
        <f t="shared" si="0"/>
        <v>181</v>
      </c>
      <c r="M41" s="37">
        <f t="shared" si="0"/>
        <v>14921</v>
      </c>
      <c r="N41" s="37">
        <f t="shared" si="0"/>
        <v>47</v>
      </c>
      <c r="O41" s="37">
        <f t="shared" si="0"/>
        <v>1000</v>
      </c>
      <c r="P41" s="23">
        <f t="shared" si="0"/>
        <v>1500</v>
      </c>
      <c r="Q41" s="29">
        <f t="shared" si="0"/>
        <v>2</v>
      </c>
      <c r="R41" s="29">
        <f t="shared" si="0"/>
        <v>0</v>
      </c>
      <c r="S41" s="29">
        <f t="shared" si="0"/>
        <v>1800</v>
      </c>
      <c r="T41" s="107">
        <f t="shared" si="0"/>
        <v>1180</v>
      </c>
      <c r="U41" s="33">
        <f t="shared" si="0"/>
        <v>0</v>
      </c>
      <c r="V41" s="22">
        <f>SUM(V4:V16)-SUM(V17:V40)</f>
        <v>1048</v>
      </c>
      <c r="W41" s="22">
        <f t="shared" si="0"/>
        <v>54</v>
      </c>
      <c r="X41" s="22">
        <f t="shared" si="0"/>
        <v>70</v>
      </c>
      <c r="Y41" s="22">
        <f t="shared" si="0"/>
        <v>160</v>
      </c>
      <c r="Z41" s="22">
        <f t="shared" si="0"/>
        <v>0</v>
      </c>
      <c r="AA41" s="33">
        <f t="shared" si="0"/>
        <v>0</v>
      </c>
      <c r="AB41" s="22">
        <f t="shared" si="0"/>
        <v>0</v>
      </c>
      <c r="AC41" s="33">
        <f t="shared" si="0"/>
        <v>0</v>
      </c>
      <c r="AD41" s="25">
        <f t="shared" si="0"/>
        <v>35</v>
      </c>
    </row>
    <row r="43" spans="1:239" x14ac:dyDescent="0.25">
      <c r="C43" t="s">
        <v>176</v>
      </c>
      <c r="D43">
        <v>0.6</v>
      </c>
      <c r="E43">
        <v>0.55000000000000004</v>
      </c>
      <c r="F43">
        <v>0.71</v>
      </c>
      <c r="G43">
        <v>0.65</v>
      </c>
      <c r="H43">
        <v>0.65</v>
      </c>
      <c r="I43">
        <v>0.74</v>
      </c>
      <c r="J43">
        <v>0.84</v>
      </c>
      <c r="K43">
        <v>0.86</v>
      </c>
      <c r="L43" s="50">
        <f>0.95+0.1</f>
        <v>1.05</v>
      </c>
      <c r="M43">
        <v>1.02</v>
      </c>
      <c r="N43">
        <v>0.82</v>
      </c>
      <c r="O43">
        <v>0.92</v>
      </c>
      <c r="P43">
        <v>0.82</v>
      </c>
      <c r="Q43">
        <v>2.7</v>
      </c>
      <c r="R43">
        <v>2.6</v>
      </c>
      <c r="S43">
        <v>2.8</v>
      </c>
      <c r="T43">
        <v>2.6</v>
      </c>
      <c r="U43">
        <v>2.4</v>
      </c>
      <c r="V43">
        <v>2.7</v>
      </c>
      <c r="W43">
        <v>2.5499999999999998</v>
      </c>
      <c r="X43">
        <v>2.9</v>
      </c>
      <c r="Y43">
        <v>2.85</v>
      </c>
      <c r="Z43">
        <v>2.7</v>
      </c>
      <c r="AA43">
        <f>+AA41*2.15</f>
        <v>0</v>
      </c>
      <c r="AB43">
        <f>+AB41*0.44</f>
        <v>0</v>
      </c>
      <c r="AC43">
        <f>+AC41*0.34</f>
        <v>0</v>
      </c>
      <c r="AD43" s="109"/>
    </row>
    <row r="44" spans="1:239" x14ac:dyDescent="0.25">
      <c r="D44">
        <f>+D41*D43</f>
        <v>3600</v>
      </c>
      <c r="E44">
        <f>+E41*E43</f>
        <v>25.85</v>
      </c>
      <c r="F44">
        <f t="shared" ref="F44:AD44" si="1">+F41*F43</f>
        <v>2741.31</v>
      </c>
      <c r="G44">
        <f t="shared" si="1"/>
        <v>91</v>
      </c>
      <c r="H44">
        <f t="shared" si="1"/>
        <v>33.800000000000004</v>
      </c>
      <c r="I44">
        <f t="shared" si="1"/>
        <v>0</v>
      </c>
      <c r="J44">
        <f t="shared" si="1"/>
        <v>386.4</v>
      </c>
      <c r="K44">
        <f t="shared" si="1"/>
        <v>9855.6</v>
      </c>
      <c r="L44">
        <f t="shared" si="1"/>
        <v>190.05</v>
      </c>
      <c r="M44">
        <f t="shared" si="1"/>
        <v>15219.42</v>
      </c>
      <c r="N44">
        <f>N41*N43</f>
        <v>38.54</v>
      </c>
      <c r="O44">
        <f t="shared" si="1"/>
        <v>920</v>
      </c>
      <c r="P44">
        <f t="shared" si="1"/>
        <v>1230</v>
      </c>
      <c r="Q44">
        <f t="shared" si="1"/>
        <v>5.4</v>
      </c>
      <c r="R44">
        <f t="shared" si="1"/>
        <v>0</v>
      </c>
      <c r="S44">
        <f t="shared" si="1"/>
        <v>5040</v>
      </c>
      <c r="T44">
        <f t="shared" si="1"/>
        <v>3068</v>
      </c>
      <c r="U44">
        <f t="shared" si="1"/>
        <v>0</v>
      </c>
      <c r="V44">
        <f t="shared" si="1"/>
        <v>2829.6000000000004</v>
      </c>
      <c r="W44">
        <f t="shared" si="1"/>
        <v>137.69999999999999</v>
      </c>
      <c r="X44">
        <f t="shared" si="1"/>
        <v>203</v>
      </c>
      <c r="Y44">
        <f>Y41*Y43</f>
        <v>456</v>
      </c>
      <c r="AA44">
        <f t="shared" si="1"/>
        <v>0</v>
      </c>
      <c r="AB44">
        <f t="shared" si="1"/>
        <v>0</v>
      </c>
      <c r="AD44">
        <f t="shared" si="1"/>
        <v>0</v>
      </c>
      <c r="AE44" s="52">
        <f>SUM(D44:AD44)</f>
        <v>46071.67</v>
      </c>
    </row>
    <row r="45" spans="1:239" x14ac:dyDescent="0.25"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103"/>
      <c r="U45" s="39"/>
      <c r="V45" s="39"/>
      <c r="W45" s="39"/>
      <c r="X45" s="39"/>
      <c r="Y45" s="39"/>
      <c r="Z45" s="39"/>
      <c r="AA45" s="39"/>
      <c r="AB45" s="39"/>
      <c r="AC45" s="39"/>
      <c r="AD45" s="39"/>
    </row>
    <row r="46" spans="1:239" x14ac:dyDescent="0.25"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103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 spans="1:239" x14ac:dyDescent="0.25"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103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 spans="1:239" x14ac:dyDescent="0.25"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103"/>
      <c r="U48" s="39"/>
      <c r="V48" s="39"/>
      <c r="W48" s="39"/>
      <c r="X48" s="39"/>
      <c r="Y48" s="39"/>
      <c r="Z48" s="39"/>
      <c r="AA48" s="39"/>
      <c r="AB48" s="39"/>
      <c r="AC48" s="39"/>
      <c r="AD48" s="39"/>
    </row>
    <row r="49" spans="3:35" x14ac:dyDescent="0.25">
      <c r="C49" s="39"/>
      <c r="D49" s="39"/>
      <c r="E49" s="39"/>
      <c r="F49" s="39"/>
      <c r="G49" s="39"/>
      <c r="H49" s="39"/>
      <c r="I49" s="39"/>
      <c r="K49" s="60"/>
      <c r="T49" s="85"/>
      <c r="V49" s="84"/>
    </row>
    <row r="50" spans="3:35" x14ac:dyDescent="0.25">
      <c r="C50" s="39"/>
      <c r="D50" s="39"/>
      <c r="E50" s="39"/>
      <c r="F50" s="39"/>
      <c r="G50" s="39"/>
      <c r="H50" s="39"/>
      <c r="I50" s="39"/>
      <c r="L50" s="60"/>
      <c r="T50" s="60"/>
    </row>
    <row r="52" spans="3:35" x14ac:dyDescent="0.25">
      <c r="AH52" t="s">
        <v>130</v>
      </c>
      <c r="AI52">
        <v>1667</v>
      </c>
    </row>
    <row r="53" spans="3:35" x14ac:dyDescent="0.25">
      <c r="AI53">
        <v>1070</v>
      </c>
    </row>
    <row r="54" spans="3:35" x14ac:dyDescent="0.25">
      <c r="W54" t="s">
        <v>139</v>
      </c>
      <c r="AI54">
        <f>AI52-AI53</f>
        <v>597</v>
      </c>
    </row>
    <row r="55" spans="3:35" x14ac:dyDescent="0.25">
      <c r="J55">
        <f>3670+1320-7150</f>
        <v>-2160</v>
      </c>
      <c r="K55">
        <f>12700+870+980+24320+600</f>
        <v>39470</v>
      </c>
      <c r="L55">
        <f>38950+1000+1080+600</f>
        <v>41630</v>
      </c>
      <c r="M55">
        <f>23176+4500+600+1000+35680+3900</f>
        <v>68856</v>
      </c>
    </row>
    <row r="56" spans="3:35" x14ac:dyDescent="0.25">
      <c r="J56">
        <v>5800</v>
      </c>
      <c r="K56">
        <v>5800</v>
      </c>
      <c r="L56">
        <v>5100</v>
      </c>
      <c r="M56">
        <v>5100</v>
      </c>
    </row>
    <row r="57" spans="3:35" x14ac:dyDescent="0.25">
      <c r="J57">
        <v>42702</v>
      </c>
      <c r="K57">
        <v>0</v>
      </c>
      <c r="L57">
        <v>0</v>
      </c>
      <c r="M57">
        <f>1081-340</f>
        <v>741</v>
      </c>
    </row>
    <row r="58" spans="3:35" x14ac:dyDescent="0.25">
      <c r="J58">
        <v>0</v>
      </c>
      <c r="L58">
        <v>0</v>
      </c>
      <c r="M58">
        <v>0</v>
      </c>
      <c r="AH58" t="s">
        <v>149</v>
      </c>
      <c r="AI58">
        <v>14352</v>
      </c>
    </row>
    <row r="59" spans="3:35" x14ac:dyDescent="0.25">
      <c r="J59">
        <v>1140</v>
      </c>
      <c r="K59">
        <v>1140</v>
      </c>
      <c r="L59">
        <v>0</v>
      </c>
      <c r="M59">
        <v>0</v>
      </c>
      <c r="AI59">
        <v>-14547</v>
      </c>
    </row>
    <row r="60" spans="3:35" x14ac:dyDescent="0.25">
      <c r="J60">
        <v>-4815</v>
      </c>
      <c r="K60">
        <v>-3609</v>
      </c>
      <c r="L60">
        <v>-3609</v>
      </c>
      <c r="M60">
        <f>-1324-1120</f>
        <v>-2444</v>
      </c>
    </row>
    <row r="61" spans="3:35" x14ac:dyDescent="0.25">
      <c r="M61">
        <f>-2336.5*12</f>
        <v>-28038</v>
      </c>
      <c r="AI61">
        <f>SUM(AI58:AI60)</f>
        <v>-195</v>
      </c>
    </row>
    <row r="63" spans="3:35" x14ac:dyDescent="0.25">
      <c r="J63">
        <f>SUM(J55:J60)</f>
        <v>42667</v>
      </c>
      <c r="K63">
        <f>SUM(K55:K62)</f>
        <v>42801</v>
      </c>
      <c r="L63">
        <f>SUM(L55:L62)</f>
        <v>43121</v>
      </c>
      <c r="M63">
        <f>SUM(M55:M62)</f>
        <v>44215</v>
      </c>
    </row>
    <row r="64" spans="3:35" x14ac:dyDescent="0.25">
      <c r="J64">
        <v>100</v>
      </c>
      <c r="K64">
        <v>100</v>
      </c>
      <c r="AH64" t="s">
        <v>158</v>
      </c>
    </row>
    <row r="65" spans="3:37" x14ac:dyDescent="0.25">
      <c r="J65">
        <f>+J63-J64</f>
        <v>42567</v>
      </c>
      <c r="K65">
        <f>+K63-K64</f>
        <v>42701</v>
      </c>
    </row>
    <row r="66" spans="3:37" x14ac:dyDescent="0.25">
      <c r="M66">
        <f>+M63-L63</f>
        <v>1094</v>
      </c>
      <c r="AI66" t="s">
        <v>159</v>
      </c>
    </row>
    <row r="67" spans="3:37" x14ac:dyDescent="0.25">
      <c r="J67">
        <f>+I83-J65</f>
        <v>128</v>
      </c>
      <c r="K67">
        <f>+K65-J65</f>
        <v>134</v>
      </c>
    </row>
    <row r="70" spans="3:37" ht="30" customHeight="1" x14ac:dyDescent="0.25">
      <c r="K70" s="102">
        <v>20611410159</v>
      </c>
    </row>
    <row r="71" spans="3:37" x14ac:dyDescent="0.25">
      <c r="K71" s="102">
        <v>41200545</v>
      </c>
    </row>
    <row r="73" spans="3:37" x14ac:dyDescent="0.25">
      <c r="C73" s="98" t="s">
        <v>118</v>
      </c>
      <c r="D73">
        <f>5050+180</f>
        <v>5230</v>
      </c>
      <c r="E73">
        <v>140</v>
      </c>
      <c r="F73">
        <f>-310+70+80</f>
        <v>-160</v>
      </c>
      <c r="G73">
        <f>8000+1340-200</f>
        <v>9140</v>
      </c>
      <c r="I73">
        <f>12540+400</f>
        <v>12940</v>
      </c>
    </row>
    <row r="74" spans="3:37" x14ac:dyDescent="0.25">
      <c r="C74" t="s">
        <v>119</v>
      </c>
      <c r="D74">
        <v>6500</v>
      </c>
      <c r="E74">
        <v>6500</v>
      </c>
      <c r="F74">
        <v>6500</v>
      </c>
      <c r="G74">
        <v>6500</v>
      </c>
      <c r="I74">
        <v>5800</v>
      </c>
    </row>
    <row r="75" spans="3:37" x14ac:dyDescent="0.25">
      <c r="C75" t="s">
        <v>120</v>
      </c>
      <c r="D75">
        <v>33280</v>
      </c>
      <c r="E75">
        <v>33280</v>
      </c>
      <c r="F75">
        <f>38060-1480</f>
        <v>36580</v>
      </c>
      <c r="G75">
        <v>27560</v>
      </c>
      <c r="I75">
        <v>24080</v>
      </c>
    </row>
    <row r="76" spans="3:37" x14ac:dyDescent="0.25">
      <c r="C76" t="s">
        <v>123</v>
      </c>
      <c r="D76">
        <v>2960</v>
      </c>
      <c r="E76">
        <v>2960</v>
      </c>
      <c r="F76">
        <f>1150</f>
        <v>1150</v>
      </c>
      <c r="G76">
        <v>1980</v>
      </c>
      <c r="I76">
        <v>4000</v>
      </c>
      <c r="AJ76" t="s">
        <v>150</v>
      </c>
      <c r="AK76" t="s">
        <v>151</v>
      </c>
    </row>
    <row r="77" spans="3:37" x14ac:dyDescent="0.25">
      <c r="C77" t="s">
        <v>122</v>
      </c>
      <c r="D77">
        <v>1300</v>
      </c>
      <c r="E77">
        <v>1300</v>
      </c>
      <c r="F77">
        <v>1300</v>
      </c>
      <c r="G77">
        <v>1300</v>
      </c>
      <c r="I77">
        <v>1140</v>
      </c>
      <c r="AJ77" t="s">
        <v>152</v>
      </c>
    </row>
    <row r="78" spans="3:37" x14ac:dyDescent="0.25">
      <c r="C78" t="s">
        <v>127</v>
      </c>
      <c r="D78">
        <v>-9815</v>
      </c>
      <c r="E78">
        <v>-4815</v>
      </c>
      <c r="F78">
        <v>-4815</v>
      </c>
      <c r="G78">
        <v>-4815</v>
      </c>
      <c r="I78">
        <v>-4815</v>
      </c>
    </row>
    <row r="79" spans="3:37" x14ac:dyDescent="0.25">
      <c r="C79" t="s">
        <v>128</v>
      </c>
      <c r="AJ79" t="s">
        <v>153</v>
      </c>
    </row>
    <row r="81" spans="3:36" x14ac:dyDescent="0.25">
      <c r="D81">
        <f>SUM(D73:D80)</f>
        <v>39455</v>
      </c>
      <c r="E81">
        <f>SUM(E73:E78)</f>
        <v>39365</v>
      </c>
      <c r="F81">
        <f>SUM(F73:F78)</f>
        <v>40555</v>
      </c>
      <c r="G81">
        <f>SUM(G73:G78)</f>
        <v>41665</v>
      </c>
      <c r="I81">
        <f>SUM(I73:I78)</f>
        <v>43145</v>
      </c>
    </row>
    <row r="82" spans="3:36" x14ac:dyDescent="0.25">
      <c r="C82" t="s">
        <v>124</v>
      </c>
      <c r="D82">
        <v>100</v>
      </c>
      <c r="E82">
        <v>100</v>
      </c>
      <c r="F82">
        <v>100</v>
      </c>
      <c r="G82">
        <v>100</v>
      </c>
      <c r="I82">
        <f>100+350</f>
        <v>450</v>
      </c>
      <c r="AJ82">
        <v>24005</v>
      </c>
    </row>
    <row r="83" spans="3:36" x14ac:dyDescent="0.25">
      <c r="C83" t="s">
        <v>125</v>
      </c>
      <c r="D83">
        <f>+D81-D82</f>
        <v>39355</v>
      </c>
      <c r="E83">
        <f>+E81-E82</f>
        <v>39265</v>
      </c>
      <c r="F83">
        <f>+F81-F82</f>
        <v>40455</v>
      </c>
      <c r="G83">
        <f>+G81-G82</f>
        <v>41565</v>
      </c>
      <c r="I83">
        <f>+I81-I82</f>
        <v>42695</v>
      </c>
      <c r="AJ83">
        <v>-24080</v>
      </c>
    </row>
    <row r="84" spans="3:36" x14ac:dyDescent="0.25">
      <c r="G84">
        <f>+G83-F83</f>
        <v>1110</v>
      </c>
      <c r="I84">
        <f>+I83-G83</f>
        <v>1130</v>
      </c>
      <c r="AJ84">
        <f>SUM(AJ82:AJ83)</f>
        <v>-75</v>
      </c>
    </row>
  </sheetData>
  <mergeCells count="7">
    <mergeCell ref="AB2:AC2"/>
    <mergeCell ref="A4:A16"/>
    <mergeCell ref="A17:A40"/>
    <mergeCell ref="D2:I2"/>
    <mergeCell ref="J2:P2"/>
    <mergeCell ref="Q2:U2"/>
    <mergeCell ref="V2:AA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97F0-7DAC-44D1-9E20-92C9D93E6142}">
  <dimension ref="A1:IE8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47" sqref="N47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9.42578125" customWidth="1"/>
    <col min="10" max="10" width="16" customWidth="1"/>
    <col min="11" max="11" width="11.28515625" customWidth="1"/>
    <col min="12" max="12" width="10.140625" customWidth="1"/>
    <col min="13" max="14" width="12" customWidth="1"/>
    <col min="15" max="15" width="11.28515625" customWidth="1"/>
    <col min="16" max="16" width="10.42578125" bestFit="1" customWidth="1"/>
    <col min="17" max="17" width="8.7109375" bestFit="1" customWidth="1"/>
    <col min="18" max="18" width="10.5703125" customWidth="1"/>
    <col min="19" max="19" width="8.7109375" customWidth="1"/>
    <col min="20" max="20" width="11.28515625" customWidth="1"/>
    <col min="21" max="21" width="10.85546875" customWidth="1"/>
    <col min="22" max="24" width="10.7109375" customWidth="1"/>
    <col min="25" max="26" width="13.5703125" customWidth="1"/>
    <col min="27" max="27" width="11.5703125" customWidth="1"/>
    <col min="28" max="28" width="14.42578125" customWidth="1"/>
    <col min="29" max="29" width="9.85546875" customWidth="1"/>
    <col min="30" max="30" width="14.5703125" customWidth="1"/>
    <col min="31" max="31" width="19" customWidth="1"/>
    <col min="34" max="34" width="15.140625" customWidth="1"/>
  </cols>
  <sheetData>
    <row r="1" spans="1:30" ht="33" customHeight="1" thickBot="1" x14ac:dyDescent="0.3"/>
    <row r="2" spans="1:30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09"/>
      <c r="J2" s="308" t="s">
        <v>1</v>
      </c>
      <c r="K2" s="313"/>
      <c r="L2" s="313"/>
      <c r="M2" s="313"/>
      <c r="N2" s="313"/>
      <c r="O2" s="313"/>
      <c r="P2" s="309"/>
      <c r="Q2" s="308" t="s">
        <v>2</v>
      </c>
      <c r="R2" s="313"/>
      <c r="S2" s="313"/>
      <c r="T2" s="313"/>
      <c r="U2" s="309"/>
      <c r="V2" s="308" t="s">
        <v>3</v>
      </c>
      <c r="W2" s="313"/>
      <c r="X2" s="313"/>
      <c r="Y2" s="313"/>
      <c r="Z2" s="313"/>
      <c r="AA2" s="309"/>
      <c r="AB2" s="308" t="s">
        <v>4</v>
      </c>
      <c r="AC2" s="309"/>
      <c r="AD2" s="46" t="s">
        <v>91</v>
      </c>
    </row>
    <row r="3" spans="1:30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8" t="s">
        <v>13</v>
      </c>
      <c r="J3" s="9" t="s">
        <v>394</v>
      </c>
      <c r="K3" s="7" t="s">
        <v>11</v>
      </c>
      <c r="L3" s="7" t="s">
        <v>12</v>
      </c>
      <c r="M3" s="7" t="s">
        <v>13</v>
      </c>
      <c r="N3" s="7" t="s">
        <v>182</v>
      </c>
      <c r="O3" s="7" t="s">
        <v>15</v>
      </c>
      <c r="P3" s="8" t="s">
        <v>136</v>
      </c>
      <c r="Q3" s="6" t="s">
        <v>12</v>
      </c>
      <c r="R3" s="7" t="s">
        <v>69</v>
      </c>
      <c r="S3" s="7" t="s">
        <v>13</v>
      </c>
      <c r="T3" s="7" t="s">
        <v>16</v>
      </c>
      <c r="U3" s="8" t="s">
        <v>162</v>
      </c>
      <c r="V3" s="6" t="s">
        <v>16</v>
      </c>
      <c r="W3" s="7" t="s">
        <v>77</v>
      </c>
      <c r="X3" s="7" t="s">
        <v>12</v>
      </c>
      <c r="Y3" s="7" t="s">
        <v>13</v>
      </c>
      <c r="Z3" s="7" t="s">
        <v>8</v>
      </c>
      <c r="AA3" s="8" t="s">
        <v>69</v>
      </c>
      <c r="AB3" s="6" t="s">
        <v>17</v>
      </c>
      <c r="AC3" s="8" t="s">
        <v>18</v>
      </c>
      <c r="AD3" s="10" t="s">
        <v>92</v>
      </c>
    </row>
    <row r="4" spans="1:30" x14ac:dyDescent="0.25">
      <c r="A4" s="310" t="s">
        <v>19</v>
      </c>
      <c r="B4" s="49"/>
      <c r="C4" s="2"/>
      <c r="D4" s="42">
        <v>6000</v>
      </c>
      <c r="E4" s="42">
        <v>47</v>
      </c>
      <c r="F4" s="42">
        <v>3861</v>
      </c>
      <c r="G4" s="42">
        <v>140</v>
      </c>
      <c r="H4" s="42">
        <v>52</v>
      </c>
      <c r="I4" s="42">
        <v>0</v>
      </c>
      <c r="J4" s="42">
        <v>460</v>
      </c>
      <c r="K4" s="42">
        <v>11460</v>
      </c>
      <c r="L4" s="42">
        <v>181</v>
      </c>
      <c r="M4" s="42">
        <v>14921</v>
      </c>
      <c r="N4" s="42">
        <v>47</v>
      </c>
      <c r="O4" s="42">
        <v>1000</v>
      </c>
      <c r="P4" s="42">
        <v>1500</v>
      </c>
      <c r="Q4" s="42">
        <f>'STOCK 08-14-02'!O25</f>
        <v>2</v>
      </c>
      <c r="R4" s="42">
        <f>'STOCK 08-14-02'!P25</f>
        <v>0</v>
      </c>
      <c r="S4" s="42">
        <v>1800</v>
      </c>
      <c r="T4" s="42">
        <v>1180</v>
      </c>
      <c r="U4" s="42">
        <v>0</v>
      </c>
      <c r="V4" s="42">
        <v>1048</v>
      </c>
      <c r="W4" s="42">
        <v>54</v>
      </c>
      <c r="X4" s="42">
        <v>70</v>
      </c>
      <c r="Y4" s="42">
        <v>160</v>
      </c>
      <c r="Z4" s="42">
        <v>0</v>
      </c>
      <c r="AA4" s="42">
        <f>'STOCK 08-14-02'!W25</f>
        <v>0</v>
      </c>
      <c r="AB4" s="42">
        <f>'STOCK 08-14-02'!X25</f>
        <v>0</v>
      </c>
      <c r="AC4" s="42">
        <v>0</v>
      </c>
      <c r="AD4" s="42">
        <v>35</v>
      </c>
    </row>
    <row r="5" spans="1:30" x14ac:dyDescent="0.25">
      <c r="A5" s="311"/>
      <c r="B5" s="20"/>
      <c r="C5" s="82"/>
      <c r="D5" s="27"/>
      <c r="F5" s="35"/>
      <c r="I5" s="31"/>
      <c r="J5" s="13"/>
      <c r="K5" s="35"/>
      <c r="M5" s="35"/>
      <c r="N5" s="35"/>
      <c r="O5" s="35"/>
      <c r="P5" s="14"/>
      <c r="Q5" s="27"/>
      <c r="U5" s="31"/>
      <c r="V5" s="13"/>
      <c r="AA5" s="31"/>
      <c r="AB5" s="13"/>
      <c r="AC5" s="31"/>
      <c r="AD5" s="15"/>
    </row>
    <row r="6" spans="1:30" x14ac:dyDescent="0.25">
      <c r="A6" s="311"/>
      <c r="B6" s="20">
        <v>46125</v>
      </c>
      <c r="C6" s="82" t="s">
        <v>46</v>
      </c>
      <c r="D6" s="27"/>
      <c r="F6" s="35"/>
      <c r="I6" s="31"/>
      <c r="J6" s="13"/>
      <c r="K6" s="35"/>
      <c r="M6" s="35"/>
      <c r="N6" s="35"/>
      <c r="O6" s="35">
        <v>4000</v>
      </c>
      <c r="P6" s="14"/>
      <c r="Q6" s="27"/>
      <c r="U6" s="31"/>
      <c r="V6" s="13"/>
      <c r="AA6" s="31"/>
      <c r="AB6" s="13"/>
      <c r="AC6" s="31"/>
      <c r="AD6" s="15"/>
    </row>
    <row r="7" spans="1:30" x14ac:dyDescent="0.25">
      <c r="A7" s="311"/>
      <c r="B7" s="20">
        <v>46126</v>
      </c>
      <c r="C7" s="82" t="s">
        <v>27</v>
      </c>
      <c r="D7" s="27"/>
      <c r="F7" s="35"/>
      <c r="I7" s="31"/>
      <c r="J7" s="13"/>
      <c r="K7" s="35"/>
      <c r="M7" s="35"/>
      <c r="N7" s="35"/>
      <c r="O7" s="35"/>
      <c r="P7" s="14">
        <v>2300</v>
      </c>
      <c r="Q7" s="27"/>
      <c r="U7" s="31"/>
      <c r="V7" s="13"/>
      <c r="AA7" s="31"/>
      <c r="AB7" s="13"/>
      <c r="AC7" s="31"/>
      <c r="AD7" s="15"/>
    </row>
    <row r="8" spans="1:30" x14ac:dyDescent="0.25">
      <c r="A8" s="311"/>
      <c r="B8" s="20">
        <v>46127</v>
      </c>
      <c r="C8" s="82" t="s">
        <v>46</v>
      </c>
      <c r="D8" s="27"/>
      <c r="F8" s="35"/>
      <c r="I8" s="31"/>
      <c r="J8" s="13"/>
      <c r="K8" s="35"/>
      <c r="M8" s="35"/>
      <c r="N8" s="35"/>
      <c r="O8" s="35"/>
      <c r="P8" s="14"/>
      <c r="Q8" s="27"/>
      <c r="U8" s="31"/>
      <c r="V8" s="13">
        <v>1000</v>
      </c>
      <c r="AA8" s="31"/>
      <c r="AB8" s="13"/>
      <c r="AC8" s="31"/>
      <c r="AD8" s="15"/>
    </row>
    <row r="9" spans="1:30" x14ac:dyDescent="0.25">
      <c r="A9" s="311"/>
      <c r="B9" s="20">
        <v>46128</v>
      </c>
      <c r="C9" s="82" t="s">
        <v>27</v>
      </c>
      <c r="D9" s="27"/>
      <c r="F9" s="35"/>
      <c r="I9" s="31"/>
      <c r="J9" s="13"/>
      <c r="K9" s="35"/>
      <c r="M9" s="35"/>
      <c r="N9" s="35"/>
      <c r="O9" s="35"/>
      <c r="P9" s="14"/>
      <c r="Q9" s="27"/>
      <c r="T9">
        <v>330</v>
      </c>
      <c r="U9" s="31"/>
      <c r="V9" s="13"/>
      <c r="AA9" s="31"/>
      <c r="AB9" s="13"/>
      <c r="AC9" s="31"/>
      <c r="AD9" s="15"/>
    </row>
    <row r="10" spans="1:30" x14ac:dyDescent="0.25">
      <c r="A10" s="311"/>
      <c r="B10" s="20">
        <v>46129</v>
      </c>
      <c r="C10" s="82" t="s">
        <v>46</v>
      </c>
      <c r="D10" s="27">
        <v>4000</v>
      </c>
      <c r="F10" s="35"/>
      <c r="I10" s="31"/>
      <c r="J10" s="13"/>
      <c r="K10" s="35"/>
      <c r="M10" s="35"/>
      <c r="N10" s="35"/>
      <c r="O10" s="35"/>
      <c r="P10" s="14"/>
      <c r="Q10" s="27"/>
      <c r="U10" s="31"/>
      <c r="V10" s="13"/>
      <c r="AA10" s="31"/>
      <c r="AB10" s="13"/>
      <c r="AC10" s="31"/>
      <c r="AD10" s="15"/>
    </row>
    <row r="11" spans="1:30" x14ac:dyDescent="0.25">
      <c r="A11" s="311"/>
      <c r="B11" s="20"/>
      <c r="C11" s="82"/>
      <c r="D11" s="27">
        <v>112</v>
      </c>
      <c r="F11" s="35"/>
      <c r="I11" s="31"/>
      <c r="J11" s="13"/>
      <c r="K11" s="35"/>
      <c r="M11" s="35"/>
      <c r="N11" s="35"/>
      <c r="O11" s="35"/>
      <c r="P11" s="14"/>
      <c r="Q11" s="27"/>
      <c r="U11" s="31"/>
      <c r="V11" s="13"/>
      <c r="AA11" s="31"/>
      <c r="AB11" s="13"/>
      <c r="AC11" s="31"/>
      <c r="AD11" s="15"/>
    </row>
    <row r="12" spans="1:30" x14ac:dyDescent="0.25">
      <c r="A12" s="311"/>
      <c r="B12" s="20"/>
      <c r="C12" s="82"/>
      <c r="D12" s="27"/>
      <c r="F12" s="35"/>
      <c r="I12" s="31"/>
      <c r="J12" s="13"/>
      <c r="K12" s="35"/>
      <c r="M12" s="35"/>
      <c r="N12" s="35"/>
      <c r="O12" s="35"/>
      <c r="P12" s="14"/>
      <c r="Q12" s="27"/>
      <c r="U12" s="31"/>
      <c r="V12" s="13"/>
      <c r="AA12" s="31"/>
      <c r="AB12" s="13"/>
      <c r="AC12" s="31"/>
      <c r="AD12" s="15"/>
    </row>
    <row r="13" spans="1:30" x14ac:dyDescent="0.25">
      <c r="A13" s="311"/>
      <c r="B13" s="20"/>
      <c r="C13" s="82"/>
      <c r="D13" s="27"/>
      <c r="F13" s="35"/>
      <c r="I13" s="31"/>
      <c r="J13" s="13"/>
      <c r="K13" s="35"/>
      <c r="M13" s="35"/>
      <c r="N13" s="35"/>
      <c r="O13" s="35"/>
      <c r="P13" s="14"/>
      <c r="Q13" s="27"/>
      <c r="U13" s="31"/>
      <c r="V13" s="13"/>
      <c r="AA13" s="31"/>
      <c r="AB13" s="13"/>
      <c r="AC13" s="31"/>
      <c r="AD13" s="15"/>
    </row>
    <row r="14" spans="1:30" x14ac:dyDescent="0.25">
      <c r="A14" s="311"/>
      <c r="B14" s="20"/>
      <c r="C14" s="82"/>
      <c r="D14" s="27"/>
      <c r="F14" s="35"/>
      <c r="I14" s="31"/>
      <c r="J14" s="13"/>
      <c r="K14" s="35"/>
      <c r="M14" s="35"/>
      <c r="N14" s="35"/>
      <c r="O14" s="35"/>
      <c r="P14" s="14"/>
      <c r="Q14" s="27"/>
      <c r="U14" s="31"/>
      <c r="V14" s="13"/>
      <c r="AA14" s="31"/>
      <c r="AB14" s="13"/>
      <c r="AC14" s="31"/>
      <c r="AD14" s="15"/>
    </row>
    <row r="15" spans="1:30" x14ac:dyDescent="0.25">
      <c r="A15" s="311"/>
      <c r="B15" s="20"/>
      <c r="C15" s="82"/>
      <c r="D15" s="27"/>
      <c r="F15" s="35"/>
      <c r="I15" s="31"/>
      <c r="J15" s="13"/>
      <c r="K15" s="35"/>
      <c r="M15" s="35"/>
      <c r="N15" s="35"/>
      <c r="O15" s="35"/>
      <c r="P15" s="14"/>
      <c r="Q15" s="27"/>
      <c r="U15" s="31"/>
      <c r="V15" s="13"/>
      <c r="AA15" s="31"/>
      <c r="AB15" s="13"/>
      <c r="AC15" s="31"/>
      <c r="AD15" s="15"/>
    </row>
    <row r="16" spans="1:30" ht="15.75" thickBot="1" x14ac:dyDescent="0.3">
      <c r="A16" s="312"/>
      <c r="B16" s="72"/>
      <c r="C16" s="17"/>
      <c r="D16" s="28"/>
      <c r="E16" s="18"/>
      <c r="F16" s="36"/>
      <c r="G16" s="18"/>
      <c r="H16" s="18"/>
      <c r="I16" s="32"/>
      <c r="J16" s="16"/>
      <c r="K16" s="36"/>
      <c r="L16" s="18"/>
      <c r="M16" s="36"/>
      <c r="N16" s="36"/>
      <c r="O16" s="36"/>
      <c r="P16" s="17"/>
      <c r="Q16" s="28"/>
      <c r="R16" s="18"/>
      <c r="S16" s="18"/>
      <c r="T16" s="18"/>
      <c r="U16" s="32"/>
      <c r="V16" s="16"/>
      <c r="W16" s="18"/>
      <c r="X16" s="18"/>
      <c r="Y16" s="18"/>
      <c r="Z16" s="18"/>
      <c r="AA16" s="32"/>
      <c r="AB16" s="16"/>
      <c r="AC16" s="32"/>
      <c r="AD16" s="19"/>
    </row>
    <row r="17" spans="1:30" x14ac:dyDescent="0.25">
      <c r="A17" s="310" t="s">
        <v>62</v>
      </c>
      <c r="B17" s="160"/>
      <c r="C17" s="14"/>
      <c r="D17" s="27"/>
      <c r="F17" s="35"/>
      <c r="I17" s="31"/>
      <c r="J17" s="13"/>
      <c r="K17" s="35"/>
      <c r="M17" s="35"/>
      <c r="N17" s="35"/>
      <c r="O17" s="35"/>
      <c r="P17" s="14"/>
      <c r="Q17" s="27"/>
      <c r="U17" s="31"/>
      <c r="V17" s="13"/>
      <c r="AA17" s="31"/>
      <c r="AB17" s="13"/>
      <c r="AC17" s="31"/>
      <c r="AD17" s="15"/>
    </row>
    <row r="18" spans="1:30" x14ac:dyDescent="0.25">
      <c r="A18" s="311"/>
      <c r="B18" s="160">
        <v>46125</v>
      </c>
      <c r="C18" s="14" t="s">
        <v>578</v>
      </c>
      <c r="D18" s="27"/>
      <c r="F18" s="35"/>
      <c r="I18" s="31"/>
      <c r="J18" s="13"/>
      <c r="K18" s="35">
        <v>4000</v>
      </c>
      <c r="M18" s="35"/>
      <c r="N18" s="35"/>
      <c r="O18" s="35"/>
      <c r="P18" s="14"/>
      <c r="Q18" s="27"/>
      <c r="U18" s="31"/>
      <c r="V18" s="13"/>
      <c r="AA18" s="31"/>
      <c r="AB18" s="13"/>
      <c r="AC18" s="31"/>
      <c r="AD18" s="15"/>
    </row>
    <row r="19" spans="1:30" x14ac:dyDescent="0.25">
      <c r="A19" s="311"/>
      <c r="B19" s="160">
        <v>46125</v>
      </c>
      <c r="C19" s="14" t="s">
        <v>29</v>
      </c>
      <c r="D19" s="27"/>
      <c r="F19" s="35"/>
      <c r="I19" s="31"/>
      <c r="J19" s="13"/>
      <c r="K19" s="35"/>
      <c r="M19" s="35">
        <v>1000</v>
      </c>
      <c r="N19" s="35"/>
      <c r="O19" s="35"/>
      <c r="P19" s="14"/>
      <c r="Q19" s="27"/>
      <c r="U19" s="31"/>
      <c r="V19" s="13"/>
      <c r="AA19" s="31"/>
      <c r="AB19" s="13"/>
      <c r="AC19" s="31"/>
      <c r="AD19" s="15"/>
    </row>
    <row r="20" spans="1:30" x14ac:dyDescent="0.25">
      <c r="A20" s="311"/>
      <c r="B20" s="160">
        <v>46125</v>
      </c>
      <c r="C20" s="14" t="s">
        <v>579</v>
      </c>
      <c r="D20" s="27"/>
      <c r="F20" s="35"/>
      <c r="I20" s="31"/>
      <c r="J20" s="13"/>
      <c r="K20" s="35"/>
      <c r="M20" s="35">
        <v>600</v>
      </c>
      <c r="N20" s="35"/>
      <c r="O20" s="35"/>
      <c r="P20" s="14"/>
      <c r="Q20" s="27"/>
      <c r="U20" s="31"/>
      <c r="V20" s="13"/>
      <c r="AA20" s="31"/>
      <c r="AB20" s="13"/>
      <c r="AC20" s="31"/>
      <c r="AD20" s="15"/>
    </row>
    <row r="21" spans="1:30" x14ac:dyDescent="0.25">
      <c r="A21" s="311"/>
      <c r="B21" s="160">
        <v>46125</v>
      </c>
      <c r="C21" s="14" t="s">
        <v>374</v>
      </c>
      <c r="D21" s="27">
        <v>4000</v>
      </c>
      <c r="F21" s="35"/>
      <c r="I21" s="31"/>
      <c r="J21" s="13"/>
      <c r="K21" s="35"/>
      <c r="M21" s="35"/>
      <c r="N21" s="35"/>
      <c r="O21" s="35"/>
      <c r="P21" s="14"/>
      <c r="Q21" s="27"/>
      <c r="T21">
        <v>400</v>
      </c>
      <c r="U21" s="31"/>
      <c r="V21" s="13"/>
      <c r="AA21" s="31"/>
      <c r="AB21" s="13"/>
      <c r="AC21" s="31"/>
      <c r="AD21" s="15"/>
    </row>
    <row r="22" spans="1:30" x14ac:dyDescent="0.25">
      <c r="A22" s="311"/>
      <c r="B22" s="160">
        <v>46125</v>
      </c>
      <c r="C22" s="14" t="s">
        <v>29</v>
      </c>
      <c r="D22" s="27"/>
      <c r="F22" s="35"/>
      <c r="I22" s="31"/>
      <c r="J22" s="13"/>
      <c r="K22" s="35"/>
      <c r="M22" s="35"/>
      <c r="N22" s="35"/>
      <c r="O22" s="35"/>
      <c r="P22" s="14"/>
      <c r="Q22" s="27"/>
      <c r="U22" s="31"/>
      <c r="V22" s="13"/>
      <c r="AA22" s="31"/>
      <c r="AB22" s="13"/>
      <c r="AC22" s="31"/>
      <c r="AD22" s="15"/>
    </row>
    <row r="23" spans="1:30" x14ac:dyDescent="0.25">
      <c r="A23" s="311"/>
      <c r="B23" s="160">
        <v>46125</v>
      </c>
      <c r="C23" s="14" t="s">
        <v>584</v>
      </c>
      <c r="D23" s="27"/>
      <c r="F23" s="35"/>
      <c r="I23" s="31"/>
      <c r="J23" s="13"/>
      <c r="K23" s="35"/>
      <c r="M23" s="35"/>
      <c r="N23" s="35"/>
      <c r="O23" s="35"/>
      <c r="P23" s="14">
        <v>500</v>
      </c>
      <c r="Q23" s="27"/>
      <c r="U23" s="31"/>
      <c r="V23" s="13"/>
      <c r="AA23" s="31"/>
      <c r="AB23" s="13"/>
      <c r="AC23" s="31"/>
      <c r="AD23" s="15"/>
    </row>
    <row r="24" spans="1:30" x14ac:dyDescent="0.25">
      <c r="A24" s="311"/>
      <c r="B24" s="160">
        <v>46127</v>
      </c>
      <c r="C24" s="14" t="s">
        <v>607</v>
      </c>
      <c r="D24" s="27">
        <v>2000</v>
      </c>
      <c r="F24" s="35"/>
      <c r="I24" s="31"/>
      <c r="J24" s="13"/>
      <c r="K24" s="35"/>
      <c r="M24" s="35"/>
      <c r="N24" s="35"/>
      <c r="O24" s="35"/>
      <c r="P24" s="14"/>
      <c r="Q24" s="27"/>
      <c r="U24" s="31"/>
      <c r="V24" s="13"/>
      <c r="AA24" s="31"/>
      <c r="AB24" s="13"/>
      <c r="AC24" s="31"/>
      <c r="AD24" s="15"/>
    </row>
    <row r="25" spans="1:30" x14ac:dyDescent="0.25">
      <c r="A25" s="311"/>
      <c r="B25" s="160">
        <v>46128</v>
      </c>
      <c r="C25" s="14" t="s">
        <v>610</v>
      </c>
      <c r="D25" s="27"/>
      <c r="F25" s="35"/>
      <c r="I25" s="31"/>
      <c r="J25" s="13"/>
      <c r="K25" s="35"/>
      <c r="M25" s="35"/>
      <c r="N25" s="35"/>
      <c r="O25" s="35"/>
      <c r="P25" s="14">
        <v>300</v>
      </c>
      <c r="Q25" s="27"/>
      <c r="U25" s="31"/>
      <c r="V25" s="13"/>
      <c r="AA25" s="31"/>
      <c r="AB25" s="13"/>
      <c r="AC25" s="31"/>
      <c r="AD25" s="15"/>
    </row>
    <row r="26" spans="1:30" ht="16.5" customHeight="1" x14ac:dyDescent="0.25">
      <c r="A26" s="311"/>
      <c r="B26" s="160">
        <v>46128</v>
      </c>
      <c r="C26" s="14" t="s">
        <v>296</v>
      </c>
      <c r="D26" s="27"/>
      <c r="F26" s="35"/>
      <c r="I26" s="31"/>
      <c r="J26" s="13"/>
      <c r="K26" s="35"/>
      <c r="M26" s="35"/>
      <c r="N26" s="35"/>
      <c r="O26" s="35"/>
      <c r="P26" s="14">
        <v>10</v>
      </c>
      <c r="Q26" s="27"/>
      <c r="U26" s="31"/>
      <c r="V26" s="13"/>
      <c r="AA26" s="31"/>
      <c r="AB26" s="13"/>
      <c r="AC26" s="31"/>
      <c r="AD26" s="15"/>
    </row>
    <row r="27" spans="1:30" x14ac:dyDescent="0.25">
      <c r="A27" s="311"/>
      <c r="B27" s="160">
        <v>46129</v>
      </c>
      <c r="C27" s="14" t="s">
        <v>607</v>
      </c>
      <c r="D27" s="27">
        <v>1000</v>
      </c>
      <c r="F27" s="35"/>
      <c r="I27" s="31"/>
      <c r="J27" s="13"/>
      <c r="K27" s="35"/>
      <c r="M27" s="35"/>
      <c r="N27" s="35"/>
      <c r="O27" s="35"/>
      <c r="P27" s="14"/>
      <c r="Q27" s="27"/>
      <c r="U27" s="31"/>
      <c r="V27" s="13"/>
      <c r="AA27" s="31"/>
      <c r="AB27" s="13"/>
      <c r="AC27" s="31"/>
      <c r="AD27" s="15"/>
    </row>
    <row r="28" spans="1:30" x14ac:dyDescent="0.25">
      <c r="A28" s="311"/>
      <c r="B28" s="160">
        <v>46129</v>
      </c>
      <c r="C28" s="14" t="s">
        <v>626</v>
      </c>
      <c r="D28" s="27"/>
      <c r="F28" s="35"/>
      <c r="I28" s="31"/>
      <c r="J28" s="13"/>
      <c r="K28" s="35"/>
      <c r="M28" s="35"/>
      <c r="N28" s="35"/>
      <c r="O28" s="35">
        <v>2000</v>
      </c>
      <c r="P28" s="14"/>
      <c r="Q28" s="27"/>
      <c r="U28" s="31"/>
      <c r="V28" s="13"/>
      <c r="AA28" s="31"/>
      <c r="AB28" s="13"/>
      <c r="AC28" s="31"/>
      <c r="AD28" s="15"/>
    </row>
    <row r="29" spans="1:30" x14ac:dyDescent="0.25">
      <c r="A29" s="311"/>
      <c r="B29" s="160">
        <v>46129</v>
      </c>
      <c r="C29" s="14" t="s">
        <v>624</v>
      </c>
      <c r="D29" s="27"/>
      <c r="F29" s="35"/>
      <c r="I29" s="31"/>
      <c r="J29" s="13"/>
      <c r="K29" s="35">
        <v>1000</v>
      </c>
      <c r="M29" s="35"/>
      <c r="N29" s="35"/>
      <c r="O29" s="35"/>
      <c r="P29" s="14"/>
      <c r="Q29" s="27"/>
      <c r="U29" s="31"/>
      <c r="V29" s="13"/>
      <c r="AA29" s="31"/>
      <c r="AB29" s="13"/>
      <c r="AC29" s="31"/>
      <c r="AD29" s="15"/>
    </row>
    <row r="30" spans="1:30" x14ac:dyDescent="0.25">
      <c r="A30" s="311"/>
      <c r="B30" s="160">
        <v>46129</v>
      </c>
      <c r="C30" s="14" t="s">
        <v>625</v>
      </c>
      <c r="D30" s="27"/>
      <c r="F30" s="35"/>
      <c r="I30" s="31"/>
      <c r="J30" s="13"/>
      <c r="K30" s="35"/>
      <c r="M30" s="35"/>
      <c r="N30" s="35"/>
      <c r="O30" s="35"/>
      <c r="P30" s="14">
        <v>40</v>
      </c>
      <c r="Q30" s="27"/>
      <c r="U30" s="31"/>
      <c r="V30" s="13"/>
      <c r="AA30" s="31"/>
      <c r="AB30" s="13"/>
      <c r="AC30" s="31"/>
      <c r="AD30" s="15"/>
    </row>
    <row r="31" spans="1:30" x14ac:dyDescent="0.25">
      <c r="A31" s="311"/>
      <c r="B31" s="160">
        <v>46130</v>
      </c>
      <c r="C31" s="14" t="s">
        <v>642</v>
      </c>
      <c r="D31" s="27">
        <v>1000</v>
      </c>
      <c r="F31" s="35"/>
      <c r="I31" s="31"/>
      <c r="J31" s="13"/>
      <c r="K31" s="35"/>
      <c r="M31" s="35"/>
      <c r="N31" s="35"/>
      <c r="O31" s="35"/>
      <c r="P31" s="14"/>
      <c r="Q31" s="27"/>
      <c r="U31" s="31"/>
      <c r="V31" s="13"/>
      <c r="AA31" s="31"/>
      <c r="AB31" s="13"/>
      <c r="AC31" s="31"/>
      <c r="AD31" s="15"/>
    </row>
    <row r="32" spans="1:30" x14ac:dyDescent="0.25">
      <c r="A32" s="311"/>
      <c r="B32" s="160">
        <v>46130</v>
      </c>
      <c r="C32" s="14" t="s">
        <v>296</v>
      </c>
      <c r="D32" s="27">
        <v>100</v>
      </c>
      <c r="F32" s="35"/>
      <c r="I32" s="31"/>
      <c r="J32" s="13"/>
      <c r="K32" s="35"/>
      <c r="M32" s="35"/>
      <c r="N32" s="35"/>
      <c r="O32" s="35"/>
      <c r="P32" s="14"/>
      <c r="Q32" s="27"/>
      <c r="U32" s="31"/>
      <c r="V32" s="13"/>
      <c r="AA32" s="31"/>
      <c r="AB32" s="13"/>
      <c r="AC32" s="31"/>
      <c r="AD32" s="15"/>
    </row>
    <row r="33" spans="1:239" x14ac:dyDescent="0.25">
      <c r="A33" s="311"/>
      <c r="B33" s="160">
        <v>46130</v>
      </c>
      <c r="C33" s="14" t="s">
        <v>643</v>
      </c>
      <c r="D33" s="27">
        <v>400</v>
      </c>
      <c r="F33" s="35"/>
      <c r="I33" s="31"/>
      <c r="J33" s="13"/>
      <c r="K33" s="35"/>
      <c r="M33" s="35"/>
      <c r="N33" s="35"/>
      <c r="O33" s="35"/>
      <c r="P33" s="14"/>
      <c r="Q33" s="27"/>
      <c r="U33" s="31"/>
      <c r="V33" s="13"/>
      <c r="AA33" s="31"/>
      <c r="AB33" s="13"/>
      <c r="AC33" s="31"/>
      <c r="AD33" s="15"/>
    </row>
    <row r="34" spans="1:239" x14ac:dyDescent="0.25">
      <c r="A34" s="311"/>
      <c r="B34" s="160">
        <v>46130</v>
      </c>
      <c r="C34" s="14" t="s">
        <v>644</v>
      </c>
      <c r="D34" s="27"/>
      <c r="F34" s="35"/>
      <c r="I34" s="31"/>
      <c r="J34" s="13"/>
      <c r="K34" s="35"/>
      <c r="M34" s="35"/>
      <c r="N34" s="35"/>
      <c r="O34" s="35"/>
      <c r="P34" s="14"/>
      <c r="Q34" s="27"/>
      <c r="U34" s="31"/>
      <c r="V34" s="13">
        <v>155</v>
      </c>
      <c r="AA34" s="31"/>
      <c r="AB34" s="13"/>
      <c r="AC34" s="31"/>
      <c r="AD34" s="15"/>
    </row>
    <row r="35" spans="1:239" x14ac:dyDescent="0.25">
      <c r="A35" s="311"/>
      <c r="B35" s="160">
        <v>46130</v>
      </c>
      <c r="C35" s="14" t="s">
        <v>645</v>
      </c>
      <c r="D35" s="27"/>
      <c r="F35" s="35"/>
      <c r="I35" s="31"/>
      <c r="J35" s="13"/>
      <c r="K35" s="35"/>
      <c r="M35" s="35"/>
      <c r="N35" s="35"/>
      <c r="O35" s="35"/>
      <c r="P35" s="14"/>
      <c r="Q35" s="27"/>
      <c r="S35">
        <v>130</v>
      </c>
      <c r="U35" s="31"/>
      <c r="V35" s="13"/>
      <c r="AA35" s="31"/>
      <c r="AB35" s="13"/>
      <c r="AC35" s="31"/>
      <c r="AD35" s="15"/>
      <c r="AE35" t="s">
        <v>633</v>
      </c>
    </row>
    <row r="36" spans="1:239" x14ac:dyDescent="0.25">
      <c r="A36" s="311"/>
      <c r="B36" s="160"/>
      <c r="C36" s="14"/>
      <c r="D36" s="27"/>
      <c r="F36" s="35"/>
      <c r="I36" s="31"/>
      <c r="J36" s="13"/>
      <c r="K36" s="35"/>
      <c r="M36" s="35"/>
      <c r="N36" s="35"/>
      <c r="O36" s="35"/>
      <c r="P36" s="14"/>
      <c r="Q36" s="27"/>
      <c r="U36" s="31"/>
      <c r="V36" s="13"/>
      <c r="AA36" s="31"/>
      <c r="AB36" s="13"/>
      <c r="AC36" s="31"/>
      <c r="AD36" s="15"/>
    </row>
    <row r="37" spans="1:239" x14ac:dyDescent="0.25">
      <c r="A37" s="311"/>
      <c r="B37" s="20"/>
      <c r="C37" s="14"/>
      <c r="D37" s="27"/>
      <c r="F37" s="35"/>
      <c r="I37" s="31"/>
      <c r="J37" s="13"/>
      <c r="K37" s="35"/>
      <c r="M37" s="35"/>
      <c r="N37" s="35"/>
      <c r="O37" s="35"/>
      <c r="P37" s="14"/>
      <c r="Q37" s="27"/>
      <c r="U37" s="31"/>
      <c r="V37" s="13"/>
      <c r="AA37" s="31"/>
      <c r="AB37" s="13"/>
      <c r="AC37" s="31"/>
      <c r="AD37" s="15"/>
    </row>
    <row r="38" spans="1:239" s="52" customFormat="1" x14ac:dyDescent="0.25">
      <c r="A38" s="311"/>
      <c r="B38" s="114"/>
      <c r="C38" s="105"/>
      <c r="D38" s="83"/>
      <c r="I38" s="105"/>
      <c r="J38" s="83"/>
      <c r="P38" s="105"/>
      <c r="Q38" s="83"/>
      <c r="U38" s="105"/>
      <c r="V38" s="83"/>
      <c r="AA38" s="105"/>
      <c r="AB38" s="83"/>
      <c r="AC38" s="105"/>
      <c r="AD38" s="115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</row>
    <row r="39" spans="1:239" x14ac:dyDescent="0.25">
      <c r="A39" s="311"/>
      <c r="B39" s="20"/>
      <c r="C39" s="14"/>
      <c r="D39" s="27"/>
      <c r="F39" s="35"/>
      <c r="I39" s="31"/>
      <c r="J39" s="13"/>
      <c r="K39" s="35"/>
      <c r="M39" s="35"/>
      <c r="N39" s="35"/>
      <c r="O39" s="35"/>
      <c r="P39" s="14"/>
      <c r="Q39" s="27"/>
      <c r="U39" s="31"/>
      <c r="V39" s="13"/>
      <c r="AA39" s="31"/>
      <c r="AB39" s="13"/>
      <c r="AC39" s="31"/>
      <c r="AD39" s="15"/>
    </row>
    <row r="40" spans="1:239" ht="15.75" thickBot="1" x14ac:dyDescent="0.3">
      <c r="A40" s="312"/>
      <c r="B40" s="13"/>
      <c r="C40" s="14"/>
      <c r="D40" s="27"/>
      <c r="F40" s="35"/>
      <c r="I40" s="31"/>
      <c r="J40" s="13"/>
      <c r="K40" s="35"/>
      <c r="M40" s="35"/>
      <c r="N40" s="35"/>
      <c r="O40" s="35"/>
      <c r="P40" s="14"/>
      <c r="Q40" s="27"/>
      <c r="U40" s="31"/>
      <c r="V40" s="13"/>
      <c r="AA40" s="31"/>
      <c r="AB40" s="13"/>
      <c r="AC40" s="31"/>
      <c r="AD40" s="15"/>
      <c r="AH40">
        <f>0.3*400</f>
        <v>120</v>
      </c>
    </row>
    <row r="41" spans="1:239" ht="21.75" thickBot="1" x14ac:dyDescent="0.3">
      <c r="A41" s="21" t="s">
        <v>23</v>
      </c>
      <c r="B41" s="22"/>
      <c r="C41" s="23"/>
      <c r="D41" s="29">
        <f t="shared" ref="D41:AD41" si="0">SUM(D4:D16)-SUM(D17:D40)</f>
        <v>1612</v>
      </c>
      <c r="E41" s="22">
        <f t="shared" si="0"/>
        <v>47</v>
      </c>
      <c r="F41" s="37">
        <f t="shared" si="0"/>
        <v>3861</v>
      </c>
      <c r="G41" s="24">
        <f t="shared" si="0"/>
        <v>140</v>
      </c>
      <c r="H41" s="24">
        <f t="shared" si="0"/>
        <v>52</v>
      </c>
      <c r="I41" s="33">
        <f t="shared" si="0"/>
        <v>0</v>
      </c>
      <c r="J41" s="22">
        <f t="shared" si="0"/>
        <v>460</v>
      </c>
      <c r="K41" s="37">
        <f t="shared" si="0"/>
        <v>6460</v>
      </c>
      <c r="L41" s="24">
        <f t="shared" si="0"/>
        <v>181</v>
      </c>
      <c r="M41" s="37">
        <f t="shared" si="0"/>
        <v>13321</v>
      </c>
      <c r="N41" s="37">
        <f t="shared" si="0"/>
        <v>47</v>
      </c>
      <c r="O41" s="37">
        <f t="shared" si="0"/>
        <v>3000</v>
      </c>
      <c r="P41" s="23">
        <f t="shared" si="0"/>
        <v>2950</v>
      </c>
      <c r="Q41" s="29">
        <f t="shared" si="0"/>
        <v>2</v>
      </c>
      <c r="R41" s="29">
        <f t="shared" si="0"/>
        <v>0</v>
      </c>
      <c r="S41" s="29">
        <f t="shared" si="0"/>
        <v>1670</v>
      </c>
      <c r="T41" s="107">
        <f t="shared" si="0"/>
        <v>1110</v>
      </c>
      <c r="U41" s="33">
        <f t="shared" si="0"/>
        <v>0</v>
      </c>
      <c r="V41" s="22">
        <f t="shared" si="0"/>
        <v>1893</v>
      </c>
      <c r="W41" s="22">
        <f t="shared" si="0"/>
        <v>54</v>
      </c>
      <c r="X41" s="22">
        <f t="shared" si="0"/>
        <v>70</v>
      </c>
      <c r="Y41" s="22">
        <f t="shared" si="0"/>
        <v>160</v>
      </c>
      <c r="Z41" s="22">
        <f t="shared" si="0"/>
        <v>0</v>
      </c>
      <c r="AA41" s="33">
        <f t="shared" si="0"/>
        <v>0</v>
      </c>
      <c r="AB41" s="22">
        <f t="shared" si="0"/>
        <v>0</v>
      </c>
      <c r="AC41" s="33">
        <f t="shared" si="0"/>
        <v>0</v>
      </c>
      <c r="AD41" s="25">
        <f t="shared" si="0"/>
        <v>35</v>
      </c>
    </row>
    <row r="43" spans="1:239" x14ac:dyDescent="0.25">
      <c r="C43" t="s">
        <v>176</v>
      </c>
      <c r="D43">
        <v>0.6</v>
      </c>
      <c r="E43">
        <v>0.55000000000000004</v>
      </c>
      <c r="F43">
        <v>0.71</v>
      </c>
      <c r="G43">
        <v>0.65</v>
      </c>
      <c r="H43">
        <v>0.65</v>
      </c>
      <c r="I43">
        <v>0.74</v>
      </c>
      <c r="J43">
        <v>0.84</v>
      </c>
      <c r="K43">
        <v>0.86</v>
      </c>
      <c r="L43" s="50">
        <f>0.95+0.1</f>
        <v>1.05</v>
      </c>
      <c r="M43">
        <v>1.02</v>
      </c>
      <c r="N43">
        <v>0.82</v>
      </c>
      <c r="O43">
        <v>0.92</v>
      </c>
      <c r="P43">
        <v>0.82</v>
      </c>
      <c r="Q43">
        <v>2.7</v>
      </c>
      <c r="R43">
        <v>2.6</v>
      </c>
      <c r="S43">
        <v>2.8</v>
      </c>
      <c r="T43">
        <v>2.6</v>
      </c>
      <c r="U43">
        <v>2.4</v>
      </c>
      <c r="V43">
        <v>2.7</v>
      </c>
      <c r="W43">
        <v>2.5499999999999998</v>
      </c>
      <c r="X43">
        <v>2.9</v>
      </c>
      <c r="Y43">
        <v>2.85</v>
      </c>
      <c r="Z43">
        <v>2.7</v>
      </c>
      <c r="AA43">
        <f>+AA41*2.15</f>
        <v>0</v>
      </c>
      <c r="AB43">
        <f>+AB41*0.44</f>
        <v>0</v>
      </c>
      <c r="AC43">
        <f>+AC41*0.34</f>
        <v>0</v>
      </c>
      <c r="AD43" s="109"/>
    </row>
    <row r="44" spans="1:239" x14ac:dyDescent="0.25">
      <c r="D44">
        <f>+D41*D43</f>
        <v>967.19999999999993</v>
      </c>
      <c r="E44">
        <f>+E41*E43</f>
        <v>25.85</v>
      </c>
      <c r="F44">
        <f t="shared" ref="F44:AD44" si="1">+F41*F43</f>
        <v>2741.31</v>
      </c>
      <c r="G44">
        <f t="shared" si="1"/>
        <v>91</v>
      </c>
      <c r="H44">
        <f t="shared" si="1"/>
        <v>33.800000000000004</v>
      </c>
      <c r="I44">
        <f t="shared" si="1"/>
        <v>0</v>
      </c>
      <c r="J44">
        <f t="shared" si="1"/>
        <v>386.4</v>
      </c>
      <c r="K44">
        <f t="shared" si="1"/>
        <v>5555.6</v>
      </c>
      <c r="L44">
        <f t="shared" si="1"/>
        <v>190.05</v>
      </c>
      <c r="M44">
        <f t="shared" si="1"/>
        <v>13587.42</v>
      </c>
      <c r="N44">
        <f>N41*N43</f>
        <v>38.54</v>
      </c>
      <c r="O44">
        <f t="shared" si="1"/>
        <v>2760</v>
      </c>
      <c r="P44">
        <f t="shared" si="1"/>
        <v>2419</v>
      </c>
      <c r="Q44">
        <f t="shared" si="1"/>
        <v>5.4</v>
      </c>
      <c r="R44">
        <f t="shared" si="1"/>
        <v>0</v>
      </c>
      <c r="S44">
        <f t="shared" si="1"/>
        <v>4676</v>
      </c>
      <c r="T44">
        <f t="shared" si="1"/>
        <v>2886</v>
      </c>
      <c r="U44">
        <f t="shared" si="1"/>
        <v>0</v>
      </c>
      <c r="V44">
        <f t="shared" si="1"/>
        <v>5111.1000000000004</v>
      </c>
      <c r="W44">
        <f t="shared" si="1"/>
        <v>137.69999999999999</v>
      </c>
      <c r="X44">
        <f t="shared" si="1"/>
        <v>203</v>
      </c>
      <c r="Y44">
        <f>Y41*Y43</f>
        <v>456</v>
      </c>
      <c r="AA44">
        <f t="shared" si="1"/>
        <v>0</v>
      </c>
      <c r="AB44">
        <f t="shared" si="1"/>
        <v>0</v>
      </c>
      <c r="AD44">
        <f t="shared" si="1"/>
        <v>0</v>
      </c>
      <c r="AE44" s="52">
        <f>SUM(D44:AD44)</f>
        <v>42271.369999999995</v>
      </c>
    </row>
    <row r="45" spans="1:239" x14ac:dyDescent="0.25"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103"/>
      <c r="U45" s="39"/>
      <c r="V45" s="39"/>
      <c r="W45" s="39"/>
      <c r="X45" s="39"/>
      <c r="Y45" s="39"/>
      <c r="Z45" s="39"/>
      <c r="AA45" s="39"/>
      <c r="AB45" s="39"/>
      <c r="AC45" s="39"/>
      <c r="AD45" s="39"/>
    </row>
    <row r="46" spans="1:239" x14ac:dyDescent="0.25"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103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 spans="1:239" x14ac:dyDescent="0.25"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T47" s="103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 spans="1:239" x14ac:dyDescent="0.25"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103"/>
      <c r="U48" s="39"/>
      <c r="V48" s="39"/>
      <c r="W48" s="39"/>
      <c r="X48" s="39"/>
      <c r="Y48" s="39"/>
      <c r="Z48" s="39"/>
      <c r="AA48" s="39"/>
      <c r="AB48" s="39"/>
      <c r="AC48" s="39"/>
      <c r="AD48" s="39"/>
    </row>
    <row r="49" spans="3:35" x14ac:dyDescent="0.25">
      <c r="C49" s="39"/>
      <c r="D49" s="39"/>
      <c r="E49" s="39"/>
      <c r="F49" s="39"/>
      <c r="G49" s="39"/>
      <c r="H49" s="39"/>
      <c r="I49" s="39"/>
      <c r="K49" s="60"/>
      <c r="T49" s="85"/>
      <c r="V49" s="84"/>
    </row>
    <row r="50" spans="3:35" x14ac:dyDescent="0.25">
      <c r="C50" s="39"/>
      <c r="D50" s="39"/>
      <c r="E50" s="39"/>
      <c r="F50" s="39"/>
      <c r="G50" s="39"/>
      <c r="H50" s="39"/>
      <c r="I50" s="39"/>
      <c r="L50" s="60"/>
      <c r="T50" s="60"/>
    </row>
    <row r="52" spans="3:35" x14ac:dyDescent="0.25">
      <c r="AH52" t="s">
        <v>130</v>
      </c>
      <c r="AI52">
        <v>1667</v>
      </c>
    </row>
    <row r="53" spans="3:35" x14ac:dyDescent="0.25">
      <c r="AI53">
        <v>1070</v>
      </c>
    </row>
    <row r="54" spans="3:35" x14ac:dyDescent="0.25">
      <c r="W54" t="s">
        <v>139</v>
      </c>
      <c r="AI54">
        <f>AI52-AI53</f>
        <v>597</v>
      </c>
    </row>
    <row r="55" spans="3:35" x14ac:dyDescent="0.25">
      <c r="J55">
        <f>3670+1320-7150</f>
        <v>-2160</v>
      </c>
      <c r="K55">
        <f>12700+870+980+24320+600</f>
        <v>39470</v>
      </c>
      <c r="L55">
        <f>38950+1000+1080+600</f>
        <v>41630</v>
      </c>
      <c r="M55">
        <f>23176+4500+600+1000+35680+3900</f>
        <v>68856</v>
      </c>
    </row>
    <row r="56" spans="3:35" x14ac:dyDescent="0.25">
      <c r="J56">
        <v>5800</v>
      </c>
      <c r="K56">
        <v>5800</v>
      </c>
      <c r="L56">
        <v>5100</v>
      </c>
      <c r="M56">
        <v>5100</v>
      </c>
    </row>
    <row r="57" spans="3:35" x14ac:dyDescent="0.25">
      <c r="J57">
        <v>42702</v>
      </c>
      <c r="K57">
        <v>0</v>
      </c>
      <c r="L57">
        <v>0</v>
      </c>
      <c r="M57">
        <f>1081-340</f>
        <v>741</v>
      </c>
    </row>
    <row r="58" spans="3:35" x14ac:dyDescent="0.25">
      <c r="J58">
        <v>0</v>
      </c>
      <c r="L58">
        <v>0</v>
      </c>
      <c r="M58">
        <v>0</v>
      </c>
      <c r="AH58" t="s">
        <v>149</v>
      </c>
      <c r="AI58">
        <v>14352</v>
      </c>
    </row>
    <row r="59" spans="3:35" x14ac:dyDescent="0.25">
      <c r="J59">
        <v>1140</v>
      </c>
      <c r="K59">
        <v>1140</v>
      </c>
      <c r="L59">
        <v>0</v>
      </c>
      <c r="M59">
        <v>0</v>
      </c>
      <c r="AI59">
        <v>-14547</v>
      </c>
    </row>
    <row r="60" spans="3:35" x14ac:dyDescent="0.25">
      <c r="J60">
        <v>-4815</v>
      </c>
      <c r="K60">
        <v>-3609</v>
      </c>
      <c r="L60">
        <v>-3609</v>
      </c>
      <c r="M60">
        <f>-1324-1120</f>
        <v>-2444</v>
      </c>
    </row>
    <row r="61" spans="3:35" x14ac:dyDescent="0.25">
      <c r="M61">
        <f>-2336.5*12</f>
        <v>-28038</v>
      </c>
      <c r="AI61">
        <f>SUM(AI58:AI60)</f>
        <v>-195</v>
      </c>
    </row>
    <row r="63" spans="3:35" x14ac:dyDescent="0.25">
      <c r="J63">
        <f>SUM(J55:J60)</f>
        <v>42667</v>
      </c>
      <c r="K63">
        <f>SUM(K55:K62)</f>
        <v>42801</v>
      </c>
      <c r="L63">
        <f>SUM(L55:L62)</f>
        <v>43121</v>
      </c>
      <c r="M63">
        <f>SUM(M55:M62)</f>
        <v>44215</v>
      </c>
    </row>
    <row r="64" spans="3:35" x14ac:dyDescent="0.25">
      <c r="J64">
        <v>100</v>
      </c>
      <c r="K64">
        <v>100</v>
      </c>
      <c r="AH64" t="s">
        <v>158</v>
      </c>
    </row>
    <row r="65" spans="3:37" x14ac:dyDescent="0.25">
      <c r="J65">
        <f>+J63-J64</f>
        <v>42567</v>
      </c>
      <c r="K65">
        <f>+K63-K64</f>
        <v>42701</v>
      </c>
    </row>
    <row r="66" spans="3:37" x14ac:dyDescent="0.25">
      <c r="M66">
        <f>+M63-L63</f>
        <v>1094</v>
      </c>
      <c r="AI66" t="s">
        <v>159</v>
      </c>
    </row>
    <row r="67" spans="3:37" x14ac:dyDescent="0.25">
      <c r="J67">
        <f>+I83-J65</f>
        <v>128</v>
      </c>
      <c r="K67">
        <f>+K65-J65</f>
        <v>134</v>
      </c>
    </row>
    <row r="70" spans="3:37" ht="30" customHeight="1" x14ac:dyDescent="0.25">
      <c r="K70" s="102">
        <v>20611410159</v>
      </c>
    </row>
    <row r="71" spans="3:37" x14ac:dyDescent="0.25">
      <c r="K71" s="102">
        <v>41200545</v>
      </c>
    </row>
    <row r="73" spans="3:37" x14ac:dyDescent="0.25">
      <c r="C73" s="98" t="s">
        <v>118</v>
      </c>
      <c r="D73">
        <f>5050+180</f>
        <v>5230</v>
      </c>
      <c r="E73">
        <v>140</v>
      </c>
      <c r="F73">
        <f>-310+70+80</f>
        <v>-160</v>
      </c>
      <c r="G73">
        <f>8000+1340-200</f>
        <v>9140</v>
      </c>
      <c r="I73">
        <f>12540+400</f>
        <v>12940</v>
      </c>
    </row>
    <row r="74" spans="3:37" x14ac:dyDescent="0.25">
      <c r="C74" t="s">
        <v>119</v>
      </c>
      <c r="D74">
        <v>6500</v>
      </c>
      <c r="E74">
        <v>6500</v>
      </c>
      <c r="F74">
        <v>6500</v>
      </c>
      <c r="G74">
        <v>6500</v>
      </c>
      <c r="I74">
        <v>5800</v>
      </c>
    </row>
    <row r="75" spans="3:37" x14ac:dyDescent="0.25">
      <c r="C75" t="s">
        <v>120</v>
      </c>
      <c r="D75">
        <v>33280</v>
      </c>
      <c r="E75">
        <v>33280</v>
      </c>
      <c r="F75">
        <f>38060-1480</f>
        <v>36580</v>
      </c>
      <c r="G75">
        <v>27560</v>
      </c>
      <c r="I75">
        <v>24080</v>
      </c>
    </row>
    <row r="76" spans="3:37" x14ac:dyDescent="0.25">
      <c r="C76" t="s">
        <v>123</v>
      </c>
      <c r="D76">
        <v>2960</v>
      </c>
      <c r="E76">
        <v>2960</v>
      </c>
      <c r="F76">
        <f>1150</f>
        <v>1150</v>
      </c>
      <c r="G76">
        <v>1980</v>
      </c>
      <c r="I76">
        <v>4000</v>
      </c>
      <c r="AJ76" t="s">
        <v>150</v>
      </c>
      <c r="AK76" t="s">
        <v>151</v>
      </c>
    </row>
    <row r="77" spans="3:37" x14ac:dyDescent="0.25">
      <c r="C77" t="s">
        <v>122</v>
      </c>
      <c r="D77">
        <v>1300</v>
      </c>
      <c r="E77">
        <v>1300</v>
      </c>
      <c r="F77">
        <v>1300</v>
      </c>
      <c r="G77">
        <v>1300</v>
      </c>
      <c r="I77">
        <v>1140</v>
      </c>
      <c r="AJ77" t="s">
        <v>152</v>
      </c>
    </row>
    <row r="78" spans="3:37" x14ac:dyDescent="0.25">
      <c r="C78" t="s">
        <v>127</v>
      </c>
      <c r="D78">
        <v>-9815</v>
      </c>
      <c r="E78">
        <v>-4815</v>
      </c>
      <c r="F78">
        <v>-4815</v>
      </c>
      <c r="G78">
        <v>-4815</v>
      </c>
      <c r="I78">
        <v>-4815</v>
      </c>
    </row>
    <row r="79" spans="3:37" x14ac:dyDescent="0.25">
      <c r="C79" t="s">
        <v>128</v>
      </c>
      <c r="AJ79" t="s">
        <v>153</v>
      </c>
    </row>
    <row r="81" spans="3:36" x14ac:dyDescent="0.25">
      <c r="D81">
        <f>SUM(D73:D80)</f>
        <v>39455</v>
      </c>
      <c r="E81">
        <f>SUM(E73:E78)</f>
        <v>39365</v>
      </c>
      <c r="F81">
        <f>SUM(F73:F78)</f>
        <v>40555</v>
      </c>
      <c r="G81">
        <f>SUM(G73:G78)</f>
        <v>41665</v>
      </c>
      <c r="I81">
        <f>SUM(I73:I78)</f>
        <v>43145</v>
      </c>
    </row>
    <row r="82" spans="3:36" x14ac:dyDescent="0.25">
      <c r="C82" t="s">
        <v>124</v>
      </c>
      <c r="D82">
        <v>100</v>
      </c>
      <c r="E82">
        <v>100</v>
      </c>
      <c r="F82">
        <v>100</v>
      </c>
      <c r="G82">
        <v>100</v>
      </c>
      <c r="I82">
        <f>100+350</f>
        <v>450</v>
      </c>
      <c r="AJ82">
        <v>24005</v>
      </c>
    </row>
    <row r="83" spans="3:36" x14ac:dyDescent="0.25">
      <c r="C83" t="s">
        <v>125</v>
      </c>
      <c r="D83">
        <f>+D81-D82</f>
        <v>39355</v>
      </c>
      <c r="E83">
        <f>+E81-E82</f>
        <v>39265</v>
      </c>
      <c r="F83">
        <f>+F81-F82</f>
        <v>40455</v>
      </c>
      <c r="G83">
        <f>+G81-G82</f>
        <v>41565</v>
      </c>
      <c r="I83">
        <f>+I81-I82</f>
        <v>42695</v>
      </c>
      <c r="AJ83">
        <v>-24080</v>
      </c>
    </row>
    <row r="84" spans="3:36" x14ac:dyDescent="0.25">
      <c r="G84">
        <f>+G83-F83</f>
        <v>1110</v>
      </c>
      <c r="I84">
        <f>+I83-G83</f>
        <v>1130</v>
      </c>
      <c r="AJ84">
        <f>SUM(AJ82:AJ83)</f>
        <v>-75</v>
      </c>
    </row>
  </sheetData>
  <mergeCells count="7">
    <mergeCell ref="AB2:AC2"/>
    <mergeCell ref="A4:A16"/>
    <mergeCell ref="A17:A40"/>
    <mergeCell ref="D2:I2"/>
    <mergeCell ref="J2:P2"/>
    <mergeCell ref="Q2:U2"/>
    <mergeCell ref="V2:AA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73F9-E57D-4195-848D-000480D43034}">
  <dimension ref="A1:IE93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U1" sqref="U1:U1048576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9.42578125" customWidth="1"/>
    <col min="10" max="10" width="16" customWidth="1"/>
    <col min="11" max="11" width="11.28515625" customWidth="1"/>
    <col min="12" max="12" width="10.140625" customWidth="1"/>
    <col min="13" max="14" width="12" customWidth="1"/>
    <col min="15" max="15" width="11.28515625" customWidth="1"/>
    <col min="16" max="16" width="10.42578125" bestFit="1" customWidth="1"/>
    <col min="17" max="17" width="8.7109375" bestFit="1" customWidth="1"/>
    <col min="18" max="18" width="10.5703125" customWidth="1"/>
    <col min="19" max="19" width="8.7109375" customWidth="1"/>
    <col min="20" max="20" width="11.28515625" customWidth="1"/>
    <col min="21" max="21" width="10.85546875" customWidth="1"/>
    <col min="22" max="24" width="10.7109375" customWidth="1"/>
    <col min="25" max="26" width="13.5703125" customWidth="1"/>
    <col min="27" max="27" width="11.5703125" customWidth="1"/>
    <col min="28" max="28" width="14.42578125" customWidth="1"/>
    <col min="29" max="29" width="9.85546875" customWidth="1"/>
    <col min="30" max="30" width="17.140625" customWidth="1"/>
    <col min="31" max="31" width="19" customWidth="1"/>
    <col min="34" max="34" width="15.140625" customWidth="1"/>
  </cols>
  <sheetData>
    <row r="1" spans="1:30" ht="33" customHeight="1" thickBot="1" x14ac:dyDescent="0.3"/>
    <row r="2" spans="1:30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09"/>
      <c r="J2" s="308" t="s">
        <v>1</v>
      </c>
      <c r="K2" s="313"/>
      <c r="L2" s="313"/>
      <c r="M2" s="313"/>
      <c r="N2" s="313"/>
      <c r="O2" s="313"/>
      <c r="P2" s="309"/>
      <c r="Q2" s="308" t="s">
        <v>2</v>
      </c>
      <c r="R2" s="313"/>
      <c r="S2" s="313"/>
      <c r="T2" s="313"/>
      <c r="U2" s="309"/>
      <c r="V2" s="308" t="s">
        <v>3</v>
      </c>
      <c r="W2" s="313"/>
      <c r="X2" s="313"/>
      <c r="Y2" s="313"/>
      <c r="Z2" s="313"/>
      <c r="AA2" s="309"/>
      <c r="AB2" s="308" t="s">
        <v>4</v>
      </c>
      <c r="AC2" s="309"/>
      <c r="AD2" s="46" t="s">
        <v>91</v>
      </c>
    </row>
    <row r="3" spans="1:30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8" t="s">
        <v>13</v>
      </c>
      <c r="J3" s="9" t="s">
        <v>394</v>
      </c>
      <c r="K3" s="7" t="s">
        <v>11</v>
      </c>
      <c r="L3" s="7" t="s">
        <v>12</v>
      </c>
      <c r="M3" s="7" t="s">
        <v>13</v>
      </c>
      <c r="N3" s="7" t="s">
        <v>182</v>
      </c>
      <c r="O3" s="7" t="s">
        <v>15</v>
      </c>
      <c r="P3" s="8" t="s">
        <v>136</v>
      </c>
      <c r="Q3" s="6" t="s">
        <v>12</v>
      </c>
      <c r="R3" s="7" t="s">
        <v>69</v>
      </c>
      <c r="S3" s="7" t="s">
        <v>13</v>
      </c>
      <c r="T3" s="7" t="s">
        <v>16</v>
      </c>
      <c r="U3" s="8" t="s">
        <v>162</v>
      </c>
      <c r="V3" s="6" t="s">
        <v>16</v>
      </c>
      <c r="W3" s="7" t="s">
        <v>77</v>
      </c>
      <c r="X3" s="7" t="s">
        <v>12</v>
      </c>
      <c r="Y3" s="7" t="s">
        <v>13</v>
      </c>
      <c r="Z3" s="7" t="s">
        <v>8</v>
      </c>
      <c r="AA3" s="8" t="s">
        <v>69</v>
      </c>
      <c r="AB3" s="6" t="s">
        <v>17</v>
      </c>
      <c r="AC3" s="8" t="s">
        <v>18</v>
      </c>
      <c r="AD3" s="10" t="s">
        <v>92</v>
      </c>
    </row>
    <row r="4" spans="1:30" x14ac:dyDescent="0.25">
      <c r="A4" s="310" t="s">
        <v>19</v>
      </c>
      <c r="B4" s="49"/>
      <c r="C4" s="2"/>
      <c r="D4" s="42">
        <v>1612</v>
      </c>
      <c r="E4" s="42">
        <v>47</v>
      </c>
      <c r="F4" s="42">
        <v>3861</v>
      </c>
      <c r="G4" s="42">
        <v>140</v>
      </c>
      <c r="H4" s="42">
        <v>52</v>
      </c>
      <c r="I4" s="42">
        <v>0</v>
      </c>
      <c r="J4" s="42">
        <v>460</v>
      </c>
      <c r="K4" s="42">
        <v>6460</v>
      </c>
      <c r="L4" s="42">
        <v>181</v>
      </c>
      <c r="M4" s="42">
        <v>13321</v>
      </c>
      <c r="N4" s="42">
        <v>47</v>
      </c>
      <c r="O4" s="42">
        <v>3000</v>
      </c>
      <c r="P4" s="42">
        <v>2950</v>
      </c>
      <c r="Q4" s="42">
        <f>'STOCK 08-14-02'!O25</f>
        <v>2</v>
      </c>
      <c r="R4" s="42">
        <f>'STOCK 08-14-02'!P25</f>
        <v>0</v>
      </c>
      <c r="S4" s="42">
        <v>1670</v>
      </c>
      <c r="T4" s="42">
        <v>1110</v>
      </c>
      <c r="U4" s="42">
        <v>0</v>
      </c>
      <c r="V4" s="42">
        <v>1893</v>
      </c>
      <c r="W4" s="42">
        <v>54</v>
      </c>
      <c r="X4" s="42">
        <v>70</v>
      </c>
      <c r="Y4" s="42">
        <v>160</v>
      </c>
      <c r="Z4" s="42">
        <v>0</v>
      </c>
      <c r="AA4" s="42">
        <f>'STOCK 08-14-02'!W25</f>
        <v>0</v>
      </c>
      <c r="AB4" s="42">
        <f>'STOCK 08-14-02'!X25</f>
        <v>0</v>
      </c>
      <c r="AC4" s="42">
        <v>0</v>
      </c>
      <c r="AD4" s="42">
        <v>35</v>
      </c>
    </row>
    <row r="5" spans="1:30" x14ac:dyDescent="0.25">
      <c r="A5" s="311"/>
      <c r="B5" s="20"/>
      <c r="C5" s="82"/>
      <c r="D5" s="27"/>
      <c r="F5" s="35"/>
      <c r="I5" s="31"/>
      <c r="J5" s="13"/>
      <c r="K5" s="35"/>
      <c r="M5" s="35"/>
      <c r="N5" s="35"/>
      <c r="O5" s="35"/>
      <c r="P5" s="14"/>
      <c r="Q5" s="27"/>
      <c r="U5" s="31"/>
      <c r="V5" s="13"/>
      <c r="AA5" s="31"/>
      <c r="AB5" s="13"/>
      <c r="AC5" s="31"/>
      <c r="AD5" s="15"/>
    </row>
    <row r="6" spans="1:30" x14ac:dyDescent="0.25">
      <c r="A6" s="311"/>
      <c r="B6" s="20">
        <v>46132</v>
      </c>
      <c r="C6" s="82" t="s">
        <v>27</v>
      </c>
      <c r="D6" s="27"/>
      <c r="F6" s="35"/>
      <c r="I6" s="31"/>
      <c r="J6" s="13"/>
      <c r="K6" s="35"/>
      <c r="M6" s="35"/>
      <c r="N6" s="35"/>
      <c r="O6" s="35"/>
      <c r="P6" s="14"/>
      <c r="Q6" s="27"/>
      <c r="U6" s="31"/>
      <c r="V6" s="13">
        <v>1000</v>
      </c>
      <c r="AA6" s="31"/>
      <c r="AB6" s="13"/>
      <c r="AC6" s="31"/>
      <c r="AD6" s="15"/>
    </row>
    <row r="7" spans="1:30" x14ac:dyDescent="0.25">
      <c r="A7" s="311"/>
      <c r="B7" s="20">
        <v>46133</v>
      </c>
      <c r="C7" s="82" t="s">
        <v>46</v>
      </c>
      <c r="D7" s="27"/>
      <c r="F7" s="35"/>
      <c r="I7" s="31"/>
      <c r="J7" s="13"/>
      <c r="K7" s="35"/>
      <c r="M7" s="35"/>
      <c r="N7" s="35"/>
      <c r="O7" s="35"/>
      <c r="P7" s="14"/>
      <c r="Q7" s="27">
        <v>450</v>
      </c>
      <c r="U7" s="31"/>
      <c r="V7" s="13"/>
      <c r="AA7" s="31"/>
      <c r="AB7" s="13"/>
      <c r="AC7" s="31"/>
      <c r="AD7" s="15"/>
    </row>
    <row r="8" spans="1:30" ht="13.5" customHeight="1" x14ac:dyDescent="0.25">
      <c r="A8" s="311"/>
      <c r="B8" s="20">
        <v>46134</v>
      </c>
      <c r="C8" s="82" t="s">
        <v>46</v>
      </c>
      <c r="D8" s="27"/>
      <c r="F8" s="35"/>
      <c r="I8" s="31"/>
      <c r="J8" s="13"/>
      <c r="K8" s="35"/>
      <c r="M8" s="35"/>
      <c r="N8" s="35"/>
      <c r="O8" s="35">
        <v>4000</v>
      </c>
      <c r="P8" s="14"/>
      <c r="Q8" s="27"/>
      <c r="U8" s="31"/>
      <c r="V8" s="13"/>
      <c r="AA8" s="31"/>
      <c r="AB8" s="13">
        <v>1000</v>
      </c>
      <c r="AC8" s="31"/>
      <c r="AD8" s="15"/>
    </row>
    <row r="9" spans="1:30" x14ac:dyDescent="0.25">
      <c r="A9" s="311"/>
      <c r="B9" s="20">
        <v>46134</v>
      </c>
      <c r="C9" s="82" t="s">
        <v>361</v>
      </c>
      <c r="D9" s="27">
        <v>8</v>
      </c>
      <c r="F9" s="35"/>
      <c r="I9" s="31"/>
      <c r="J9" s="13"/>
      <c r="K9" s="35"/>
      <c r="M9" s="35"/>
      <c r="N9" s="35"/>
      <c r="O9" s="35">
        <v>240</v>
      </c>
      <c r="P9" s="14"/>
      <c r="Q9" s="27"/>
      <c r="U9" s="31"/>
      <c r="V9" s="13"/>
      <c r="AA9" s="31"/>
      <c r="AB9" s="13"/>
      <c r="AC9" s="31"/>
      <c r="AD9" s="15"/>
    </row>
    <row r="10" spans="1:30" x14ac:dyDescent="0.25">
      <c r="A10" s="311"/>
      <c r="B10" s="20">
        <v>46135</v>
      </c>
      <c r="C10" s="82" t="s">
        <v>361</v>
      </c>
      <c r="D10" s="27"/>
      <c r="F10" s="35"/>
      <c r="I10" s="31"/>
      <c r="J10" s="13"/>
      <c r="K10" s="35"/>
      <c r="M10" s="35"/>
      <c r="N10" s="35"/>
      <c r="O10" s="35"/>
      <c r="P10" s="14"/>
      <c r="Q10" s="27"/>
      <c r="U10" s="31"/>
      <c r="V10" s="13"/>
      <c r="X10">
        <v>32</v>
      </c>
      <c r="Y10">
        <v>5</v>
      </c>
      <c r="AA10" s="31"/>
      <c r="AB10" s="13"/>
      <c r="AC10" s="31"/>
      <c r="AD10" s="15"/>
    </row>
    <row r="11" spans="1:30" x14ac:dyDescent="0.25">
      <c r="A11" s="311"/>
      <c r="B11" s="20">
        <v>46136</v>
      </c>
      <c r="C11" s="82" t="s">
        <v>46</v>
      </c>
      <c r="D11" s="27">
        <v>1000</v>
      </c>
      <c r="F11" s="35"/>
      <c r="I11" s="31"/>
      <c r="J11" s="13"/>
      <c r="K11" s="35"/>
      <c r="M11" s="35"/>
      <c r="N11" s="35"/>
      <c r="O11" s="35"/>
      <c r="P11" s="14"/>
      <c r="Q11" s="27"/>
      <c r="U11" s="31"/>
      <c r="V11" s="13"/>
      <c r="AA11" s="31"/>
      <c r="AB11" s="13"/>
      <c r="AC11" s="31"/>
      <c r="AD11" s="15"/>
    </row>
    <row r="12" spans="1:30" x14ac:dyDescent="0.25">
      <c r="A12" s="311"/>
      <c r="B12" s="20">
        <v>46137</v>
      </c>
      <c r="C12" s="82" t="s">
        <v>46</v>
      </c>
      <c r="D12" s="27"/>
      <c r="F12" s="35"/>
      <c r="I12" s="31"/>
      <c r="J12" s="13"/>
      <c r="K12" s="35"/>
      <c r="M12" s="35"/>
      <c r="N12" s="35"/>
      <c r="O12" s="35"/>
      <c r="P12" s="14"/>
      <c r="Q12" s="27"/>
      <c r="U12" s="31"/>
      <c r="V12" s="13">
        <v>50</v>
      </c>
      <c r="AA12" s="31"/>
      <c r="AB12" s="13"/>
      <c r="AC12" s="31"/>
      <c r="AD12" s="15"/>
    </row>
    <row r="13" spans="1:30" x14ac:dyDescent="0.25">
      <c r="A13" s="311"/>
      <c r="B13" s="20"/>
      <c r="C13" s="82"/>
      <c r="D13" s="27"/>
      <c r="F13" s="35"/>
      <c r="I13" s="31"/>
      <c r="J13" s="13"/>
      <c r="K13" s="35"/>
      <c r="M13" s="35"/>
      <c r="N13" s="35"/>
      <c r="O13" s="35"/>
      <c r="P13" s="14"/>
      <c r="Q13" s="27"/>
      <c r="U13" s="31"/>
      <c r="V13" s="13"/>
      <c r="AA13" s="31"/>
      <c r="AB13" s="13"/>
      <c r="AC13" s="31"/>
      <c r="AD13" s="15"/>
    </row>
    <row r="14" spans="1:30" x14ac:dyDescent="0.25">
      <c r="A14" s="311"/>
      <c r="B14" s="20"/>
      <c r="C14" s="82"/>
      <c r="D14" s="27"/>
      <c r="F14" s="35"/>
      <c r="I14" s="31"/>
      <c r="J14" s="13"/>
      <c r="K14" s="35"/>
      <c r="M14" s="35"/>
      <c r="N14" s="35"/>
      <c r="O14" s="35"/>
      <c r="P14" s="14"/>
      <c r="Q14" s="27"/>
      <c r="U14" s="31"/>
      <c r="V14" s="13"/>
      <c r="AA14" s="31"/>
      <c r="AB14" s="13"/>
      <c r="AC14" s="31"/>
      <c r="AD14" s="15"/>
    </row>
    <row r="15" spans="1:30" x14ac:dyDescent="0.25">
      <c r="A15" s="311"/>
      <c r="B15" s="20"/>
      <c r="C15" s="82"/>
      <c r="D15" s="27"/>
      <c r="F15" s="35"/>
      <c r="I15" s="31"/>
      <c r="J15" s="13"/>
      <c r="K15" s="35"/>
      <c r="M15" s="35"/>
      <c r="N15" s="35"/>
      <c r="O15" s="35"/>
      <c r="P15" s="14"/>
      <c r="Q15" s="27"/>
      <c r="U15" s="31"/>
      <c r="V15" s="13"/>
      <c r="AA15" s="31"/>
      <c r="AB15" s="13"/>
      <c r="AC15" s="31"/>
      <c r="AD15" s="15"/>
    </row>
    <row r="16" spans="1:30" ht="15.75" thickBot="1" x14ac:dyDescent="0.3">
      <c r="A16" s="312"/>
      <c r="B16" s="72"/>
      <c r="C16" s="17"/>
      <c r="D16" s="28"/>
      <c r="E16" s="18"/>
      <c r="F16" s="36"/>
      <c r="G16" s="18"/>
      <c r="H16" s="18"/>
      <c r="I16" s="32"/>
      <c r="J16" s="16"/>
      <c r="K16" s="36"/>
      <c r="L16" s="18"/>
      <c r="M16" s="36"/>
      <c r="N16" s="36"/>
      <c r="O16" s="36"/>
      <c r="P16" s="17"/>
      <c r="Q16" s="28"/>
      <c r="R16" s="18"/>
      <c r="S16" s="18"/>
      <c r="T16" s="18"/>
      <c r="U16" s="32"/>
      <c r="V16" s="16"/>
      <c r="W16" s="18"/>
      <c r="X16" s="18"/>
      <c r="Y16" s="18"/>
      <c r="Z16" s="18"/>
      <c r="AA16" s="32"/>
      <c r="AB16" s="16"/>
      <c r="AC16" s="32"/>
      <c r="AD16" s="19"/>
    </row>
    <row r="17" spans="1:30" x14ac:dyDescent="0.25">
      <c r="A17" s="310" t="s">
        <v>62</v>
      </c>
      <c r="B17" s="160"/>
      <c r="C17" s="14"/>
      <c r="D17" s="27"/>
      <c r="F17" s="35"/>
      <c r="I17" s="31"/>
      <c r="J17" s="13"/>
      <c r="K17" s="35"/>
      <c r="M17" s="35"/>
      <c r="N17" s="35"/>
      <c r="O17" s="35"/>
      <c r="P17" s="14"/>
      <c r="Q17" s="27"/>
      <c r="U17" s="31"/>
      <c r="V17" s="13"/>
      <c r="AA17" s="31"/>
      <c r="AB17" s="13"/>
      <c r="AC17" s="31"/>
      <c r="AD17" s="15"/>
    </row>
    <row r="18" spans="1:30" x14ac:dyDescent="0.25">
      <c r="A18" s="311"/>
      <c r="B18" s="160"/>
      <c r="C18" s="14"/>
      <c r="D18" s="27"/>
      <c r="F18" s="35"/>
      <c r="I18" s="31"/>
      <c r="J18" s="13"/>
      <c r="K18" s="35"/>
      <c r="M18" s="35"/>
      <c r="N18" s="35"/>
      <c r="O18" s="35"/>
      <c r="P18" s="14"/>
      <c r="Q18" s="27"/>
      <c r="U18" s="31"/>
      <c r="V18" s="13"/>
      <c r="AA18" s="31"/>
      <c r="AB18" s="13"/>
      <c r="AC18" s="31"/>
      <c r="AD18" s="15"/>
    </row>
    <row r="19" spans="1:30" x14ac:dyDescent="0.25">
      <c r="A19" s="311"/>
      <c r="B19" s="160">
        <v>46132</v>
      </c>
      <c r="C19" s="14" t="s">
        <v>653</v>
      </c>
      <c r="D19" s="27">
        <v>1000</v>
      </c>
      <c r="F19" s="35"/>
      <c r="I19" s="31"/>
      <c r="J19" s="13"/>
      <c r="K19" s="35"/>
      <c r="M19" s="35"/>
      <c r="N19" s="35"/>
      <c r="O19" s="35"/>
      <c r="P19" s="14"/>
      <c r="Q19" s="27"/>
      <c r="U19" s="31"/>
      <c r="V19" s="13"/>
      <c r="AA19" s="31"/>
      <c r="AB19" s="13"/>
      <c r="AC19" s="31"/>
      <c r="AD19" s="15"/>
    </row>
    <row r="20" spans="1:30" x14ac:dyDescent="0.25">
      <c r="A20" s="311"/>
      <c r="B20" s="160">
        <v>46132</v>
      </c>
      <c r="C20" s="14" t="s">
        <v>296</v>
      </c>
      <c r="D20" s="27">
        <v>120</v>
      </c>
      <c r="F20" s="35"/>
      <c r="I20" s="31"/>
      <c r="J20" s="13"/>
      <c r="K20" s="35"/>
      <c r="M20" s="35"/>
      <c r="N20" s="35"/>
      <c r="O20" s="35"/>
      <c r="P20" s="14"/>
      <c r="Q20" s="27"/>
      <c r="U20" s="31"/>
      <c r="V20" s="13"/>
      <c r="AA20" s="31"/>
      <c r="AB20" s="13"/>
      <c r="AC20" s="31"/>
      <c r="AD20" s="15"/>
    </row>
    <row r="21" spans="1:30" x14ac:dyDescent="0.25">
      <c r="A21" s="311"/>
      <c r="B21" s="160">
        <v>46132</v>
      </c>
      <c r="C21" s="14" t="s">
        <v>654</v>
      </c>
      <c r="D21" s="27"/>
      <c r="F21" s="35"/>
      <c r="I21" s="31"/>
      <c r="J21" s="13"/>
      <c r="K21" s="35">
        <v>300</v>
      </c>
      <c r="M21" s="35"/>
      <c r="N21" s="35"/>
      <c r="O21" s="35"/>
      <c r="P21" s="14"/>
      <c r="Q21" s="27"/>
      <c r="U21" s="31"/>
      <c r="V21" s="13"/>
      <c r="AA21" s="31"/>
      <c r="AB21" s="13"/>
      <c r="AC21" s="31"/>
      <c r="AD21" s="15"/>
    </row>
    <row r="22" spans="1:30" x14ac:dyDescent="0.25">
      <c r="A22" s="311"/>
      <c r="B22" s="160">
        <v>46132</v>
      </c>
      <c r="C22" s="14" t="s">
        <v>655</v>
      </c>
      <c r="D22" s="27"/>
      <c r="F22" s="35"/>
      <c r="I22" s="31"/>
      <c r="J22" s="13"/>
      <c r="K22" s="35">
        <v>600</v>
      </c>
      <c r="M22" s="35"/>
      <c r="N22" s="35"/>
      <c r="O22" s="35"/>
      <c r="P22" s="14"/>
      <c r="Q22" s="27"/>
      <c r="U22" s="31"/>
      <c r="V22" s="13"/>
      <c r="AA22" s="31"/>
      <c r="AB22" s="13"/>
      <c r="AC22" s="31"/>
      <c r="AD22" s="15"/>
    </row>
    <row r="23" spans="1:30" x14ac:dyDescent="0.25">
      <c r="A23" s="311"/>
      <c r="B23" s="160">
        <v>46132</v>
      </c>
      <c r="C23" s="14" t="s">
        <v>656</v>
      </c>
      <c r="D23" s="27"/>
      <c r="F23" s="35"/>
      <c r="I23" s="31"/>
      <c r="J23" s="13"/>
      <c r="K23" s="35"/>
      <c r="M23" s="35"/>
      <c r="N23" s="35"/>
      <c r="O23" s="35"/>
      <c r="P23" s="14">
        <v>40</v>
      </c>
      <c r="Q23" s="27"/>
      <c r="U23" s="31"/>
      <c r="V23" s="13"/>
      <c r="AA23" s="31"/>
      <c r="AB23" s="13"/>
      <c r="AC23" s="31"/>
      <c r="AD23" s="15"/>
    </row>
    <row r="24" spans="1:30" x14ac:dyDescent="0.25">
      <c r="A24" s="311"/>
      <c r="B24" s="160">
        <v>46132</v>
      </c>
      <c r="C24" s="14" t="s">
        <v>657</v>
      </c>
      <c r="D24" s="27"/>
      <c r="F24" s="35"/>
      <c r="I24" s="31"/>
      <c r="J24" s="13"/>
      <c r="K24" s="35"/>
      <c r="M24" s="35"/>
      <c r="N24" s="35"/>
      <c r="O24" s="35"/>
      <c r="P24" s="14"/>
      <c r="Q24" s="27"/>
      <c r="U24" s="31"/>
      <c r="V24" s="13">
        <v>50</v>
      </c>
      <c r="AA24" s="31"/>
      <c r="AB24" s="13"/>
      <c r="AC24" s="31"/>
      <c r="AD24" s="15"/>
    </row>
    <row r="25" spans="1:30" x14ac:dyDescent="0.25">
      <c r="A25" s="311"/>
      <c r="B25" s="160">
        <v>46132</v>
      </c>
      <c r="C25" s="14" t="s">
        <v>561</v>
      </c>
      <c r="D25" s="27"/>
      <c r="F25" s="35"/>
      <c r="I25" s="31"/>
      <c r="J25" s="13"/>
      <c r="K25" s="35"/>
      <c r="M25" s="35"/>
      <c r="N25" s="35"/>
      <c r="O25" s="35"/>
      <c r="P25" s="14"/>
      <c r="Q25" s="27"/>
      <c r="T25">
        <v>600</v>
      </c>
      <c r="U25" s="31"/>
      <c r="V25" s="13"/>
      <c r="AA25" s="31"/>
      <c r="AB25" s="13"/>
      <c r="AC25" s="31"/>
      <c r="AD25" s="15"/>
    </row>
    <row r="26" spans="1:30" ht="16.5" customHeight="1" x14ac:dyDescent="0.25">
      <c r="A26" s="311"/>
      <c r="B26" s="160">
        <v>46132</v>
      </c>
      <c r="C26" s="14" t="s">
        <v>658</v>
      </c>
      <c r="D26" s="27"/>
      <c r="F26" s="35"/>
      <c r="I26" s="31"/>
      <c r="J26" s="13"/>
      <c r="K26" s="35">
        <v>500</v>
      </c>
      <c r="M26" s="35"/>
      <c r="N26" s="35"/>
      <c r="O26" s="35"/>
      <c r="P26" s="14"/>
      <c r="Q26" s="27"/>
      <c r="U26" s="31"/>
      <c r="V26" s="13"/>
      <c r="AA26" s="31"/>
      <c r="AB26" s="13"/>
      <c r="AC26" s="31"/>
      <c r="AD26" s="15"/>
    </row>
    <row r="27" spans="1:30" x14ac:dyDescent="0.25">
      <c r="A27" s="311"/>
      <c r="B27" s="160">
        <v>46133</v>
      </c>
      <c r="C27" s="14" t="s">
        <v>660</v>
      </c>
      <c r="D27" s="27"/>
      <c r="F27" s="35">
        <v>2600</v>
      </c>
      <c r="I27" s="31"/>
      <c r="J27" s="13"/>
      <c r="K27" s="35"/>
      <c r="M27" s="35"/>
      <c r="N27" s="35"/>
      <c r="O27" s="35"/>
      <c r="P27" s="14"/>
      <c r="Q27" s="27"/>
      <c r="U27" s="31"/>
      <c r="V27" s="13"/>
      <c r="AA27" s="31"/>
      <c r="AB27" s="13"/>
      <c r="AC27" s="31"/>
      <c r="AD27" s="15"/>
    </row>
    <row r="28" spans="1:30" x14ac:dyDescent="0.25">
      <c r="A28" s="311"/>
      <c r="B28" s="160">
        <v>46133</v>
      </c>
      <c r="C28" s="14" t="s">
        <v>550</v>
      </c>
      <c r="D28" s="27"/>
      <c r="F28" s="35"/>
      <c r="I28" s="31"/>
      <c r="J28" s="13"/>
      <c r="K28" s="35"/>
      <c r="M28" s="35">
        <v>200</v>
      </c>
      <c r="N28" s="35"/>
      <c r="O28" s="35"/>
      <c r="P28" s="14"/>
      <c r="Q28" s="27"/>
      <c r="U28" s="31"/>
      <c r="V28" s="13"/>
      <c r="AA28" s="31"/>
      <c r="AB28" s="13"/>
      <c r="AC28" s="31"/>
      <c r="AD28" s="15"/>
    </row>
    <row r="29" spans="1:30" x14ac:dyDescent="0.25">
      <c r="A29" s="311"/>
      <c r="B29" s="160">
        <v>46133</v>
      </c>
      <c r="C29" s="14" t="s">
        <v>269</v>
      </c>
      <c r="D29" s="27"/>
      <c r="F29" s="35"/>
      <c r="I29" s="31"/>
      <c r="J29" s="13"/>
      <c r="K29" s="35"/>
      <c r="M29" s="35"/>
      <c r="N29" s="35"/>
      <c r="O29" s="35"/>
      <c r="P29" s="14">
        <v>1500</v>
      </c>
      <c r="Q29" s="27"/>
      <c r="U29" s="31"/>
      <c r="V29" s="13"/>
      <c r="AA29" s="31"/>
      <c r="AB29" s="13"/>
      <c r="AC29" s="31"/>
      <c r="AD29" s="15"/>
    </row>
    <row r="30" spans="1:30" x14ac:dyDescent="0.25">
      <c r="A30" s="311"/>
      <c r="B30" s="160">
        <v>46133</v>
      </c>
      <c r="C30" s="14" t="s">
        <v>667</v>
      </c>
      <c r="D30" s="27"/>
      <c r="F30" s="35"/>
      <c r="I30" s="31"/>
      <c r="J30" s="13"/>
      <c r="K30" s="35"/>
      <c r="M30" s="35"/>
      <c r="N30" s="35"/>
      <c r="O30" s="35"/>
      <c r="P30" s="14"/>
      <c r="Q30" s="27"/>
      <c r="T30">
        <v>145</v>
      </c>
      <c r="U30" s="31"/>
      <c r="V30" s="13"/>
      <c r="AA30" s="31"/>
      <c r="AB30" s="13"/>
      <c r="AC30" s="31"/>
      <c r="AD30" s="15"/>
    </row>
    <row r="31" spans="1:30" x14ac:dyDescent="0.25">
      <c r="A31" s="311"/>
      <c r="B31" s="160">
        <v>46134</v>
      </c>
      <c r="C31" s="14" t="s">
        <v>682</v>
      </c>
      <c r="D31" s="27">
        <v>500</v>
      </c>
      <c r="F31" s="35"/>
      <c r="I31" s="31"/>
      <c r="J31" s="13"/>
      <c r="K31" s="35"/>
      <c r="M31" s="35"/>
      <c r="N31" s="35"/>
      <c r="O31" s="35"/>
      <c r="P31" s="14"/>
      <c r="Q31" s="27"/>
      <c r="U31" s="31"/>
      <c r="V31" s="13"/>
      <c r="AA31" s="31"/>
      <c r="AB31" s="13"/>
      <c r="AC31" s="31"/>
      <c r="AD31" s="15"/>
    </row>
    <row r="32" spans="1:30" x14ac:dyDescent="0.25">
      <c r="A32" s="311"/>
      <c r="B32" s="160">
        <v>46134</v>
      </c>
      <c r="C32" s="14" t="s">
        <v>683</v>
      </c>
      <c r="D32" s="27"/>
      <c r="F32" s="35"/>
      <c r="I32" s="31"/>
      <c r="J32" s="13">
        <v>250</v>
      </c>
      <c r="K32" s="35"/>
      <c r="M32" s="35"/>
      <c r="N32" s="35"/>
      <c r="O32" s="35"/>
      <c r="P32" s="14"/>
      <c r="Q32" s="27"/>
      <c r="U32" s="31"/>
      <c r="V32" s="13"/>
      <c r="AA32" s="31"/>
      <c r="AB32" s="13"/>
      <c r="AC32" s="31"/>
      <c r="AD32" s="15"/>
    </row>
    <row r="33" spans="1:239" x14ac:dyDescent="0.25">
      <c r="A33" s="311"/>
      <c r="B33" s="160">
        <v>46134</v>
      </c>
      <c r="C33" s="14" t="s">
        <v>689</v>
      </c>
      <c r="D33" s="27"/>
      <c r="F33" s="35"/>
      <c r="I33" s="31"/>
      <c r="J33" s="13"/>
      <c r="K33" s="35">
        <v>2000</v>
      </c>
      <c r="M33" s="35"/>
      <c r="N33" s="35"/>
      <c r="O33" s="35"/>
      <c r="P33" s="14"/>
      <c r="Q33" s="27"/>
      <c r="U33" s="31"/>
      <c r="V33" s="13"/>
      <c r="AA33" s="31"/>
      <c r="AB33" s="13"/>
      <c r="AC33" s="31"/>
      <c r="AD33" s="15"/>
    </row>
    <row r="34" spans="1:239" x14ac:dyDescent="0.25">
      <c r="A34" s="311"/>
      <c r="B34" s="160">
        <v>46135</v>
      </c>
      <c r="C34" s="14" t="s">
        <v>561</v>
      </c>
      <c r="D34" s="27"/>
      <c r="F34" s="35"/>
      <c r="I34" s="31"/>
      <c r="J34" s="13"/>
      <c r="K34" s="35"/>
      <c r="M34" s="35"/>
      <c r="N34" s="35"/>
      <c r="O34" s="35"/>
      <c r="P34" s="14"/>
      <c r="Q34" s="27"/>
      <c r="U34" s="31"/>
      <c r="V34" s="13"/>
      <c r="AA34" s="31"/>
      <c r="AB34" s="13"/>
      <c r="AC34" s="31"/>
      <c r="AD34" s="15"/>
    </row>
    <row r="35" spans="1:239" x14ac:dyDescent="0.25">
      <c r="A35" s="311"/>
      <c r="B35" s="160">
        <v>46135</v>
      </c>
      <c r="C35" s="14" t="s">
        <v>689</v>
      </c>
      <c r="D35" s="27"/>
      <c r="F35" s="35"/>
      <c r="I35" s="31"/>
      <c r="J35" s="13"/>
      <c r="K35" s="35">
        <v>2000</v>
      </c>
      <c r="M35" s="35"/>
      <c r="N35" s="35"/>
      <c r="O35" s="35"/>
      <c r="P35" s="14"/>
      <c r="Q35" s="27"/>
      <c r="U35" s="31"/>
      <c r="V35" s="13">
        <v>600</v>
      </c>
      <c r="AA35" s="31"/>
      <c r="AB35" s="13"/>
      <c r="AC35" s="31"/>
      <c r="AD35" s="15"/>
    </row>
    <row r="36" spans="1:239" x14ac:dyDescent="0.25">
      <c r="A36" s="311"/>
      <c r="B36" s="160">
        <v>46135</v>
      </c>
      <c r="C36" s="14" t="s">
        <v>692</v>
      </c>
      <c r="D36" s="27"/>
      <c r="F36" s="35"/>
      <c r="I36" s="31"/>
      <c r="J36" s="13"/>
      <c r="K36" s="35"/>
      <c r="M36" s="35"/>
      <c r="N36" s="35"/>
      <c r="O36" s="35"/>
      <c r="P36" s="14"/>
      <c r="Q36" s="27"/>
      <c r="U36" s="31"/>
      <c r="V36" s="13"/>
      <c r="Y36">
        <v>50</v>
      </c>
      <c r="AA36" s="31"/>
      <c r="AB36" s="13"/>
      <c r="AC36" s="31"/>
      <c r="AD36" s="15"/>
    </row>
    <row r="37" spans="1:239" x14ac:dyDescent="0.25">
      <c r="A37" s="311"/>
      <c r="B37" s="160">
        <v>46135</v>
      </c>
      <c r="C37" s="14" t="s">
        <v>693</v>
      </c>
      <c r="D37" s="27"/>
      <c r="F37" s="35"/>
      <c r="I37" s="31"/>
      <c r="J37" s="13"/>
      <c r="K37" s="35"/>
      <c r="M37" s="35"/>
      <c r="N37" s="35"/>
      <c r="O37" s="35"/>
      <c r="P37" s="14"/>
      <c r="Q37" s="27"/>
      <c r="U37" s="31"/>
      <c r="V37" s="13"/>
      <c r="W37">
        <v>41</v>
      </c>
      <c r="X37">
        <v>102</v>
      </c>
      <c r="Y37">
        <v>115</v>
      </c>
      <c r="AA37" s="31"/>
      <c r="AB37" s="13"/>
      <c r="AC37" s="31"/>
      <c r="AD37" s="15"/>
    </row>
    <row r="38" spans="1:239" x14ac:dyDescent="0.25">
      <c r="A38" s="311"/>
      <c r="B38" s="160">
        <v>46135</v>
      </c>
      <c r="C38" s="14" t="s">
        <v>694</v>
      </c>
      <c r="D38" s="27"/>
      <c r="F38" s="35"/>
      <c r="I38" s="31"/>
      <c r="J38" s="13"/>
      <c r="K38" s="35">
        <v>200</v>
      </c>
      <c r="M38" s="35"/>
      <c r="N38" s="35"/>
      <c r="O38" s="35"/>
      <c r="P38" s="14"/>
      <c r="Q38" s="27"/>
      <c r="U38" s="31"/>
      <c r="V38" s="13"/>
      <c r="AA38" s="31"/>
      <c r="AB38" s="13"/>
      <c r="AC38" s="31"/>
      <c r="AD38" s="15"/>
    </row>
    <row r="39" spans="1:239" x14ac:dyDescent="0.25">
      <c r="A39" s="311"/>
      <c r="B39" s="160">
        <v>46136</v>
      </c>
      <c r="C39" s="14" t="s">
        <v>705</v>
      </c>
      <c r="D39" s="27"/>
      <c r="F39" s="35"/>
      <c r="I39" s="31"/>
      <c r="J39" s="13">
        <v>200</v>
      </c>
      <c r="K39" s="35"/>
      <c r="M39" s="35"/>
      <c r="N39" s="35"/>
      <c r="O39" s="35"/>
      <c r="P39" s="14"/>
      <c r="Q39" s="27"/>
      <c r="U39" s="31"/>
      <c r="V39" s="13"/>
      <c r="AA39" s="31"/>
      <c r="AB39" s="13"/>
      <c r="AC39" s="31"/>
      <c r="AD39" s="15"/>
    </row>
    <row r="40" spans="1:239" x14ac:dyDescent="0.25">
      <c r="A40" s="311"/>
      <c r="B40" s="160">
        <v>46136</v>
      </c>
      <c r="C40" s="14" t="s">
        <v>706</v>
      </c>
      <c r="D40" s="27"/>
      <c r="F40" s="35"/>
      <c r="I40" s="31"/>
      <c r="J40" s="13"/>
      <c r="K40" s="35"/>
      <c r="M40" s="35"/>
      <c r="N40" s="35"/>
      <c r="O40" s="35">
        <v>174</v>
      </c>
      <c r="P40" s="14"/>
      <c r="Q40" s="27"/>
      <c r="U40" s="31"/>
      <c r="V40" s="13"/>
      <c r="AA40" s="31"/>
      <c r="AB40" s="13"/>
      <c r="AC40" s="31"/>
      <c r="AD40" s="15"/>
    </row>
    <row r="41" spans="1:239" x14ac:dyDescent="0.25">
      <c r="A41" s="311"/>
      <c r="B41" s="160">
        <v>46136</v>
      </c>
      <c r="C41" s="14" t="s">
        <v>693</v>
      </c>
      <c r="D41" s="27"/>
      <c r="F41" s="35"/>
      <c r="I41" s="31"/>
      <c r="J41" s="13"/>
      <c r="K41" s="35"/>
      <c r="M41" s="35"/>
      <c r="N41" s="35"/>
      <c r="O41" s="35"/>
      <c r="P41" s="14"/>
      <c r="Q41" s="27"/>
      <c r="U41" s="31"/>
      <c r="V41" s="13"/>
      <c r="AA41" s="31"/>
      <c r="AB41" s="13">
        <v>100</v>
      </c>
      <c r="AC41" s="31"/>
      <c r="AD41" s="15"/>
    </row>
    <row r="42" spans="1:239" x14ac:dyDescent="0.25">
      <c r="A42" s="311"/>
      <c r="B42" s="160">
        <v>46137</v>
      </c>
      <c r="C42" s="14" t="s">
        <v>710</v>
      </c>
      <c r="D42" s="27"/>
      <c r="F42" s="35"/>
      <c r="I42" s="31"/>
      <c r="J42" s="13"/>
      <c r="K42" s="35"/>
      <c r="M42" s="35"/>
      <c r="N42" s="35"/>
      <c r="O42" s="35"/>
      <c r="P42" s="14"/>
      <c r="Q42" s="27"/>
      <c r="U42" s="31"/>
      <c r="V42" s="13">
        <v>650</v>
      </c>
      <c r="AA42" s="31"/>
      <c r="AB42" s="13"/>
      <c r="AC42" s="31"/>
      <c r="AD42" s="15"/>
    </row>
    <row r="43" spans="1:239" x14ac:dyDescent="0.25">
      <c r="A43" s="311"/>
      <c r="B43" s="160">
        <v>46137</v>
      </c>
      <c r="C43" s="14" t="s">
        <v>711</v>
      </c>
      <c r="D43" s="27">
        <v>500</v>
      </c>
      <c r="F43" s="35"/>
      <c r="I43" s="31"/>
      <c r="J43" s="13"/>
      <c r="K43" s="35"/>
      <c r="M43" s="35"/>
      <c r="N43" s="35"/>
      <c r="O43" s="35"/>
      <c r="P43" s="14"/>
      <c r="Q43" s="27"/>
      <c r="U43" s="31"/>
      <c r="V43" s="13"/>
      <c r="AA43" s="31"/>
      <c r="AB43" s="13"/>
      <c r="AC43" s="31"/>
      <c r="AD43" s="15"/>
    </row>
    <row r="44" spans="1:239" x14ac:dyDescent="0.25">
      <c r="A44" s="311"/>
      <c r="B44" s="160"/>
      <c r="C44" s="14"/>
      <c r="D44" s="27"/>
      <c r="F44" s="35"/>
      <c r="I44" s="31"/>
      <c r="J44" s="13"/>
      <c r="K44" s="35"/>
      <c r="M44" s="35"/>
      <c r="N44" s="35"/>
      <c r="O44" s="35"/>
      <c r="P44" s="14"/>
      <c r="Q44" s="27"/>
      <c r="U44" s="31"/>
      <c r="V44" s="13"/>
      <c r="AA44" s="31"/>
      <c r="AB44" s="13"/>
      <c r="AC44" s="31"/>
      <c r="AD44" s="15"/>
    </row>
    <row r="45" spans="1:239" x14ac:dyDescent="0.25">
      <c r="A45" s="311"/>
      <c r="B45" s="160"/>
      <c r="C45" s="14"/>
      <c r="D45" s="27"/>
      <c r="F45" s="35"/>
      <c r="I45" s="31"/>
      <c r="J45" s="13"/>
      <c r="K45" s="35"/>
      <c r="M45" s="35"/>
      <c r="N45" s="35"/>
      <c r="O45" s="35"/>
      <c r="P45" s="14"/>
      <c r="Q45" s="27"/>
      <c r="U45" s="31"/>
      <c r="V45" s="13"/>
      <c r="AA45" s="31"/>
      <c r="AB45" s="13"/>
      <c r="AC45" s="31"/>
      <c r="AD45" s="15"/>
    </row>
    <row r="46" spans="1:239" x14ac:dyDescent="0.25">
      <c r="A46" s="311"/>
      <c r="B46" s="20"/>
      <c r="C46" s="14"/>
      <c r="D46" s="27"/>
      <c r="F46" s="35"/>
      <c r="I46" s="31"/>
      <c r="J46" s="13"/>
      <c r="K46" s="35"/>
      <c r="M46" s="35"/>
      <c r="N46" s="35"/>
      <c r="O46" s="35"/>
      <c r="P46" s="14"/>
      <c r="Q46" s="27"/>
      <c r="U46" s="31"/>
      <c r="V46" s="13"/>
      <c r="AA46" s="31"/>
      <c r="AB46" s="13"/>
      <c r="AC46" s="31"/>
      <c r="AD46" s="15"/>
    </row>
    <row r="47" spans="1:239" s="52" customFormat="1" x14ac:dyDescent="0.25">
      <c r="A47" s="311"/>
      <c r="B47" s="114"/>
      <c r="C47" s="105" t="s">
        <v>137</v>
      </c>
      <c r="D47" s="83"/>
      <c r="I47" s="105"/>
      <c r="J47" s="83"/>
      <c r="K47" s="52">
        <v>254</v>
      </c>
      <c r="P47" s="105"/>
      <c r="Q47" s="83"/>
      <c r="U47" s="105"/>
      <c r="V47" s="83"/>
      <c r="W47" s="52">
        <v>13</v>
      </c>
      <c r="AA47" s="105"/>
      <c r="AB47" s="83"/>
      <c r="AC47" s="105"/>
      <c r="AD47" s="115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</row>
    <row r="48" spans="1:239" x14ac:dyDescent="0.25">
      <c r="A48" s="311"/>
      <c r="B48" s="20"/>
      <c r="C48" s="14"/>
      <c r="D48" s="27"/>
      <c r="F48" s="35"/>
      <c r="I48" s="31"/>
      <c r="J48" s="13"/>
      <c r="K48" s="35"/>
      <c r="M48" s="35"/>
      <c r="N48" s="35"/>
      <c r="O48" s="35"/>
      <c r="P48" s="14"/>
      <c r="Q48" s="27"/>
      <c r="U48" s="31"/>
      <c r="V48" s="13"/>
      <c r="AA48" s="31"/>
      <c r="AB48" s="13"/>
      <c r="AC48" s="31"/>
      <c r="AD48" s="15"/>
    </row>
    <row r="49" spans="1:35" ht="15.75" thickBot="1" x14ac:dyDescent="0.3">
      <c r="A49" s="312"/>
      <c r="B49" s="13"/>
      <c r="C49" s="14"/>
      <c r="D49" s="27"/>
      <c r="F49" s="35"/>
      <c r="I49" s="31"/>
      <c r="J49" s="13"/>
      <c r="K49" s="35"/>
      <c r="M49" s="35"/>
      <c r="N49" s="35"/>
      <c r="O49" s="35"/>
      <c r="P49" s="14"/>
      <c r="Q49" s="27"/>
      <c r="U49" s="31"/>
      <c r="V49" s="13"/>
      <c r="AA49" s="31"/>
      <c r="AB49" s="13"/>
      <c r="AC49" s="31"/>
      <c r="AD49" s="15"/>
      <c r="AH49">
        <f>0.3*400</f>
        <v>120</v>
      </c>
    </row>
    <row r="50" spans="1:35" ht="21.75" thickBot="1" x14ac:dyDescent="0.3">
      <c r="A50" s="21" t="s">
        <v>23</v>
      </c>
      <c r="B50" s="22"/>
      <c r="C50" s="23"/>
      <c r="D50" s="29">
        <f t="shared" ref="D50:AD50" si="0">SUM(D4:D16)-SUM(D17:D49)</f>
        <v>500</v>
      </c>
      <c r="E50" s="22">
        <f t="shared" si="0"/>
        <v>47</v>
      </c>
      <c r="F50" s="37">
        <f t="shared" si="0"/>
        <v>1261</v>
      </c>
      <c r="G50" s="24">
        <f t="shared" si="0"/>
        <v>140</v>
      </c>
      <c r="H50" s="24">
        <f t="shared" si="0"/>
        <v>52</v>
      </c>
      <c r="I50" s="33">
        <f t="shared" si="0"/>
        <v>0</v>
      </c>
      <c r="J50" s="22">
        <f t="shared" si="0"/>
        <v>10</v>
      </c>
      <c r="K50" s="37">
        <f t="shared" si="0"/>
        <v>606</v>
      </c>
      <c r="L50" s="24">
        <f t="shared" si="0"/>
        <v>181</v>
      </c>
      <c r="M50" s="37">
        <f t="shared" si="0"/>
        <v>13121</v>
      </c>
      <c r="N50" s="37">
        <f t="shared" si="0"/>
        <v>47</v>
      </c>
      <c r="O50" s="37">
        <f t="shared" si="0"/>
        <v>7066</v>
      </c>
      <c r="P50" s="23">
        <f t="shared" si="0"/>
        <v>1410</v>
      </c>
      <c r="Q50" s="29">
        <f t="shared" si="0"/>
        <v>452</v>
      </c>
      <c r="R50" s="29">
        <f t="shared" si="0"/>
        <v>0</v>
      </c>
      <c r="S50" s="29">
        <f t="shared" si="0"/>
        <v>1670</v>
      </c>
      <c r="T50" s="107">
        <f t="shared" si="0"/>
        <v>365</v>
      </c>
      <c r="U50" s="33">
        <f t="shared" si="0"/>
        <v>0</v>
      </c>
      <c r="V50" s="22">
        <f>SUM(V4:V16)-SUM(V17:V49)</f>
        <v>1643</v>
      </c>
      <c r="W50" s="22">
        <f t="shared" si="0"/>
        <v>0</v>
      </c>
      <c r="X50" s="22">
        <f t="shared" si="0"/>
        <v>0</v>
      </c>
      <c r="Y50" s="22">
        <f t="shared" si="0"/>
        <v>0</v>
      </c>
      <c r="Z50" s="22">
        <f t="shared" si="0"/>
        <v>0</v>
      </c>
      <c r="AA50" s="33">
        <f t="shared" si="0"/>
        <v>0</v>
      </c>
      <c r="AB50" s="22">
        <f t="shared" si="0"/>
        <v>900</v>
      </c>
      <c r="AC50" s="33">
        <f t="shared" si="0"/>
        <v>0</v>
      </c>
      <c r="AD50" s="25">
        <f t="shared" si="0"/>
        <v>35</v>
      </c>
    </row>
    <row r="52" spans="1:35" x14ac:dyDescent="0.25">
      <c r="C52" t="s">
        <v>176</v>
      </c>
      <c r="D52">
        <v>0.6</v>
      </c>
      <c r="E52">
        <v>0.55000000000000004</v>
      </c>
      <c r="F52">
        <v>0.71</v>
      </c>
      <c r="G52">
        <v>0.65</v>
      </c>
      <c r="H52">
        <v>0.65</v>
      </c>
      <c r="I52">
        <v>0.74</v>
      </c>
      <c r="J52">
        <v>0.84</v>
      </c>
      <c r="K52">
        <v>0.86</v>
      </c>
      <c r="L52" s="50">
        <f>0.95+0.1</f>
        <v>1.05</v>
      </c>
      <c r="M52">
        <v>1.02</v>
      </c>
      <c r="N52">
        <v>0.82</v>
      </c>
      <c r="O52">
        <v>0.92</v>
      </c>
      <c r="P52">
        <v>0.82</v>
      </c>
      <c r="Q52">
        <v>2.75</v>
      </c>
      <c r="R52">
        <v>2.6</v>
      </c>
      <c r="S52">
        <v>2.8</v>
      </c>
      <c r="T52">
        <v>2.6</v>
      </c>
      <c r="U52">
        <v>2.4</v>
      </c>
      <c r="V52">
        <v>2.7</v>
      </c>
      <c r="W52">
        <v>2.5499999999999998</v>
      </c>
      <c r="X52">
        <v>2.9</v>
      </c>
      <c r="Y52">
        <v>2.85</v>
      </c>
      <c r="Z52">
        <v>2.7</v>
      </c>
      <c r="AA52">
        <f>+AA50*2.15</f>
        <v>0</v>
      </c>
      <c r="AB52">
        <v>0.6</v>
      </c>
      <c r="AC52">
        <f>+AC50*0.34</f>
        <v>0</v>
      </c>
      <c r="AD52" s="109"/>
    </row>
    <row r="53" spans="1:35" x14ac:dyDescent="0.25">
      <c r="D53">
        <f>+D50*D52</f>
        <v>300</v>
      </c>
      <c r="E53">
        <f>+E50*E52</f>
        <v>25.85</v>
      </c>
      <c r="F53">
        <f t="shared" ref="F53:AD53" si="1">+F50*F52</f>
        <v>895.31</v>
      </c>
      <c r="G53">
        <f t="shared" si="1"/>
        <v>91</v>
      </c>
      <c r="H53">
        <f t="shared" si="1"/>
        <v>33.800000000000004</v>
      </c>
      <c r="I53">
        <f t="shared" si="1"/>
        <v>0</v>
      </c>
      <c r="J53">
        <f t="shared" si="1"/>
        <v>8.4</v>
      </c>
      <c r="K53">
        <f t="shared" si="1"/>
        <v>521.16</v>
      </c>
      <c r="L53">
        <f t="shared" si="1"/>
        <v>190.05</v>
      </c>
      <c r="M53">
        <f t="shared" si="1"/>
        <v>13383.42</v>
      </c>
      <c r="N53">
        <f>N50*N52</f>
        <v>38.54</v>
      </c>
      <c r="O53">
        <f t="shared" si="1"/>
        <v>6500.72</v>
      </c>
      <c r="P53">
        <f t="shared" si="1"/>
        <v>1156.1999999999998</v>
      </c>
      <c r="Q53">
        <f t="shared" si="1"/>
        <v>1243</v>
      </c>
      <c r="R53">
        <f t="shared" si="1"/>
        <v>0</v>
      </c>
      <c r="S53">
        <f t="shared" si="1"/>
        <v>4676</v>
      </c>
      <c r="T53">
        <f t="shared" si="1"/>
        <v>949</v>
      </c>
      <c r="U53">
        <f t="shared" si="1"/>
        <v>0</v>
      </c>
      <c r="V53">
        <f t="shared" si="1"/>
        <v>4436.1000000000004</v>
      </c>
      <c r="W53">
        <f t="shared" si="1"/>
        <v>0</v>
      </c>
      <c r="X53">
        <f t="shared" si="1"/>
        <v>0</v>
      </c>
      <c r="Y53">
        <f>Y50*Y52</f>
        <v>0</v>
      </c>
      <c r="AA53">
        <f t="shared" si="1"/>
        <v>0</v>
      </c>
      <c r="AB53">
        <f t="shared" si="1"/>
        <v>540</v>
      </c>
      <c r="AD53">
        <f t="shared" si="1"/>
        <v>0</v>
      </c>
      <c r="AE53" s="52">
        <f>SUM(D53:AD53)</f>
        <v>34988.550000000003</v>
      </c>
    </row>
    <row r="54" spans="1:35" x14ac:dyDescent="0.25"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103"/>
      <c r="U54" s="39"/>
      <c r="V54" s="39"/>
      <c r="W54" s="39"/>
      <c r="X54" s="39"/>
      <c r="Y54" s="39"/>
      <c r="Z54" s="39"/>
      <c r="AA54" s="39"/>
      <c r="AB54" s="39"/>
      <c r="AC54" s="39"/>
      <c r="AD54" s="39"/>
    </row>
    <row r="55" spans="1:35" x14ac:dyDescent="0.25"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103"/>
      <c r="U55" s="39"/>
      <c r="V55" s="39"/>
      <c r="W55" s="39"/>
      <c r="X55" s="39"/>
      <c r="Y55" s="39"/>
      <c r="Z55" s="39"/>
      <c r="AA55" s="39"/>
      <c r="AB55" s="39"/>
      <c r="AC55" s="39"/>
      <c r="AD55" s="39"/>
    </row>
    <row r="56" spans="1:35" x14ac:dyDescent="0.25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 t="s">
        <v>668</v>
      </c>
      <c r="T56" s="103"/>
      <c r="U56" s="39"/>
      <c r="V56" s="39"/>
      <c r="W56" s="39"/>
      <c r="X56" s="39"/>
      <c r="Y56" s="39">
        <v>115</v>
      </c>
      <c r="Z56" s="39"/>
      <c r="AA56" s="39"/>
      <c r="AB56" s="39"/>
      <c r="AC56" s="39"/>
      <c r="AD56" s="39"/>
    </row>
    <row r="57" spans="1:35" x14ac:dyDescent="0.25">
      <c r="C57" s="39"/>
      <c r="D57" s="39"/>
      <c r="E57" s="101"/>
      <c r="F57" s="101"/>
      <c r="G57" s="101"/>
      <c r="H57" s="101"/>
      <c r="I57" s="39"/>
      <c r="J57" s="101"/>
      <c r="K57" s="39"/>
      <c r="L57" s="39"/>
      <c r="M57" s="101"/>
      <c r="N57" s="39"/>
      <c r="O57" s="101"/>
      <c r="P57" s="39"/>
      <c r="Q57" s="101"/>
      <c r="R57" s="39"/>
      <c r="S57" s="39"/>
      <c r="T57" s="103"/>
      <c r="U57" s="39"/>
      <c r="V57" s="39"/>
      <c r="W57" s="39"/>
      <c r="X57" s="39"/>
      <c r="Y57" s="39">
        <v>164</v>
      </c>
      <c r="Z57" s="39"/>
      <c r="AA57" s="39"/>
      <c r="AB57" s="39"/>
      <c r="AC57" s="39"/>
      <c r="AD57" s="39"/>
    </row>
    <row r="58" spans="1:35" x14ac:dyDescent="0.25">
      <c r="C58" s="39"/>
      <c r="D58" s="39"/>
      <c r="E58" s="39"/>
      <c r="F58" s="39"/>
      <c r="G58" s="39"/>
      <c r="H58" s="39"/>
      <c r="I58" s="39"/>
      <c r="K58" s="60"/>
      <c r="T58" s="85"/>
      <c r="V58" s="84"/>
      <c r="X58" t="s">
        <v>139</v>
      </c>
    </row>
    <row r="59" spans="1:35" x14ac:dyDescent="0.25">
      <c r="C59" s="39"/>
      <c r="D59" s="39"/>
      <c r="E59" s="39"/>
      <c r="F59" s="39"/>
      <c r="G59" s="39"/>
      <c r="H59" s="39"/>
      <c r="I59" s="39"/>
      <c r="L59" s="60"/>
      <c r="T59" s="60"/>
      <c r="X59" t="s">
        <v>669</v>
      </c>
    </row>
    <row r="60" spans="1:35" x14ac:dyDescent="0.25">
      <c r="Y60">
        <f>SUM(Y56:Y58)</f>
        <v>279</v>
      </c>
    </row>
    <row r="61" spans="1:35" x14ac:dyDescent="0.25">
      <c r="AH61" t="s">
        <v>130</v>
      </c>
      <c r="AI61">
        <v>1667</v>
      </c>
    </row>
    <row r="62" spans="1:35" x14ac:dyDescent="0.25">
      <c r="Z62">
        <f>340-279</f>
        <v>61</v>
      </c>
      <c r="AI62">
        <v>1070</v>
      </c>
    </row>
    <row r="63" spans="1:35" x14ac:dyDescent="0.25">
      <c r="W63" t="s">
        <v>139</v>
      </c>
      <c r="AI63">
        <f>AI61-AI62</f>
        <v>597</v>
      </c>
    </row>
    <row r="64" spans="1:35" x14ac:dyDescent="0.25">
      <c r="J64">
        <f>3670+1320-7150</f>
        <v>-2160</v>
      </c>
      <c r="K64">
        <f>12700+870+980+24320+600</f>
        <v>39470</v>
      </c>
      <c r="L64">
        <f>38950+1000+1080+600</f>
        <v>41630</v>
      </c>
      <c r="M64">
        <f>23176+4500+600+1000+35680+3900</f>
        <v>68856</v>
      </c>
    </row>
    <row r="65" spans="10:35" x14ac:dyDescent="0.25">
      <c r="J65">
        <v>5800</v>
      </c>
      <c r="K65">
        <v>5800</v>
      </c>
      <c r="L65">
        <v>5100</v>
      </c>
      <c r="M65">
        <v>5100</v>
      </c>
    </row>
    <row r="66" spans="10:35" x14ac:dyDescent="0.25">
      <c r="J66">
        <v>42702</v>
      </c>
      <c r="K66">
        <v>0</v>
      </c>
      <c r="L66">
        <v>0</v>
      </c>
      <c r="M66">
        <f>1081-340</f>
        <v>741</v>
      </c>
    </row>
    <row r="67" spans="10:35" x14ac:dyDescent="0.25">
      <c r="J67">
        <v>0</v>
      </c>
      <c r="L67">
        <v>0</v>
      </c>
      <c r="M67">
        <v>0</v>
      </c>
      <c r="X67">
        <f>72+92</f>
        <v>164</v>
      </c>
      <c r="AH67" t="s">
        <v>149</v>
      </c>
      <c r="AI67">
        <v>14352</v>
      </c>
    </row>
    <row r="68" spans="10:35" x14ac:dyDescent="0.25">
      <c r="J68">
        <v>1140</v>
      </c>
      <c r="K68">
        <v>1140</v>
      </c>
      <c r="L68">
        <v>0</v>
      </c>
      <c r="M68">
        <v>0</v>
      </c>
      <c r="AI68">
        <v>-14547</v>
      </c>
    </row>
    <row r="69" spans="10:35" x14ac:dyDescent="0.25">
      <c r="J69">
        <v>-4815</v>
      </c>
      <c r="K69">
        <v>-3609</v>
      </c>
      <c r="L69">
        <v>-3609</v>
      </c>
      <c r="M69">
        <f>-1324-1120</f>
        <v>-2444</v>
      </c>
      <c r="Y69">
        <f>70+92</f>
        <v>162</v>
      </c>
    </row>
    <row r="70" spans="10:35" x14ac:dyDescent="0.25">
      <c r="M70">
        <f>-2336.5*12</f>
        <v>-28038</v>
      </c>
      <c r="AI70">
        <f>SUM(AI67:AI69)</f>
        <v>-195</v>
      </c>
    </row>
    <row r="72" spans="10:35" x14ac:dyDescent="0.25">
      <c r="J72">
        <f>SUM(J64:J69)</f>
        <v>42667</v>
      </c>
      <c r="K72">
        <f>SUM(K64:K71)</f>
        <v>42801</v>
      </c>
      <c r="L72">
        <f>SUM(L64:L71)</f>
        <v>43121</v>
      </c>
      <c r="M72">
        <f>SUM(M64:M71)</f>
        <v>44215</v>
      </c>
    </row>
    <row r="73" spans="10:35" x14ac:dyDescent="0.25">
      <c r="J73">
        <v>100</v>
      </c>
      <c r="K73">
        <v>100</v>
      </c>
      <c r="AH73" t="s">
        <v>158</v>
      </c>
    </row>
    <row r="74" spans="10:35" x14ac:dyDescent="0.25">
      <c r="J74">
        <f>+J72-J73</f>
        <v>42567</v>
      </c>
      <c r="K74">
        <f>+K72-K73</f>
        <v>42701</v>
      </c>
    </row>
    <row r="75" spans="10:35" x14ac:dyDescent="0.25">
      <c r="M75">
        <f>+M72-L72</f>
        <v>1094</v>
      </c>
      <c r="AI75" t="s">
        <v>159</v>
      </c>
    </row>
    <row r="76" spans="10:35" x14ac:dyDescent="0.25">
      <c r="J76">
        <f>+I92-J74</f>
        <v>128</v>
      </c>
      <c r="K76">
        <f>+K74-J74</f>
        <v>134</v>
      </c>
    </row>
    <row r="79" spans="10:35" ht="30" customHeight="1" x14ac:dyDescent="0.25">
      <c r="K79" s="102">
        <v>20611410159</v>
      </c>
    </row>
    <row r="80" spans="10:35" x14ac:dyDescent="0.25">
      <c r="K80" s="102">
        <v>41200545</v>
      </c>
    </row>
    <row r="82" spans="3:37" x14ac:dyDescent="0.25">
      <c r="C82" s="98" t="s">
        <v>118</v>
      </c>
      <c r="D82">
        <f>5050+180</f>
        <v>5230</v>
      </c>
      <c r="E82">
        <v>140</v>
      </c>
      <c r="F82">
        <f>-310+70+80</f>
        <v>-160</v>
      </c>
      <c r="G82">
        <f>8000+1340-200</f>
        <v>9140</v>
      </c>
      <c r="I82">
        <f>12540+400</f>
        <v>12940</v>
      </c>
    </row>
    <row r="83" spans="3:37" x14ac:dyDescent="0.25">
      <c r="C83" t="s">
        <v>119</v>
      </c>
      <c r="D83">
        <v>6500</v>
      </c>
      <c r="E83">
        <v>6500</v>
      </c>
      <c r="F83">
        <v>6500</v>
      </c>
      <c r="G83">
        <v>6500</v>
      </c>
      <c r="I83">
        <v>5800</v>
      </c>
    </row>
    <row r="84" spans="3:37" x14ac:dyDescent="0.25">
      <c r="C84" t="s">
        <v>120</v>
      </c>
      <c r="D84">
        <v>33280</v>
      </c>
      <c r="E84">
        <v>33280</v>
      </c>
      <c r="F84">
        <f>38060-1480</f>
        <v>36580</v>
      </c>
      <c r="G84">
        <v>27560</v>
      </c>
      <c r="I84">
        <v>24080</v>
      </c>
    </row>
    <row r="85" spans="3:37" x14ac:dyDescent="0.25">
      <c r="C85" t="s">
        <v>123</v>
      </c>
      <c r="D85">
        <v>2960</v>
      </c>
      <c r="E85">
        <v>2960</v>
      </c>
      <c r="F85">
        <f>1150</f>
        <v>1150</v>
      </c>
      <c r="G85">
        <v>1980</v>
      </c>
      <c r="I85">
        <v>4000</v>
      </c>
      <c r="AJ85" t="s">
        <v>150</v>
      </c>
      <c r="AK85" t="s">
        <v>151</v>
      </c>
    </row>
    <row r="86" spans="3:37" x14ac:dyDescent="0.25">
      <c r="C86" t="s">
        <v>122</v>
      </c>
      <c r="D86">
        <v>1300</v>
      </c>
      <c r="E86">
        <v>1300</v>
      </c>
      <c r="F86">
        <v>1300</v>
      </c>
      <c r="G86">
        <v>1300</v>
      </c>
      <c r="I86">
        <v>1140</v>
      </c>
      <c r="AJ86" t="s">
        <v>152</v>
      </c>
    </row>
    <row r="87" spans="3:37" x14ac:dyDescent="0.25">
      <c r="C87" t="s">
        <v>127</v>
      </c>
      <c r="D87">
        <v>-9815</v>
      </c>
      <c r="E87">
        <v>-4815</v>
      </c>
      <c r="F87">
        <v>-4815</v>
      </c>
      <c r="G87">
        <v>-4815</v>
      </c>
      <c r="I87">
        <v>-4815</v>
      </c>
    </row>
    <row r="88" spans="3:37" x14ac:dyDescent="0.25">
      <c r="C88" t="s">
        <v>128</v>
      </c>
      <c r="AJ88" t="s">
        <v>153</v>
      </c>
    </row>
    <row r="90" spans="3:37" x14ac:dyDescent="0.25">
      <c r="D90">
        <f>SUM(D82:D89)</f>
        <v>39455</v>
      </c>
      <c r="E90">
        <f>SUM(E82:E87)</f>
        <v>39365</v>
      </c>
      <c r="F90">
        <f>SUM(F82:F87)</f>
        <v>40555</v>
      </c>
      <c r="G90">
        <f>SUM(G82:G87)</f>
        <v>41665</v>
      </c>
      <c r="I90">
        <f>SUM(I82:I87)</f>
        <v>43145</v>
      </c>
    </row>
    <row r="91" spans="3:37" x14ac:dyDescent="0.25">
      <c r="C91" t="s">
        <v>124</v>
      </c>
      <c r="D91">
        <v>100</v>
      </c>
      <c r="E91">
        <v>100</v>
      </c>
      <c r="F91">
        <v>100</v>
      </c>
      <c r="G91">
        <v>100</v>
      </c>
      <c r="I91">
        <f>100+350</f>
        <v>450</v>
      </c>
      <c r="AJ91">
        <v>24005</v>
      </c>
    </row>
    <row r="92" spans="3:37" x14ac:dyDescent="0.25">
      <c r="C92" t="s">
        <v>125</v>
      </c>
      <c r="D92">
        <f>+D90-D91</f>
        <v>39355</v>
      </c>
      <c r="E92">
        <f>+E90-E91</f>
        <v>39265</v>
      </c>
      <c r="F92">
        <f>+F90-F91</f>
        <v>40455</v>
      </c>
      <c r="G92">
        <f>+G90-G91</f>
        <v>41565</v>
      </c>
      <c r="I92">
        <f>+I90-I91</f>
        <v>42695</v>
      </c>
      <c r="AJ92">
        <v>-24080</v>
      </c>
    </row>
    <row r="93" spans="3:37" x14ac:dyDescent="0.25">
      <c r="G93">
        <f>+G92-F92</f>
        <v>1110</v>
      </c>
      <c r="I93">
        <f>+I92-G92</f>
        <v>1130</v>
      </c>
      <c r="AJ93">
        <f>SUM(AJ91:AJ92)</f>
        <v>-75</v>
      </c>
    </row>
  </sheetData>
  <mergeCells count="7">
    <mergeCell ref="AB2:AC2"/>
    <mergeCell ref="A4:A16"/>
    <mergeCell ref="A17:A49"/>
    <mergeCell ref="D2:I2"/>
    <mergeCell ref="J2:P2"/>
    <mergeCell ref="Q2:U2"/>
    <mergeCell ref="V2:AA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F57B-B4A6-4839-B9A9-B25DAA49B4D8}">
  <dimension ref="A1:IE86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2" sqref="A12:XFD12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9.42578125" customWidth="1"/>
    <col min="10" max="10" width="16" customWidth="1"/>
    <col min="11" max="11" width="11.28515625" customWidth="1"/>
    <col min="12" max="12" width="10.140625" customWidth="1"/>
    <col min="13" max="14" width="12" customWidth="1"/>
    <col min="15" max="15" width="11.28515625" customWidth="1"/>
    <col min="16" max="16" width="10.42578125" bestFit="1" customWidth="1"/>
    <col min="17" max="17" width="8.7109375" bestFit="1" customWidth="1"/>
    <col min="18" max="18" width="10.5703125" customWidth="1"/>
    <col min="19" max="19" width="8.7109375" customWidth="1"/>
    <col min="20" max="20" width="11.28515625" customWidth="1"/>
    <col min="21" max="21" width="10.85546875" customWidth="1"/>
    <col min="22" max="24" width="10.7109375" customWidth="1"/>
    <col min="25" max="26" width="13.5703125" customWidth="1"/>
    <col min="27" max="27" width="11.5703125" customWidth="1"/>
    <col min="28" max="28" width="14.42578125" customWidth="1"/>
    <col min="29" max="29" width="9.85546875" customWidth="1"/>
    <col min="30" max="30" width="17.140625" customWidth="1"/>
    <col min="31" max="31" width="19" customWidth="1"/>
    <col min="34" max="34" width="15.140625" customWidth="1"/>
  </cols>
  <sheetData>
    <row r="1" spans="1:30" ht="33" customHeight="1" thickBot="1" x14ac:dyDescent="0.3"/>
    <row r="2" spans="1:30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09"/>
      <c r="J2" s="308" t="s">
        <v>1</v>
      </c>
      <c r="K2" s="313"/>
      <c r="L2" s="313"/>
      <c r="M2" s="313"/>
      <c r="N2" s="313"/>
      <c r="O2" s="313"/>
      <c r="P2" s="309"/>
      <c r="Q2" s="308" t="s">
        <v>2</v>
      </c>
      <c r="R2" s="313"/>
      <c r="S2" s="313"/>
      <c r="T2" s="313"/>
      <c r="U2" s="309"/>
      <c r="V2" s="308" t="s">
        <v>3</v>
      </c>
      <c r="W2" s="313"/>
      <c r="X2" s="313"/>
      <c r="Y2" s="313"/>
      <c r="Z2" s="313"/>
      <c r="AA2" s="309"/>
      <c r="AB2" s="308" t="s">
        <v>4</v>
      </c>
      <c r="AC2" s="309"/>
      <c r="AD2" s="46" t="s">
        <v>91</v>
      </c>
    </row>
    <row r="3" spans="1:30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8" t="s">
        <v>13</v>
      </c>
      <c r="J3" s="9" t="s">
        <v>394</v>
      </c>
      <c r="K3" s="7" t="s">
        <v>11</v>
      </c>
      <c r="L3" s="7" t="s">
        <v>12</v>
      </c>
      <c r="M3" s="7" t="s">
        <v>13</v>
      </c>
      <c r="N3" s="7" t="s">
        <v>182</v>
      </c>
      <c r="O3" s="7" t="s">
        <v>15</v>
      </c>
      <c r="P3" s="8" t="s">
        <v>136</v>
      </c>
      <c r="Q3" s="6" t="s">
        <v>12</v>
      </c>
      <c r="R3" s="7" t="s">
        <v>69</v>
      </c>
      <c r="S3" s="7" t="s">
        <v>13</v>
      </c>
      <c r="T3" s="7" t="s">
        <v>16</v>
      </c>
      <c r="U3" s="8" t="s">
        <v>162</v>
      </c>
      <c r="V3" s="6" t="s">
        <v>16</v>
      </c>
      <c r="W3" s="7" t="s">
        <v>77</v>
      </c>
      <c r="X3" s="7" t="s">
        <v>12</v>
      </c>
      <c r="Y3" s="7" t="s">
        <v>13</v>
      </c>
      <c r="Z3" s="7" t="s">
        <v>8</v>
      </c>
      <c r="AA3" s="8" t="s">
        <v>69</v>
      </c>
      <c r="AB3" s="6" t="s">
        <v>17</v>
      </c>
      <c r="AC3" s="8" t="s">
        <v>18</v>
      </c>
      <c r="AD3" s="10" t="s">
        <v>92</v>
      </c>
    </row>
    <row r="4" spans="1:30" x14ac:dyDescent="0.25">
      <c r="A4" s="310" t="s">
        <v>19</v>
      </c>
      <c r="B4" s="49"/>
      <c r="C4" s="2"/>
      <c r="D4" s="42">
        <v>500</v>
      </c>
      <c r="E4" s="42">
        <v>47</v>
      </c>
      <c r="F4" s="42">
        <v>1261</v>
      </c>
      <c r="G4" s="42">
        <v>140</v>
      </c>
      <c r="H4" s="42">
        <v>52</v>
      </c>
      <c r="I4" s="42">
        <v>0</v>
      </c>
      <c r="J4" s="42">
        <v>10</v>
      </c>
      <c r="K4" s="42">
        <v>606</v>
      </c>
      <c r="L4" s="42">
        <v>181</v>
      </c>
      <c r="M4" s="42">
        <v>13121</v>
      </c>
      <c r="N4" s="42">
        <v>47</v>
      </c>
      <c r="O4" s="42">
        <v>7066</v>
      </c>
      <c r="P4" s="42">
        <v>1410</v>
      </c>
      <c r="Q4" s="42">
        <v>452</v>
      </c>
      <c r="R4" s="42"/>
      <c r="S4" s="42">
        <v>1670</v>
      </c>
      <c r="T4" s="42">
        <v>365</v>
      </c>
      <c r="U4" s="42">
        <v>0</v>
      </c>
      <c r="V4" s="42">
        <v>1643</v>
      </c>
      <c r="W4" s="42">
        <v>0</v>
      </c>
      <c r="X4" s="42">
        <v>0</v>
      </c>
      <c r="Y4" s="42">
        <v>0</v>
      </c>
      <c r="Z4" s="42">
        <v>0</v>
      </c>
      <c r="AA4" s="42">
        <f>'STOCK 08-14-02'!W25</f>
        <v>0</v>
      </c>
      <c r="AB4" s="42">
        <v>900</v>
      </c>
      <c r="AC4" s="42">
        <v>0</v>
      </c>
      <c r="AD4" s="42">
        <v>35</v>
      </c>
    </row>
    <row r="5" spans="1:30" x14ac:dyDescent="0.25">
      <c r="A5" s="311"/>
      <c r="B5" s="20"/>
      <c r="C5" s="82"/>
      <c r="D5" s="27"/>
      <c r="F5" s="35"/>
      <c r="I5" s="31"/>
      <c r="J5" s="13"/>
      <c r="K5" s="35"/>
      <c r="M5" s="35"/>
      <c r="N5" s="35"/>
      <c r="O5" s="35"/>
      <c r="P5" s="14"/>
      <c r="Q5" s="27"/>
      <c r="U5" s="31"/>
      <c r="V5" s="13"/>
      <c r="AA5" s="31"/>
      <c r="AB5" s="13"/>
      <c r="AC5" s="31"/>
      <c r="AD5" s="15"/>
    </row>
    <row r="6" spans="1:30" x14ac:dyDescent="0.25">
      <c r="A6" s="311"/>
      <c r="B6" s="20">
        <v>46139</v>
      </c>
      <c r="C6" s="82" t="s">
        <v>46</v>
      </c>
      <c r="D6" s="27">
        <v>5000</v>
      </c>
      <c r="F6" s="35"/>
      <c r="I6" s="31"/>
      <c r="J6" s="13"/>
      <c r="K6" s="35"/>
      <c r="M6" s="35"/>
      <c r="N6" s="35"/>
      <c r="O6" s="35"/>
      <c r="P6" s="14"/>
      <c r="Q6" s="27"/>
      <c r="U6" s="31"/>
      <c r="V6" s="13"/>
      <c r="AA6" s="31"/>
      <c r="AB6" s="13"/>
      <c r="AC6" s="31"/>
      <c r="AD6" s="15"/>
    </row>
    <row r="7" spans="1:30" x14ac:dyDescent="0.25">
      <c r="A7" s="311"/>
      <c r="B7" s="20">
        <v>46139</v>
      </c>
      <c r="C7" s="82" t="s">
        <v>27</v>
      </c>
      <c r="D7" s="27"/>
      <c r="F7" s="35"/>
      <c r="I7" s="31"/>
      <c r="J7" s="13"/>
      <c r="K7" s="35"/>
      <c r="M7" s="35"/>
      <c r="N7" s="35"/>
      <c r="O7" s="35"/>
      <c r="P7" s="14"/>
      <c r="Q7" s="27"/>
      <c r="T7">
        <v>1200</v>
      </c>
      <c r="U7" s="31"/>
      <c r="V7" s="13"/>
      <c r="AA7" s="31"/>
      <c r="AB7" s="13"/>
      <c r="AC7" s="31"/>
      <c r="AD7" s="15"/>
    </row>
    <row r="8" spans="1:30" ht="13.5" customHeight="1" x14ac:dyDescent="0.25">
      <c r="A8" s="311"/>
      <c r="B8" s="20">
        <v>46139</v>
      </c>
      <c r="C8" s="82" t="s">
        <v>46</v>
      </c>
      <c r="D8" s="27"/>
      <c r="F8" s="35"/>
      <c r="I8" s="31"/>
      <c r="J8" s="13"/>
      <c r="K8" s="35"/>
      <c r="M8" s="35"/>
      <c r="N8" s="35"/>
      <c r="O8" s="35"/>
      <c r="P8" s="14"/>
      <c r="Q8" s="27"/>
      <c r="U8" s="31"/>
      <c r="V8" s="13">
        <v>600</v>
      </c>
      <c r="AA8" s="31"/>
      <c r="AB8" s="13"/>
      <c r="AC8" s="31"/>
      <c r="AD8" s="15"/>
    </row>
    <row r="9" spans="1:30" x14ac:dyDescent="0.25">
      <c r="A9" s="311"/>
      <c r="B9" s="20">
        <v>46140</v>
      </c>
      <c r="C9" s="82" t="s">
        <v>27</v>
      </c>
      <c r="D9" s="27"/>
      <c r="F9" s="35"/>
      <c r="I9" s="31"/>
      <c r="J9" s="13"/>
      <c r="K9" s="35">
        <v>6000</v>
      </c>
      <c r="M9" s="35"/>
      <c r="N9" s="35"/>
      <c r="O9" s="35"/>
      <c r="P9" s="14"/>
      <c r="Q9" s="27"/>
      <c r="U9" s="31"/>
      <c r="V9" s="13"/>
      <c r="AA9" s="31"/>
      <c r="AB9" s="13"/>
      <c r="AC9" s="31"/>
      <c r="AD9" s="15"/>
    </row>
    <row r="10" spans="1:30" x14ac:dyDescent="0.25">
      <c r="A10" s="311"/>
      <c r="B10" s="20">
        <v>46142</v>
      </c>
      <c r="C10" s="82" t="s">
        <v>46</v>
      </c>
      <c r="D10" s="27"/>
      <c r="F10" s="35"/>
      <c r="I10" s="31"/>
      <c r="J10" s="13"/>
      <c r="K10" s="35">
        <v>4000</v>
      </c>
      <c r="M10" s="35"/>
      <c r="N10" s="35"/>
      <c r="O10" s="35"/>
      <c r="P10" s="14"/>
      <c r="Q10" s="27"/>
      <c r="U10" s="31"/>
      <c r="V10" s="13"/>
      <c r="AA10" s="31"/>
      <c r="AB10" s="13"/>
      <c r="AC10" s="31"/>
      <c r="AD10" s="15"/>
    </row>
    <row r="11" spans="1:30" x14ac:dyDescent="0.25">
      <c r="A11" s="311"/>
      <c r="B11" s="20">
        <v>46144</v>
      </c>
      <c r="C11" s="82" t="s">
        <v>442</v>
      </c>
      <c r="D11" s="27">
        <v>88</v>
      </c>
      <c r="F11" s="35"/>
      <c r="I11" s="31"/>
      <c r="J11" s="13"/>
      <c r="K11" s="35"/>
      <c r="M11" s="35"/>
      <c r="N11" s="35"/>
      <c r="O11" s="35"/>
      <c r="P11" s="14">
        <v>78</v>
      </c>
      <c r="Q11" s="27"/>
      <c r="U11" s="31"/>
      <c r="V11" s="13"/>
      <c r="AA11" s="31"/>
      <c r="AB11" s="13"/>
      <c r="AC11" s="31"/>
      <c r="AD11" s="15"/>
    </row>
    <row r="12" spans="1:30" x14ac:dyDescent="0.25">
      <c r="A12" s="311"/>
      <c r="B12" s="20">
        <v>46144</v>
      </c>
      <c r="C12" s="82" t="s">
        <v>27</v>
      </c>
      <c r="D12" s="27"/>
      <c r="F12" s="35"/>
      <c r="I12" s="31"/>
      <c r="J12" s="13"/>
      <c r="K12" s="35"/>
      <c r="M12" s="35"/>
      <c r="N12" s="35"/>
      <c r="O12" s="35"/>
      <c r="P12" s="14"/>
      <c r="Q12" s="27"/>
      <c r="U12" s="31"/>
      <c r="V12" s="13"/>
      <c r="Z12">
        <v>500</v>
      </c>
      <c r="AA12" s="31"/>
      <c r="AB12" s="13"/>
      <c r="AC12" s="31"/>
      <c r="AD12" s="15"/>
    </row>
    <row r="13" spans="1:30" x14ac:dyDescent="0.25">
      <c r="A13" s="311"/>
      <c r="B13" s="20"/>
      <c r="C13" s="82"/>
      <c r="D13" s="27"/>
      <c r="F13" s="35"/>
      <c r="I13" s="31"/>
      <c r="J13" s="13"/>
      <c r="K13" s="35"/>
      <c r="M13" s="35"/>
      <c r="N13" s="35"/>
      <c r="O13" s="35"/>
      <c r="P13" s="14"/>
      <c r="Q13" s="27"/>
      <c r="U13" s="31"/>
      <c r="V13" s="13"/>
      <c r="AA13" s="31"/>
      <c r="AB13" s="13"/>
      <c r="AC13" s="31"/>
      <c r="AD13" s="15"/>
    </row>
    <row r="14" spans="1:30" x14ac:dyDescent="0.25">
      <c r="A14" s="311"/>
      <c r="B14" s="20"/>
      <c r="C14" s="82"/>
      <c r="D14" s="27"/>
      <c r="F14" s="35"/>
      <c r="I14" s="31"/>
      <c r="J14" s="13"/>
      <c r="K14" s="35"/>
      <c r="M14" s="35"/>
      <c r="N14" s="35"/>
      <c r="O14" s="35"/>
      <c r="P14" s="14"/>
      <c r="Q14" s="27"/>
      <c r="U14" s="31"/>
      <c r="V14" s="13"/>
      <c r="AA14" s="31"/>
      <c r="AB14" s="13"/>
      <c r="AC14" s="31"/>
      <c r="AD14" s="15"/>
    </row>
    <row r="15" spans="1:30" x14ac:dyDescent="0.25">
      <c r="A15" s="311"/>
      <c r="B15" s="20"/>
      <c r="C15" s="82"/>
      <c r="D15" s="27"/>
      <c r="F15" s="35"/>
      <c r="I15" s="31"/>
      <c r="J15" s="13"/>
      <c r="K15" s="35"/>
      <c r="M15" s="35"/>
      <c r="N15" s="35"/>
      <c r="O15" s="35"/>
      <c r="P15" s="14"/>
      <c r="Q15" s="27"/>
      <c r="U15" s="31"/>
      <c r="V15" s="13"/>
      <c r="AA15" s="31"/>
      <c r="AB15" s="13"/>
      <c r="AC15" s="31"/>
      <c r="AD15" s="15"/>
    </row>
    <row r="16" spans="1:30" ht="15.75" thickBot="1" x14ac:dyDescent="0.3">
      <c r="A16" s="312"/>
      <c r="B16" s="72"/>
      <c r="C16" s="17"/>
      <c r="D16" s="28"/>
      <c r="E16" s="18"/>
      <c r="F16" s="36"/>
      <c r="G16" s="18"/>
      <c r="H16" s="18"/>
      <c r="I16" s="32"/>
      <c r="J16" s="16"/>
      <c r="K16" s="36"/>
      <c r="L16" s="18"/>
      <c r="M16" s="36"/>
      <c r="N16" s="36"/>
      <c r="O16" s="36"/>
      <c r="P16" s="17"/>
      <c r="Q16" s="28"/>
      <c r="R16" s="18"/>
      <c r="S16" s="18"/>
      <c r="T16" s="18"/>
      <c r="U16" s="32"/>
      <c r="V16" s="16"/>
      <c r="W16" s="18"/>
      <c r="X16" s="18"/>
      <c r="Y16" s="18"/>
      <c r="Z16" s="18"/>
      <c r="AA16" s="32"/>
      <c r="AB16" s="16"/>
      <c r="AC16" s="32"/>
      <c r="AD16" s="19"/>
    </row>
    <row r="17" spans="1:30" x14ac:dyDescent="0.25">
      <c r="A17" s="310" t="s">
        <v>62</v>
      </c>
      <c r="B17" s="160"/>
      <c r="C17" s="14"/>
      <c r="D17" s="27"/>
      <c r="F17" s="35"/>
      <c r="I17" s="31"/>
      <c r="J17" s="13"/>
      <c r="K17" s="35"/>
      <c r="M17" s="35"/>
      <c r="N17" s="35"/>
      <c r="O17" s="35"/>
      <c r="P17" s="14"/>
      <c r="Q17" s="27"/>
      <c r="U17" s="31"/>
      <c r="V17" s="13"/>
      <c r="AA17" s="31"/>
      <c r="AB17" s="13"/>
      <c r="AC17" s="31"/>
      <c r="AD17" s="15"/>
    </row>
    <row r="18" spans="1:30" x14ac:dyDescent="0.25">
      <c r="A18" s="311"/>
      <c r="B18" s="160">
        <v>46139</v>
      </c>
      <c r="C18" s="14" t="s">
        <v>725</v>
      </c>
      <c r="D18" s="27"/>
      <c r="F18" s="35"/>
      <c r="I18" s="31"/>
      <c r="J18" s="13"/>
      <c r="K18" s="35"/>
      <c r="M18" s="35"/>
      <c r="N18" s="35"/>
      <c r="O18" s="35"/>
      <c r="P18" s="14"/>
      <c r="Q18" s="27"/>
      <c r="U18" s="31"/>
      <c r="V18" s="13"/>
      <c r="AA18" s="31"/>
      <c r="AB18" s="13">
        <v>70</v>
      </c>
      <c r="AC18" s="31"/>
      <c r="AD18" s="15"/>
    </row>
    <row r="19" spans="1:30" x14ac:dyDescent="0.25">
      <c r="A19" s="311"/>
      <c r="B19" s="160">
        <v>46139</v>
      </c>
      <c r="C19" s="14" t="s">
        <v>726</v>
      </c>
      <c r="D19" s="27"/>
      <c r="F19" s="35"/>
      <c r="I19" s="31"/>
      <c r="J19" s="13"/>
      <c r="K19" s="35"/>
      <c r="M19" s="35"/>
      <c r="N19" s="35"/>
      <c r="O19" s="35"/>
      <c r="P19" s="14"/>
      <c r="Q19" s="27"/>
      <c r="U19" s="31"/>
      <c r="V19" s="13"/>
      <c r="AA19" s="31"/>
      <c r="AB19" s="13">
        <v>250</v>
      </c>
      <c r="AC19" s="31"/>
      <c r="AD19" s="15"/>
    </row>
    <row r="20" spans="1:30" x14ac:dyDescent="0.25">
      <c r="A20" s="311"/>
      <c r="B20" s="160">
        <v>46139</v>
      </c>
      <c r="C20" s="14" t="s">
        <v>727</v>
      </c>
      <c r="D20" s="27"/>
      <c r="F20" s="35"/>
      <c r="I20" s="31"/>
      <c r="J20" s="13"/>
      <c r="K20" s="35"/>
      <c r="M20" s="35"/>
      <c r="N20" s="35"/>
      <c r="O20" s="35"/>
      <c r="P20" s="14"/>
      <c r="Q20" s="27"/>
      <c r="U20" s="31"/>
      <c r="V20" s="13"/>
      <c r="AA20" s="31"/>
      <c r="AB20" s="13">
        <v>50</v>
      </c>
      <c r="AC20" s="31"/>
      <c r="AD20" s="15"/>
    </row>
    <row r="21" spans="1:30" x14ac:dyDescent="0.25">
      <c r="A21" s="311"/>
      <c r="B21" s="160">
        <v>46139</v>
      </c>
      <c r="C21" s="14" t="s">
        <v>728</v>
      </c>
      <c r="D21" s="27"/>
      <c r="F21" s="35"/>
      <c r="I21" s="31"/>
      <c r="J21" s="13"/>
      <c r="K21" s="35"/>
      <c r="M21" s="35">
        <v>500</v>
      </c>
      <c r="N21" s="35"/>
      <c r="O21" s="35"/>
      <c r="P21" s="14"/>
      <c r="Q21" s="27"/>
      <c r="U21" s="31"/>
      <c r="V21" s="13"/>
      <c r="AA21" s="31"/>
      <c r="AB21" s="13"/>
      <c r="AC21" s="31"/>
      <c r="AD21" s="15"/>
    </row>
    <row r="22" spans="1:30" x14ac:dyDescent="0.25">
      <c r="A22" s="311"/>
      <c r="B22" s="160">
        <v>46140</v>
      </c>
      <c r="C22" s="14" t="s">
        <v>745</v>
      </c>
      <c r="D22" s="27"/>
      <c r="F22" s="35"/>
      <c r="I22" s="31"/>
      <c r="J22" s="13"/>
      <c r="K22" s="35"/>
      <c r="M22" s="35"/>
      <c r="N22" s="35"/>
      <c r="O22" s="35"/>
      <c r="P22" s="14">
        <v>168</v>
      </c>
      <c r="Q22" s="27"/>
      <c r="U22" s="31"/>
      <c r="V22" s="13"/>
      <c r="AA22" s="31"/>
      <c r="AB22" s="13"/>
      <c r="AC22" s="31"/>
      <c r="AD22" s="15"/>
    </row>
    <row r="23" spans="1:30" x14ac:dyDescent="0.25">
      <c r="A23" s="311"/>
      <c r="B23" s="160">
        <v>46141</v>
      </c>
      <c r="C23" s="14" t="s">
        <v>743</v>
      </c>
      <c r="D23" s="27"/>
      <c r="F23" s="35"/>
      <c r="I23" s="31"/>
      <c r="J23" s="13"/>
      <c r="K23" s="35"/>
      <c r="M23" s="35"/>
      <c r="N23" s="35"/>
      <c r="O23" s="35">
        <v>2500</v>
      </c>
      <c r="P23" s="14"/>
      <c r="Q23" s="27"/>
      <c r="U23" s="31"/>
      <c r="V23" s="13"/>
      <c r="AA23" s="31"/>
      <c r="AB23" s="13"/>
      <c r="AC23" s="31"/>
      <c r="AD23" s="15"/>
    </row>
    <row r="24" spans="1:30" x14ac:dyDescent="0.25">
      <c r="A24" s="311"/>
      <c r="B24" s="160">
        <v>46141</v>
      </c>
      <c r="C24" s="14" t="s">
        <v>746</v>
      </c>
      <c r="D24" s="27">
        <v>1800</v>
      </c>
      <c r="F24" s="35"/>
      <c r="I24" s="31"/>
      <c r="J24" s="13"/>
      <c r="K24" s="35"/>
      <c r="M24" s="35"/>
      <c r="N24" s="35"/>
      <c r="O24" s="35"/>
      <c r="P24" s="14"/>
      <c r="Q24" s="27"/>
      <c r="U24" s="31"/>
      <c r="V24" s="13"/>
      <c r="AA24" s="31"/>
      <c r="AB24" s="13"/>
      <c r="AC24" s="31"/>
      <c r="AD24" s="15"/>
    </row>
    <row r="25" spans="1:30" x14ac:dyDescent="0.25">
      <c r="A25" s="311"/>
      <c r="B25" s="160">
        <v>46141</v>
      </c>
      <c r="C25" s="14" t="s">
        <v>747</v>
      </c>
      <c r="D25" s="27">
        <v>2000</v>
      </c>
      <c r="F25" s="35"/>
      <c r="I25" s="31"/>
      <c r="J25" s="13"/>
      <c r="K25" s="35"/>
      <c r="M25" s="35"/>
      <c r="N25" s="35"/>
      <c r="O25" s="35"/>
      <c r="P25" s="14"/>
      <c r="Q25" s="27"/>
      <c r="U25" s="31"/>
      <c r="V25" s="13"/>
      <c r="AA25" s="31"/>
      <c r="AB25" s="13"/>
      <c r="AC25" s="31"/>
      <c r="AD25" s="15"/>
    </row>
    <row r="26" spans="1:30" x14ac:dyDescent="0.25">
      <c r="A26" s="311"/>
      <c r="B26" s="160">
        <v>46142</v>
      </c>
      <c r="C26" s="14" t="s">
        <v>746</v>
      </c>
      <c r="D26" s="27">
        <v>200</v>
      </c>
      <c r="F26" s="35"/>
      <c r="I26" s="31"/>
      <c r="J26" s="13"/>
      <c r="K26" s="35"/>
      <c r="M26" s="35"/>
      <c r="N26" s="35"/>
      <c r="O26" s="35"/>
      <c r="P26" s="14"/>
      <c r="Q26" s="27"/>
      <c r="U26" s="31"/>
      <c r="V26" s="13"/>
      <c r="AA26" s="31"/>
      <c r="AB26" s="13"/>
      <c r="AC26" s="31"/>
      <c r="AD26" s="15"/>
    </row>
    <row r="27" spans="1:30" x14ac:dyDescent="0.25">
      <c r="A27" s="311"/>
      <c r="B27" s="160">
        <v>46142</v>
      </c>
      <c r="C27" s="14" t="s">
        <v>579</v>
      </c>
      <c r="D27" s="27"/>
      <c r="F27" s="35"/>
      <c r="I27" s="31"/>
      <c r="J27" s="13"/>
      <c r="K27" s="35"/>
      <c r="M27" s="35"/>
      <c r="N27" s="35"/>
      <c r="O27" s="35"/>
      <c r="P27" s="14"/>
      <c r="Q27" s="27">
        <v>25</v>
      </c>
      <c r="U27" s="31"/>
      <c r="V27" s="13"/>
      <c r="AA27" s="31"/>
      <c r="AB27" s="13"/>
      <c r="AC27" s="31"/>
      <c r="AD27" s="15"/>
    </row>
    <row r="28" spans="1:30" x14ac:dyDescent="0.25">
      <c r="A28" s="311"/>
      <c r="B28" s="160">
        <v>46142</v>
      </c>
      <c r="C28" s="14" t="s">
        <v>435</v>
      </c>
      <c r="D28" s="27"/>
      <c r="F28" s="35"/>
      <c r="I28" s="31"/>
      <c r="J28" s="13"/>
      <c r="K28" s="35"/>
      <c r="M28" s="35"/>
      <c r="N28" s="35"/>
      <c r="O28" s="35"/>
      <c r="P28" s="14">
        <v>100</v>
      </c>
      <c r="Q28" s="27"/>
      <c r="U28" s="31"/>
      <c r="V28" s="13"/>
      <c r="AA28" s="31"/>
      <c r="AB28" s="13"/>
      <c r="AC28" s="31"/>
      <c r="AD28" s="15"/>
    </row>
    <row r="29" spans="1:30" x14ac:dyDescent="0.25">
      <c r="A29" s="311"/>
      <c r="B29" s="160">
        <v>46142</v>
      </c>
      <c r="C29" s="14" t="s">
        <v>767</v>
      </c>
      <c r="D29" s="27"/>
      <c r="F29" s="35"/>
      <c r="I29" s="31"/>
      <c r="J29" s="13"/>
      <c r="K29" s="35"/>
      <c r="M29" s="35"/>
      <c r="N29" s="35"/>
      <c r="O29" s="35"/>
      <c r="P29" s="14"/>
      <c r="Q29" s="27"/>
      <c r="U29" s="31"/>
      <c r="V29" s="13"/>
      <c r="AA29" s="31"/>
      <c r="AB29" s="13">
        <v>100</v>
      </c>
      <c r="AC29" s="31"/>
      <c r="AD29" s="15"/>
    </row>
    <row r="30" spans="1:30" x14ac:dyDescent="0.25">
      <c r="A30" s="311"/>
      <c r="B30" s="160">
        <v>46142</v>
      </c>
      <c r="C30" s="14" t="s">
        <v>29</v>
      </c>
      <c r="D30" s="27"/>
      <c r="F30" s="35"/>
      <c r="I30" s="31"/>
      <c r="J30" s="13"/>
      <c r="K30" s="35"/>
      <c r="M30" s="35">
        <v>160</v>
      </c>
      <c r="N30" s="35"/>
      <c r="O30" s="35"/>
      <c r="P30" s="14"/>
      <c r="Q30" s="27"/>
      <c r="U30" s="31"/>
      <c r="V30" s="13"/>
      <c r="AA30" s="31"/>
      <c r="AB30" s="13"/>
      <c r="AC30" s="31"/>
      <c r="AD30" s="15"/>
    </row>
    <row r="31" spans="1:30" x14ac:dyDescent="0.25">
      <c r="A31" s="311"/>
      <c r="B31" s="160">
        <v>46143</v>
      </c>
      <c r="C31" s="14" t="s">
        <v>770</v>
      </c>
      <c r="D31" s="27"/>
      <c r="F31" s="35"/>
      <c r="I31" s="31"/>
      <c r="J31" s="13"/>
      <c r="K31" s="35"/>
      <c r="M31" s="35"/>
      <c r="N31" s="35"/>
      <c r="O31" s="35"/>
      <c r="P31" s="14"/>
      <c r="Q31" s="27"/>
      <c r="U31" s="31"/>
      <c r="V31" s="13">
        <v>50</v>
      </c>
      <c r="AA31" s="31"/>
      <c r="AB31" s="13"/>
      <c r="AC31" s="31"/>
      <c r="AD31" s="15"/>
    </row>
    <row r="32" spans="1:30" x14ac:dyDescent="0.25">
      <c r="A32" s="311"/>
      <c r="B32" s="160">
        <v>46143</v>
      </c>
      <c r="C32" s="14" t="s">
        <v>872</v>
      </c>
      <c r="D32" s="27">
        <v>800</v>
      </c>
      <c r="F32" s="35"/>
      <c r="I32" s="31"/>
      <c r="J32" s="13"/>
      <c r="K32" s="35"/>
      <c r="M32" s="35"/>
      <c r="N32" s="35"/>
      <c r="O32" s="35"/>
      <c r="P32" s="14"/>
      <c r="Q32" s="27"/>
      <c r="U32" s="31"/>
      <c r="V32" s="13">
        <v>650</v>
      </c>
      <c r="AA32" s="31"/>
      <c r="AB32" s="13"/>
      <c r="AC32" s="31"/>
      <c r="AD32" s="15"/>
    </row>
    <row r="33" spans="1:239" ht="16.5" customHeight="1" x14ac:dyDescent="0.25">
      <c r="A33" s="311"/>
      <c r="B33" s="160">
        <v>46143</v>
      </c>
      <c r="C33" s="14" t="s">
        <v>873</v>
      </c>
      <c r="D33" s="27"/>
      <c r="F33" s="35"/>
      <c r="I33" s="31"/>
      <c r="J33" s="13"/>
      <c r="K33" s="35">
        <v>10</v>
      </c>
      <c r="M33" s="35"/>
      <c r="N33" s="35"/>
      <c r="O33" s="35"/>
      <c r="P33" s="14">
        <v>1220</v>
      </c>
      <c r="Q33" s="27"/>
      <c r="U33" s="31"/>
      <c r="V33" s="13"/>
      <c r="AA33" s="31"/>
      <c r="AB33" s="13"/>
      <c r="AC33" s="31"/>
      <c r="AD33" s="15"/>
    </row>
    <row r="34" spans="1:239" ht="16.5" customHeight="1" x14ac:dyDescent="0.25">
      <c r="A34" s="311"/>
      <c r="B34" s="160"/>
      <c r="C34" s="14"/>
      <c r="D34" s="27"/>
      <c r="F34" s="35"/>
      <c r="I34" s="31"/>
      <c r="J34" s="13"/>
      <c r="K34" s="35"/>
      <c r="M34" s="35"/>
      <c r="N34" s="35"/>
      <c r="O34" s="35">
        <v>500</v>
      </c>
      <c r="P34" s="14"/>
      <c r="Q34" s="27"/>
      <c r="U34" s="31"/>
      <c r="V34" s="13"/>
      <c r="AA34" s="31"/>
      <c r="AB34" s="13"/>
      <c r="AC34" s="31"/>
      <c r="AD34" s="15"/>
    </row>
    <row r="35" spans="1:239" ht="16.5" customHeight="1" x14ac:dyDescent="0.25">
      <c r="A35" s="311"/>
      <c r="B35" s="160"/>
      <c r="C35" s="14"/>
      <c r="D35" s="27"/>
      <c r="F35" s="35"/>
      <c r="I35" s="31"/>
      <c r="J35" s="13"/>
      <c r="K35" s="35"/>
      <c r="M35" s="35"/>
      <c r="N35" s="35"/>
      <c r="O35" s="35"/>
      <c r="P35" s="14"/>
      <c r="Q35" s="27"/>
      <c r="U35" s="31"/>
      <c r="V35" s="13">
        <v>70</v>
      </c>
      <c r="AA35" s="31"/>
      <c r="AB35" s="13"/>
      <c r="AC35" s="31"/>
      <c r="AD35" s="15"/>
    </row>
    <row r="36" spans="1:239" ht="16.5" customHeight="1" x14ac:dyDescent="0.25">
      <c r="A36" s="311"/>
      <c r="B36" s="160"/>
      <c r="C36" s="14"/>
      <c r="D36" s="27"/>
      <c r="F36" s="35"/>
      <c r="I36" s="31"/>
      <c r="J36" s="13"/>
      <c r="K36" s="35"/>
      <c r="M36" s="35"/>
      <c r="N36" s="35"/>
      <c r="O36" s="35"/>
      <c r="P36" s="14"/>
      <c r="Q36" s="27"/>
      <c r="U36" s="31"/>
      <c r="V36" s="13"/>
      <c r="AA36" s="31"/>
      <c r="AB36" s="13"/>
      <c r="AC36" s="31"/>
      <c r="AD36" s="15"/>
    </row>
    <row r="37" spans="1:239" ht="16.5" customHeight="1" x14ac:dyDescent="0.25">
      <c r="A37" s="311"/>
      <c r="B37" s="160"/>
      <c r="C37" s="14"/>
      <c r="D37" s="27"/>
      <c r="F37" s="35"/>
      <c r="I37" s="31"/>
      <c r="J37" s="13"/>
      <c r="K37" s="35"/>
      <c r="M37" s="35"/>
      <c r="N37" s="35"/>
      <c r="O37" s="35"/>
      <c r="P37" s="14"/>
      <c r="Q37" s="27"/>
      <c r="U37" s="31"/>
      <c r="V37" s="13"/>
      <c r="AA37" s="31"/>
      <c r="AB37" s="13"/>
      <c r="AC37" s="31"/>
      <c r="AD37" s="15"/>
    </row>
    <row r="38" spans="1:239" ht="16.5" customHeight="1" x14ac:dyDescent="0.25">
      <c r="A38" s="311"/>
      <c r="B38" s="160"/>
      <c r="C38" s="14"/>
      <c r="D38" s="27"/>
      <c r="F38" s="35"/>
      <c r="I38" s="31"/>
      <c r="J38" s="13"/>
      <c r="K38" s="35"/>
      <c r="M38" s="35"/>
      <c r="N38" s="35"/>
      <c r="O38" s="35"/>
      <c r="P38" s="14"/>
      <c r="Q38" s="27"/>
      <c r="U38" s="31"/>
      <c r="V38" s="13"/>
      <c r="AA38" s="31"/>
      <c r="AB38" s="13"/>
      <c r="AC38" s="31"/>
      <c r="AD38" s="15"/>
    </row>
    <row r="39" spans="1:239" x14ac:dyDescent="0.25">
      <c r="A39" s="311"/>
      <c r="B39" s="160"/>
      <c r="C39" s="14"/>
      <c r="D39" s="27"/>
      <c r="F39" s="35"/>
      <c r="I39" s="31"/>
      <c r="J39" s="13"/>
      <c r="K39" s="35"/>
      <c r="M39" s="35"/>
      <c r="N39" s="35"/>
      <c r="O39" s="35"/>
      <c r="P39" s="14"/>
      <c r="Q39" s="27"/>
      <c r="U39" s="31"/>
      <c r="V39" s="13"/>
      <c r="AA39" s="31"/>
      <c r="AB39" s="13"/>
      <c r="AC39" s="31"/>
      <c r="AD39" s="15"/>
    </row>
    <row r="40" spans="1:239" s="52" customFormat="1" x14ac:dyDescent="0.25">
      <c r="A40" s="311"/>
      <c r="B40" s="114"/>
      <c r="C40" s="105" t="s">
        <v>137</v>
      </c>
      <c r="D40" s="83"/>
      <c r="I40" s="105"/>
      <c r="J40" s="83"/>
      <c r="P40" s="105"/>
      <c r="Q40" s="83"/>
      <c r="U40" s="105"/>
      <c r="V40" s="83"/>
      <c r="AA40" s="105"/>
      <c r="AB40" s="83"/>
      <c r="AC40" s="105"/>
      <c r="AD40" s="115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</row>
    <row r="41" spans="1:239" x14ac:dyDescent="0.25">
      <c r="A41" s="311"/>
      <c r="B41" s="20"/>
      <c r="C41" s="14"/>
      <c r="D41" s="27"/>
      <c r="F41" s="35"/>
      <c r="I41" s="31"/>
      <c r="J41" s="13"/>
      <c r="K41" s="35"/>
      <c r="M41" s="35"/>
      <c r="N41" s="35"/>
      <c r="O41" s="35"/>
      <c r="P41" s="14"/>
      <c r="Q41" s="27"/>
      <c r="U41" s="31"/>
      <c r="V41" s="13"/>
      <c r="AA41" s="31"/>
      <c r="AB41" s="13"/>
      <c r="AC41" s="31"/>
      <c r="AD41" s="15"/>
    </row>
    <row r="42" spans="1:239" ht="15.75" thickBot="1" x14ac:dyDescent="0.3">
      <c r="A42" s="312"/>
      <c r="B42" s="13"/>
      <c r="C42" s="14"/>
      <c r="D42" s="27"/>
      <c r="F42" s="35"/>
      <c r="I42" s="31"/>
      <c r="J42" s="13"/>
      <c r="K42" s="35"/>
      <c r="M42" s="35"/>
      <c r="N42" s="35"/>
      <c r="O42" s="35"/>
      <c r="P42" s="14"/>
      <c r="Q42" s="27"/>
      <c r="U42" s="31"/>
      <c r="V42" s="13"/>
      <c r="AA42" s="31"/>
      <c r="AB42" s="13"/>
      <c r="AC42" s="31"/>
      <c r="AD42" s="15"/>
      <c r="AH42">
        <f>0.3*400</f>
        <v>120</v>
      </c>
    </row>
    <row r="43" spans="1:239" ht="21.75" thickBot="1" x14ac:dyDescent="0.3">
      <c r="A43" s="21" t="s">
        <v>23</v>
      </c>
      <c r="B43" s="22"/>
      <c r="C43" s="23"/>
      <c r="D43" s="29">
        <f t="shared" ref="D43:AD43" si="0">SUM(D4:D16)-SUM(D17:D42)</f>
        <v>788</v>
      </c>
      <c r="E43" s="22">
        <f t="shared" si="0"/>
        <v>47</v>
      </c>
      <c r="F43" s="37">
        <f t="shared" si="0"/>
        <v>1261</v>
      </c>
      <c r="G43" s="24">
        <f t="shared" si="0"/>
        <v>140</v>
      </c>
      <c r="H43" s="24">
        <f t="shared" si="0"/>
        <v>52</v>
      </c>
      <c r="I43" s="33">
        <f t="shared" si="0"/>
        <v>0</v>
      </c>
      <c r="J43" s="22">
        <f t="shared" si="0"/>
        <v>10</v>
      </c>
      <c r="K43" s="37">
        <f t="shared" si="0"/>
        <v>10596</v>
      </c>
      <c r="L43" s="24">
        <f t="shared" si="0"/>
        <v>181</v>
      </c>
      <c r="M43" s="37">
        <f t="shared" si="0"/>
        <v>12461</v>
      </c>
      <c r="N43" s="37">
        <f t="shared" si="0"/>
        <v>47</v>
      </c>
      <c r="O43" s="37">
        <f t="shared" si="0"/>
        <v>4066</v>
      </c>
      <c r="P43" s="23">
        <f t="shared" si="0"/>
        <v>0</v>
      </c>
      <c r="Q43" s="29">
        <f t="shared" si="0"/>
        <v>427</v>
      </c>
      <c r="R43" s="29">
        <f t="shared" si="0"/>
        <v>0</v>
      </c>
      <c r="S43" s="29">
        <f t="shared" si="0"/>
        <v>1670</v>
      </c>
      <c r="T43" s="107">
        <f t="shared" si="0"/>
        <v>1565</v>
      </c>
      <c r="U43" s="33">
        <f t="shared" si="0"/>
        <v>0</v>
      </c>
      <c r="V43" s="22">
        <f t="shared" si="0"/>
        <v>1473</v>
      </c>
      <c r="W43" s="22">
        <f t="shared" si="0"/>
        <v>0</v>
      </c>
      <c r="X43" s="22">
        <f t="shared" si="0"/>
        <v>0</v>
      </c>
      <c r="Y43" s="22">
        <f t="shared" si="0"/>
        <v>0</v>
      </c>
      <c r="Z43" s="22">
        <f t="shared" si="0"/>
        <v>500</v>
      </c>
      <c r="AA43" s="33">
        <f t="shared" si="0"/>
        <v>0</v>
      </c>
      <c r="AB43" s="22">
        <f t="shared" si="0"/>
        <v>430</v>
      </c>
      <c r="AC43" s="33">
        <f t="shared" si="0"/>
        <v>0</v>
      </c>
      <c r="AD43" s="25">
        <f t="shared" si="0"/>
        <v>35</v>
      </c>
    </row>
    <row r="45" spans="1:239" x14ac:dyDescent="0.25">
      <c r="C45" t="s">
        <v>176</v>
      </c>
      <c r="D45">
        <v>0.6</v>
      </c>
      <c r="E45">
        <v>0.55000000000000004</v>
      </c>
      <c r="F45">
        <v>0.71</v>
      </c>
      <c r="G45">
        <v>0.65</v>
      </c>
      <c r="H45">
        <v>0.65</v>
      </c>
      <c r="I45">
        <v>0.74</v>
      </c>
      <c r="J45">
        <v>0.84</v>
      </c>
      <c r="K45">
        <v>0.86</v>
      </c>
      <c r="L45" s="50">
        <f>0.95+0.1</f>
        <v>1.05</v>
      </c>
      <c r="M45">
        <v>1.02</v>
      </c>
      <c r="N45">
        <v>0.82</v>
      </c>
      <c r="O45">
        <v>0.92</v>
      </c>
      <c r="P45">
        <v>0.82</v>
      </c>
      <c r="Q45">
        <v>2.75</v>
      </c>
      <c r="R45">
        <v>2.6</v>
      </c>
      <c r="S45">
        <v>2.8</v>
      </c>
      <c r="T45">
        <v>2.6</v>
      </c>
      <c r="U45">
        <v>2.4</v>
      </c>
      <c r="V45">
        <v>2.7</v>
      </c>
      <c r="W45">
        <v>2.5499999999999998</v>
      </c>
      <c r="X45">
        <v>2.9</v>
      </c>
      <c r="Y45">
        <v>2.85</v>
      </c>
      <c r="Z45">
        <v>2.5499999999999998</v>
      </c>
      <c r="AA45">
        <f>+AA43*2.15</f>
        <v>0</v>
      </c>
      <c r="AB45">
        <v>0.6</v>
      </c>
      <c r="AC45">
        <f>+AC43*0.34</f>
        <v>0</v>
      </c>
      <c r="AD45" s="109"/>
    </row>
    <row r="46" spans="1:239" x14ac:dyDescent="0.25">
      <c r="D46">
        <f>+D43*D45</f>
        <v>472.79999999999995</v>
      </c>
      <c r="E46">
        <f>+E43*E45</f>
        <v>25.85</v>
      </c>
      <c r="F46">
        <f t="shared" ref="F46:AD46" si="1">+F43*F45</f>
        <v>895.31</v>
      </c>
      <c r="G46">
        <f t="shared" si="1"/>
        <v>91</v>
      </c>
      <c r="H46">
        <f t="shared" si="1"/>
        <v>33.800000000000004</v>
      </c>
      <c r="I46">
        <f t="shared" si="1"/>
        <v>0</v>
      </c>
      <c r="J46">
        <f t="shared" si="1"/>
        <v>8.4</v>
      </c>
      <c r="K46">
        <f t="shared" si="1"/>
        <v>9112.56</v>
      </c>
      <c r="L46">
        <f t="shared" si="1"/>
        <v>190.05</v>
      </c>
      <c r="M46">
        <f t="shared" si="1"/>
        <v>12710.22</v>
      </c>
      <c r="N46">
        <f>N43*N45</f>
        <v>38.54</v>
      </c>
      <c r="O46">
        <f t="shared" si="1"/>
        <v>3740.7200000000003</v>
      </c>
      <c r="P46">
        <f t="shared" si="1"/>
        <v>0</v>
      </c>
      <c r="Q46">
        <f t="shared" si="1"/>
        <v>1174.25</v>
      </c>
      <c r="R46">
        <f t="shared" si="1"/>
        <v>0</v>
      </c>
      <c r="S46">
        <f t="shared" si="1"/>
        <v>4676</v>
      </c>
      <c r="T46">
        <f t="shared" si="1"/>
        <v>4069</v>
      </c>
      <c r="U46">
        <f t="shared" si="1"/>
        <v>0</v>
      </c>
      <c r="V46">
        <f t="shared" si="1"/>
        <v>3977.1000000000004</v>
      </c>
      <c r="W46">
        <f t="shared" si="1"/>
        <v>0</v>
      </c>
      <c r="X46">
        <f>+X43*X45</f>
        <v>0</v>
      </c>
      <c r="Y46">
        <f>Y43*Y45</f>
        <v>0</v>
      </c>
      <c r="Z46">
        <f>Z43*Z45</f>
        <v>1275</v>
      </c>
      <c r="AA46">
        <f t="shared" si="1"/>
        <v>0</v>
      </c>
      <c r="AB46">
        <f t="shared" si="1"/>
        <v>258</v>
      </c>
      <c r="AD46">
        <f t="shared" si="1"/>
        <v>0</v>
      </c>
      <c r="AE46" s="52">
        <f>SUM(D46:AD46)</f>
        <v>42748.6</v>
      </c>
    </row>
    <row r="47" spans="1:239" x14ac:dyDescent="0.25"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103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 spans="1:239" x14ac:dyDescent="0.25"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103"/>
      <c r="U48" s="39"/>
      <c r="V48" s="39"/>
      <c r="W48" s="39"/>
      <c r="X48" s="39"/>
      <c r="Y48" s="39"/>
      <c r="Z48" s="39"/>
      <c r="AA48" s="39"/>
      <c r="AB48" s="39"/>
      <c r="AC48" s="39"/>
      <c r="AD48" s="39"/>
    </row>
    <row r="49" spans="3:35" x14ac:dyDescent="0.25"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 t="s">
        <v>668</v>
      </c>
      <c r="T49" s="103"/>
      <c r="U49" s="39"/>
      <c r="V49" s="39"/>
      <c r="W49" s="39"/>
      <c r="X49" s="39"/>
      <c r="Y49" s="39">
        <v>115</v>
      </c>
      <c r="Z49" s="39"/>
      <c r="AA49" s="39"/>
      <c r="AB49" s="39"/>
      <c r="AC49" s="39"/>
      <c r="AD49" s="39"/>
    </row>
    <row r="50" spans="3:35" x14ac:dyDescent="0.25">
      <c r="C50" s="39"/>
      <c r="D50" s="39"/>
      <c r="E50" s="101"/>
      <c r="F50" s="101"/>
      <c r="G50" s="101"/>
      <c r="H50" s="101"/>
      <c r="I50" s="39"/>
      <c r="J50" s="101"/>
      <c r="K50" s="39"/>
      <c r="L50" s="39"/>
      <c r="M50" s="101"/>
      <c r="N50" s="39"/>
      <c r="O50" s="101"/>
      <c r="P50" s="39"/>
      <c r="Q50" s="101"/>
      <c r="R50" s="39"/>
      <c r="S50" s="39"/>
      <c r="T50" s="103"/>
      <c r="U50" s="39"/>
      <c r="V50" s="39"/>
      <c r="W50" s="39"/>
      <c r="X50" s="39"/>
      <c r="Y50" s="39">
        <v>164</v>
      </c>
      <c r="Z50" s="39"/>
      <c r="AA50" s="39"/>
      <c r="AB50" s="39"/>
      <c r="AC50" s="39"/>
      <c r="AD50" s="39"/>
    </row>
    <row r="51" spans="3:35" x14ac:dyDescent="0.25">
      <c r="C51" s="39"/>
      <c r="D51" s="39"/>
      <c r="E51" s="39"/>
      <c r="F51" s="39"/>
      <c r="G51" s="39"/>
      <c r="H51" s="39"/>
      <c r="I51" s="39"/>
      <c r="K51" s="60"/>
      <c r="T51" s="85"/>
      <c r="V51" s="84"/>
      <c r="X51" t="s">
        <v>139</v>
      </c>
    </row>
    <row r="52" spans="3:35" x14ac:dyDescent="0.25">
      <c r="C52" s="39"/>
      <c r="D52" s="39"/>
      <c r="E52" s="39"/>
      <c r="F52" s="39"/>
      <c r="G52" s="39"/>
      <c r="H52" s="39"/>
      <c r="I52" s="39"/>
      <c r="L52" s="60"/>
      <c r="T52" s="60"/>
      <c r="X52" t="s">
        <v>669</v>
      </c>
    </row>
    <row r="53" spans="3:35" x14ac:dyDescent="0.25">
      <c r="Y53">
        <f>SUM(Y49:Y51)</f>
        <v>279</v>
      </c>
    </row>
    <row r="54" spans="3:35" x14ac:dyDescent="0.25">
      <c r="AH54" t="s">
        <v>130</v>
      </c>
      <c r="AI54">
        <v>1667</v>
      </c>
    </row>
    <row r="55" spans="3:35" x14ac:dyDescent="0.25">
      <c r="Z55">
        <f>340-279</f>
        <v>61</v>
      </c>
      <c r="AI55">
        <v>1070</v>
      </c>
    </row>
    <row r="56" spans="3:35" x14ac:dyDescent="0.25">
      <c r="W56" t="s">
        <v>139</v>
      </c>
      <c r="AI56">
        <f>AI54-AI55</f>
        <v>597</v>
      </c>
    </row>
    <row r="57" spans="3:35" x14ac:dyDescent="0.25">
      <c r="J57">
        <f>3670+1320-7150</f>
        <v>-2160</v>
      </c>
      <c r="K57">
        <f>12700+870+980+24320+600</f>
        <v>39470</v>
      </c>
      <c r="L57">
        <f>38950+1000+1080+600</f>
        <v>41630</v>
      </c>
      <c r="M57">
        <f>23176+4500+600+1000+35680+3900</f>
        <v>68856</v>
      </c>
    </row>
    <row r="58" spans="3:35" x14ac:dyDescent="0.25">
      <c r="J58">
        <v>5800</v>
      </c>
      <c r="K58">
        <v>5800</v>
      </c>
      <c r="L58">
        <v>5100</v>
      </c>
      <c r="M58">
        <v>5100</v>
      </c>
    </row>
    <row r="59" spans="3:35" x14ac:dyDescent="0.25">
      <c r="J59">
        <v>42702</v>
      </c>
      <c r="K59">
        <v>0</v>
      </c>
      <c r="L59">
        <v>0</v>
      </c>
      <c r="M59">
        <f>1081-340</f>
        <v>741</v>
      </c>
    </row>
    <row r="60" spans="3:35" x14ac:dyDescent="0.25">
      <c r="J60">
        <v>0</v>
      </c>
      <c r="L60">
        <v>0</v>
      </c>
      <c r="M60">
        <v>0</v>
      </c>
      <c r="X60">
        <f>72+92</f>
        <v>164</v>
      </c>
      <c r="AH60" t="s">
        <v>149</v>
      </c>
      <c r="AI60">
        <v>14352</v>
      </c>
    </row>
    <row r="61" spans="3:35" x14ac:dyDescent="0.25">
      <c r="J61">
        <v>1140</v>
      </c>
      <c r="K61">
        <v>1140</v>
      </c>
      <c r="L61">
        <v>0</v>
      </c>
      <c r="M61">
        <v>0</v>
      </c>
      <c r="AI61">
        <v>-14547</v>
      </c>
    </row>
    <row r="62" spans="3:35" x14ac:dyDescent="0.25">
      <c r="J62">
        <v>-4815</v>
      </c>
      <c r="K62">
        <v>-3609</v>
      </c>
      <c r="L62">
        <v>-3609</v>
      </c>
      <c r="M62">
        <f>-1324-1120</f>
        <v>-2444</v>
      </c>
      <c r="Y62">
        <f>70+92</f>
        <v>162</v>
      </c>
    </row>
    <row r="63" spans="3:35" x14ac:dyDescent="0.25">
      <c r="M63">
        <f>-2336.5*12</f>
        <v>-28038</v>
      </c>
      <c r="AI63">
        <f>SUM(AI60:AI62)</f>
        <v>-195</v>
      </c>
    </row>
    <row r="65" spans="3:37" x14ac:dyDescent="0.25">
      <c r="J65">
        <f>SUM(J57:J62)</f>
        <v>42667</v>
      </c>
      <c r="K65">
        <f>SUM(K57:K64)</f>
        <v>42801</v>
      </c>
      <c r="L65">
        <f>SUM(L57:L64)</f>
        <v>43121</v>
      </c>
      <c r="M65">
        <f>SUM(M57:M64)</f>
        <v>44215</v>
      </c>
    </row>
    <row r="66" spans="3:37" x14ac:dyDescent="0.25">
      <c r="J66">
        <v>100</v>
      </c>
      <c r="K66">
        <v>100</v>
      </c>
      <c r="AH66" t="s">
        <v>158</v>
      </c>
    </row>
    <row r="67" spans="3:37" x14ac:dyDescent="0.25">
      <c r="J67">
        <f>+J65-J66</f>
        <v>42567</v>
      </c>
      <c r="K67">
        <f>+K65-K66</f>
        <v>42701</v>
      </c>
    </row>
    <row r="68" spans="3:37" x14ac:dyDescent="0.25">
      <c r="M68">
        <f>+M65-L65</f>
        <v>1094</v>
      </c>
      <c r="AI68" t="s">
        <v>159</v>
      </c>
    </row>
    <row r="69" spans="3:37" x14ac:dyDescent="0.25">
      <c r="J69">
        <f>+I85-J67</f>
        <v>128</v>
      </c>
      <c r="K69">
        <f>+K67-J67</f>
        <v>134</v>
      </c>
    </row>
    <row r="72" spans="3:37" ht="30" customHeight="1" x14ac:dyDescent="0.25">
      <c r="K72" s="102">
        <v>20611410159</v>
      </c>
    </row>
    <row r="73" spans="3:37" x14ac:dyDescent="0.25">
      <c r="K73" s="102">
        <v>41200545</v>
      </c>
    </row>
    <row r="75" spans="3:37" x14ac:dyDescent="0.25">
      <c r="C75" s="98" t="s">
        <v>118</v>
      </c>
      <c r="D75">
        <f>5050+180</f>
        <v>5230</v>
      </c>
      <c r="E75">
        <v>140</v>
      </c>
      <c r="F75">
        <f>-310+70+80</f>
        <v>-160</v>
      </c>
      <c r="G75">
        <f>8000+1340-200</f>
        <v>9140</v>
      </c>
      <c r="I75">
        <f>12540+400</f>
        <v>12940</v>
      </c>
    </row>
    <row r="76" spans="3:37" x14ac:dyDescent="0.25">
      <c r="C76" t="s">
        <v>119</v>
      </c>
      <c r="D76">
        <v>6500</v>
      </c>
      <c r="E76">
        <v>6500</v>
      </c>
      <c r="F76">
        <v>6500</v>
      </c>
      <c r="G76">
        <v>6500</v>
      </c>
      <c r="I76">
        <v>5800</v>
      </c>
    </row>
    <row r="77" spans="3:37" x14ac:dyDescent="0.25">
      <c r="C77" t="s">
        <v>120</v>
      </c>
      <c r="D77">
        <v>33280</v>
      </c>
      <c r="E77">
        <v>33280</v>
      </c>
      <c r="F77">
        <f>38060-1480</f>
        <v>36580</v>
      </c>
      <c r="G77">
        <v>27560</v>
      </c>
      <c r="I77">
        <v>24080</v>
      </c>
    </row>
    <row r="78" spans="3:37" x14ac:dyDescent="0.25">
      <c r="C78" t="s">
        <v>123</v>
      </c>
      <c r="D78">
        <v>2960</v>
      </c>
      <c r="E78">
        <v>2960</v>
      </c>
      <c r="F78">
        <f>1150</f>
        <v>1150</v>
      </c>
      <c r="G78">
        <v>1980</v>
      </c>
      <c r="I78">
        <v>4000</v>
      </c>
      <c r="AJ78" t="s">
        <v>150</v>
      </c>
      <c r="AK78" t="s">
        <v>151</v>
      </c>
    </row>
    <row r="79" spans="3:37" x14ac:dyDescent="0.25">
      <c r="C79" t="s">
        <v>122</v>
      </c>
      <c r="D79">
        <v>1300</v>
      </c>
      <c r="E79">
        <v>1300</v>
      </c>
      <c r="F79">
        <v>1300</v>
      </c>
      <c r="G79">
        <v>1300</v>
      </c>
      <c r="I79">
        <v>1140</v>
      </c>
      <c r="AJ79" t="s">
        <v>152</v>
      </c>
    </row>
    <row r="80" spans="3:37" x14ac:dyDescent="0.25">
      <c r="C80" t="s">
        <v>127</v>
      </c>
      <c r="D80">
        <v>-9815</v>
      </c>
      <c r="E80">
        <v>-4815</v>
      </c>
      <c r="F80">
        <v>-4815</v>
      </c>
      <c r="G80">
        <v>-4815</v>
      </c>
      <c r="I80">
        <v>-4815</v>
      </c>
    </row>
    <row r="81" spans="3:36" x14ac:dyDescent="0.25">
      <c r="C81" t="s">
        <v>128</v>
      </c>
      <c r="AJ81" t="s">
        <v>153</v>
      </c>
    </row>
    <row r="83" spans="3:36" x14ac:dyDescent="0.25">
      <c r="D83">
        <f>SUM(D75:D82)</f>
        <v>39455</v>
      </c>
      <c r="E83">
        <f>SUM(E75:E80)</f>
        <v>39365</v>
      </c>
      <c r="F83">
        <f>SUM(F75:F80)</f>
        <v>40555</v>
      </c>
      <c r="G83">
        <f>SUM(G75:G80)</f>
        <v>41665</v>
      </c>
      <c r="I83">
        <f>SUM(I75:I80)</f>
        <v>43145</v>
      </c>
    </row>
    <row r="84" spans="3:36" x14ac:dyDescent="0.25">
      <c r="C84" t="s">
        <v>124</v>
      </c>
      <c r="D84">
        <v>100</v>
      </c>
      <c r="E84">
        <v>100</v>
      </c>
      <c r="F84">
        <v>100</v>
      </c>
      <c r="G84">
        <v>100</v>
      </c>
      <c r="I84">
        <f>100+350</f>
        <v>450</v>
      </c>
      <c r="AJ84">
        <v>24005</v>
      </c>
    </row>
    <row r="85" spans="3:36" x14ac:dyDescent="0.25">
      <c r="C85" t="s">
        <v>125</v>
      </c>
      <c r="D85">
        <f>+D83-D84</f>
        <v>39355</v>
      </c>
      <c r="E85">
        <f>+E83-E84</f>
        <v>39265</v>
      </c>
      <c r="F85">
        <f>+F83-F84</f>
        <v>40455</v>
      </c>
      <c r="G85">
        <f>+G83-G84</f>
        <v>41565</v>
      </c>
      <c r="I85">
        <f>+I83-I84</f>
        <v>42695</v>
      </c>
      <c r="AJ85">
        <v>-24080</v>
      </c>
    </row>
    <row r="86" spans="3:36" x14ac:dyDescent="0.25">
      <c r="G86">
        <f>+G85-F85</f>
        <v>1110</v>
      </c>
      <c r="I86">
        <f>+I85-G85</f>
        <v>1130</v>
      </c>
      <c r="AJ86">
        <f>SUM(AJ84:AJ85)</f>
        <v>-75</v>
      </c>
    </row>
  </sheetData>
  <mergeCells count="7">
    <mergeCell ref="AB2:AC2"/>
    <mergeCell ref="A4:A16"/>
    <mergeCell ref="A17:A42"/>
    <mergeCell ref="D2:I2"/>
    <mergeCell ref="J2:P2"/>
    <mergeCell ref="Q2:U2"/>
    <mergeCell ref="V2:AA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E294-CD2D-46CE-B4B7-6D35E2683BD8}">
  <dimension ref="A1:IF94"/>
  <sheetViews>
    <sheetView zoomScale="60" zoomScaleNormal="6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V34" sqref="V34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14" customWidth="1"/>
    <col min="10" max="10" width="9.42578125" customWidth="1"/>
    <col min="11" max="11" width="16" customWidth="1"/>
    <col min="12" max="12" width="11.28515625" customWidth="1"/>
    <col min="13" max="13" width="10.140625" customWidth="1"/>
    <col min="14" max="15" width="12" customWidth="1"/>
    <col min="16" max="16" width="11.28515625" customWidth="1"/>
    <col min="17" max="17" width="10.42578125" bestFit="1" customWidth="1"/>
    <col min="18" max="18" width="8.7109375" bestFit="1" customWidth="1"/>
    <col min="19" max="19" width="10.5703125" customWidth="1"/>
    <col min="20" max="20" width="8.7109375" customWidth="1"/>
    <col min="21" max="21" width="11.28515625" customWidth="1"/>
    <col min="22" max="22" width="10.85546875" customWidth="1"/>
    <col min="23" max="25" width="10.7109375" customWidth="1"/>
    <col min="26" max="27" width="13.5703125" customWidth="1"/>
    <col min="28" max="28" width="22" customWidth="1"/>
    <col min="29" max="29" width="14.42578125" customWidth="1"/>
    <col min="30" max="30" width="9.85546875" customWidth="1"/>
    <col min="31" max="31" width="17.140625" customWidth="1"/>
    <col min="32" max="32" width="19" customWidth="1"/>
    <col min="35" max="35" width="15.140625" customWidth="1"/>
  </cols>
  <sheetData>
    <row r="1" spans="1:31" ht="33" customHeight="1" thickBot="1" x14ac:dyDescent="0.3"/>
    <row r="2" spans="1:31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13"/>
      <c r="J2" s="309"/>
      <c r="K2" s="308" t="s">
        <v>1</v>
      </c>
      <c r="L2" s="313"/>
      <c r="M2" s="313"/>
      <c r="N2" s="313"/>
      <c r="O2" s="313"/>
      <c r="P2" s="313"/>
      <c r="Q2" s="309"/>
      <c r="R2" s="308" t="s">
        <v>2</v>
      </c>
      <c r="S2" s="313"/>
      <c r="T2" s="313"/>
      <c r="U2" s="313"/>
      <c r="V2" s="309"/>
      <c r="W2" s="308" t="s">
        <v>3</v>
      </c>
      <c r="X2" s="313"/>
      <c r="Y2" s="313"/>
      <c r="Z2" s="313"/>
      <c r="AA2" s="313"/>
      <c r="AB2" s="225" t="s">
        <v>799</v>
      </c>
      <c r="AC2" s="308" t="s">
        <v>4</v>
      </c>
      <c r="AD2" s="309"/>
      <c r="AE2" s="46" t="s">
        <v>91</v>
      </c>
    </row>
    <row r="3" spans="1:31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7" t="s">
        <v>838</v>
      </c>
      <c r="J3" s="8" t="s">
        <v>13</v>
      </c>
      <c r="K3" s="9" t="s">
        <v>394</v>
      </c>
      <c r="L3" s="7" t="s">
        <v>11</v>
      </c>
      <c r="M3" s="7" t="s">
        <v>12</v>
      </c>
      <c r="N3" s="7" t="s">
        <v>13</v>
      </c>
      <c r="O3" s="7" t="s">
        <v>182</v>
      </c>
      <c r="P3" s="7" t="s">
        <v>15</v>
      </c>
      <c r="Q3" s="8" t="s">
        <v>136</v>
      </c>
      <c r="R3" s="6" t="s">
        <v>12</v>
      </c>
      <c r="S3" s="7" t="s">
        <v>69</v>
      </c>
      <c r="T3" s="7" t="s">
        <v>13</v>
      </c>
      <c r="U3" s="7" t="s">
        <v>16</v>
      </c>
      <c r="V3" s="8" t="s">
        <v>162</v>
      </c>
      <c r="W3" s="6" t="s">
        <v>16</v>
      </c>
      <c r="X3" s="7" t="s">
        <v>77</v>
      </c>
      <c r="Y3" s="7" t="s">
        <v>12</v>
      </c>
      <c r="Z3" s="7" t="s">
        <v>13</v>
      </c>
      <c r="AA3" s="7" t="s">
        <v>8</v>
      </c>
      <c r="AB3" s="226" t="s">
        <v>800</v>
      </c>
      <c r="AC3" s="6" t="s">
        <v>17</v>
      </c>
      <c r="AD3" s="8" t="s">
        <v>18</v>
      </c>
      <c r="AE3" s="10" t="s">
        <v>92</v>
      </c>
    </row>
    <row r="4" spans="1:31" x14ac:dyDescent="0.25">
      <c r="A4" s="310" t="s">
        <v>19</v>
      </c>
      <c r="B4" s="49"/>
      <c r="C4" s="2"/>
      <c r="D4" s="42">
        <v>788</v>
      </c>
      <c r="E4" s="42">
        <v>47</v>
      </c>
      <c r="F4" s="42">
        <v>1261</v>
      </c>
      <c r="G4" s="42">
        <v>140</v>
      </c>
      <c r="H4" s="42">
        <v>52</v>
      </c>
      <c r="I4" s="42"/>
      <c r="J4" s="42">
        <v>0</v>
      </c>
      <c r="K4" s="42">
        <v>10</v>
      </c>
      <c r="L4" s="42">
        <v>10596</v>
      </c>
      <c r="M4" s="42">
        <v>181</v>
      </c>
      <c r="N4" s="42">
        <v>12461</v>
      </c>
      <c r="O4" s="42">
        <v>47</v>
      </c>
      <c r="P4" s="42">
        <v>4066</v>
      </c>
      <c r="Q4" s="42">
        <v>0</v>
      </c>
      <c r="R4" s="42">
        <v>427</v>
      </c>
      <c r="S4" s="42"/>
      <c r="T4" s="42">
        <v>1670</v>
      </c>
      <c r="U4" s="42">
        <v>1565</v>
      </c>
      <c r="V4" s="42">
        <v>0</v>
      </c>
      <c r="W4" s="42">
        <v>1473</v>
      </c>
      <c r="X4" s="42">
        <v>0</v>
      </c>
      <c r="Y4" s="42">
        <v>0</v>
      </c>
      <c r="Z4" s="42">
        <v>0</v>
      </c>
      <c r="AA4" s="42">
        <v>500</v>
      </c>
      <c r="AB4" s="227">
        <f>'STOCK 08-14-02'!W25</f>
        <v>0</v>
      </c>
      <c r="AC4" s="42">
        <v>430</v>
      </c>
      <c r="AD4" s="42">
        <v>0</v>
      </c>
      <c r="AE4" s="42">
        <v>35</v>
      </c>
    </row>
    <row r="5" spans="1:31" x14ac:dyDescent="0.25">
      <c r="A5" s="311"/>
      <c r="B5" s="20"/>
      <c r="C5" s="82"/>
      <c r="D5" s="27"/>
      <c r="F5" s="35"/>
      <c r="J5" s="31"/>
      <c r="K5" s="13"/>
      <c r="L5" s="35"/>
      <c r="N5" s="35"/>
      <c r="O5" s="35"/>
      <c r="P5" s="35"/>
      <c r="Q5" s="14"/>
      <c r="R5" s="27"/>
      <c r="V5" s="31"/>
      <c r="W5" s="13"/>
      <c r="AB5" s="228"/>
      <c r="AC5" s="13"/>
      <c r="AD5" s="31"/>
      <c r="AE5" s="15"/>
    </row>
    <row r="6" spans="1:31" x14ac:dyDescent="0.25">
      <c r="A6" s="311"/>
      <c r="B6" s="160">
        <v>46146</v>
      </c>
      <c r="C6" s="82" t="s">
        <v>46</v>
      </c>
      <c r="D6" s="27"/>
      <c r="F6" s="35"/>
      <c r="J6" s="31"/>
      <c r="K6" s="13"/>
      <c r="L6" s="35"/>
      <c r="N6" s="35"/>
      <c r="O6" s="35"/>
      <c r="P6" s="35"/>
      <c r="Q6" s="14"/>
      <c r="R6" s="27"/>
      <c r="V6" s="31"/>
      <c r="W6" s="13">
        <v>400</v>
      </c>
      <c r="AB6" s="228"/>
      <c r="AC6" s="13"/>
      <c r="AD6" s="31"/>
      <c r="AE6" s="15"/>
    </row>
    <row r="7" spans="1:31" x14ac:dyDescent="0.25">
      <c r="A7" s="311"/>
      <c r="B7" s="160">
        <v>46147</v>
      </c>
      <c r="C7" s="82" t="s">
        <v>27</v>
      </c>
      <c r="D7" s="27"/>
      <c r="F7" s="35"/>
      <c r="J7" s="31"/>
      <c r="K7" s="13"/>
      <c r="L7" s="35"/>
      <c r="N7" s="35"/>
      <c r="O7" s="35"/>
      <c r="P7" s="35"/>
      <c r="Q7" s="14"/>
      <c r="R7" s="27"/>
      <c r="V7" s="31"/>
      <c r="W7" s="13"/>
      <c r="AB7" s="228">
        <v>130</v>
      </c>
      <c r="AC7" s="13"/>
      <c r="AD7" s="31"/>
      <c r="AE7" s="15"/>
    </row>
    <row r="8" spans="1:31" x14ac:dyDescent="0.25">
      <c r="A8" s="311"/>
      <c r="B8" s="160">
        <v>46148</v>
      </c>
      <c r="C8" s="82" t="s">
        <v>27</v>
      </c>
      <c r="D8" s="27"/>
      <c r="F8" s="35"/>
      <c r="J8" s="31"/>
      <c r="K8" s="13"/>
      <c r="L8" s="35">
        <v>3000</v>
      </c>
      <c r="N8" s="35"/>
      <c r="O8" s="35"/>
      <c r="P8" s="35"/>
      <c r="Q8" s="14"/>
      <c r="R8" s="27"/>
      <c r="V8" s="31"/>
      <c r="W8" s="13"/>
      <c r="AB8" s="228"/>
      <c r="AC8" s="13"/>
      <c r="AD8" s="31"/>
      <c r="AE8" s="15"/>
    </row>
    <row r="9" spans="1:31" x14ac:dyDescent="0.25">
      <c r="A9" s="311"/>
      <c r="B9" s="160">
        <v>46149</v>
      </c>
      <c r="C9" s="82" t="s">
        <v>46</v>
      </c>
      <c r="D9" s="27">
        <v>6</v>
      </c>
      <c r="F9" s="35"/>
      <c r="J9" s="31"/>
      <c r="K9" s="13"/>
      <c r="L9" s="35"/>
      <c r="N9" s="35"/>
      <c r="O9" s="35"/>
      <c r="P9" s="35">
        <v>1000</v>
      </c>
      <c r="Q9" s="14"/>
      <c r="R9" s="27"/>
      <c r="V9" s="31"/>
      <c r="W9" s="13"/>
      <c r="AB9" s="228"/>
      <c r="AC9" s="13"/>
      <c r="AD9" s="31"/>
      <c r="AE9" s="15"/>
    </row>
    <row r="10" spans="1:31" x14ac:dyDescent="0.25">
      <c r="A10" s="311"/>
      <c r="B10" s="160">
        <v>46149</v>
      </c>
      <c r="C10" s="82" t="s">
        <v>46</v>
      </c>
      <c r="D10" s="27"/>
      <c r="F10" s="35"/>
      <c r="J10" s="31"/>
      <c r="K10" s="13"/>
      <c r="L10" s="35"/>
      <c r="N10" s="35"/>
      <c r="O10" s="35"/>
      <c r="P10" s="35"/>
      <c r="Q10" s="14">
        <v>3000</v>
      </c>
      <c r="R10" s="27"/>
      <c r="V10" s="31"/>
      <c r="W10" s="13"/>
      <c r="AB10" s="228"/>
      <c r="AC10" s="13"/>
      <c r="AD10" s="31"/>
      <c r="AE10" s="15"/>
    </row>
    <row r="11" spans="1:31" x14ac:dyDescent="0.25">
      <c r="A11" s="311"/>
      <c r="B11" s="160">
        <v>46150</v>
      </c>
      <c r="C11" s="82" t="s">
        <v>46</v>
      </c>
      <c r="D11" s="27"/>
      <c r="F11" s="35"/>
      <c r="I11">
        <v>5000</v>
      </c>
      <c r="J11" s="31"/>
      <c r="K11" s="13"/>
      <c r="L11" s="35"/>
      <c r="N11" s="35"/>
      <c r="O11" s="35"/>
      <c r="P11" s="35"/>
      <c r="Q11" s="14"/>
      <c r="R11" s="27"/>
      <c r="V11" s="31"/>
      <c r="W11" s="13"/>
      <c r="AB11" s="228"/>
      <c r="AC11" s="13"/>
      <c r="AD11" s="31"/>
      <c r="AE11" s="15"/>
    </row>
    <row r="12" spans="1:31" x14ac:dyDescent="0.25">
      <c r="A12" s="311"/>
      <c r="B12" s="160">
        <v>46151</v>
      </c>
      <c r="C12" s="82" t="s">
        <v>27</v>
      </c>
      <c r="D12" s="27"/>
      <c r="F12" s="35"/>
      <c r="J12" s="31"/>
      <c r="K12" s="13"/>
      <c r="L12" s="35"/>
      <c r="N12" s="35"/>
      <c r="O12" s="35"/>
      <c r="P12" s="35"/>
      <c r="Q12" s="14">
        <v>3000</v>
      </c>
      <c r="R12" s="27"/>
      <c r="V12" s="31"/>
      <c r="W12" s="13"/>
      <c r="AB12" s="228"/>
      <c r="AC12" s="13"/>
      <c r="AD12" s="31"/>
      <c r="AE12" s="15"/>
    </row>
    <row r="13" spans="1:31" x14ac:dyDescent="0.25">
      <c r="A13" s="311"/>
      <c r="B13" s="160">
        <v>46151</v>
      </c>
      <c r="C13" s="82" t="s">
        <v>46</v>
      </c>
      <c r="D13" s="27"/>
      <c r="F13" s="35"/>
      <c r="J13" s="31"/>
      <c r="K13" s="13"/>
      <c r="L13" s="35"/>
      <c r="N13" s="35"/>
      <c r="O13" s="35"/>
      <c r="P13" s="35">
        <v>4000</v>
      </c>
      <c r="Q13" s="14"/>
      <c r="R13" s="27"/>
      <c r="V13" s="31"/>
      <c r="W13" s="13"/>
      <c r="AB13" s="228"/>
      <c r="AC13" s="13"/>
      <c r="AD13" s="31"/>
      <c r="AE13" s="15"/>
    </row>
    <row r="14" spans="1:31" x14ac:dyDescent="0.25">
      <c r="A14" s="311"/>
      <c r="B14" s="160"/>
      <c r="C14" s="82"/>
      <c r="D14" s="27"/>
      <c r="F14" s="35"/>
      <c r="J14" s="31"/>
      <c r="K14" s="13"/>
      <c r="L14" s="35"/>
      <c r="N14" s="35"/>
      <c r="O14" s="35"/>
      <c r="P14" s="35"/>
      <c r="Q14" s="14"/>
      <c r="R14" s="27"/>
      <c r="V14" s="31"/>
      <c r="W14" s="13"/>
      <c r="AB14" s="228"/>
      <c r="AC14" s="13"/>
      <c r="AD14" s="31"/>
      <c r="AE14" s="15"/>
    </row>
    <row r="15" spans="1:31" x14ac:dyDescent="0.25">
      <c r="A15" s="311"/>
      <c r="B15" s="160"/>
      <c r="C15" s="82"/>
      <c r="D15" s="27"/>
      <c r="F15" s="35"/>
      <c r="J15" s="31"/>
      <c r="K15" s="13"/>
      <c r="L15" s="35"/>
      <c r="N15" s="35"/>
      <c r="O15" s="35"/>
      <c r="P15" s="35"/>
      <c r="Q15" s="14"/>
      <c r="R15" s="27"/>
      <c r="V15" s="31"/>
      <c r="W15" s="13"/>
      <c r="AB15" s="228"/>
      <c r="AC15" s="13"/>
      <c r="AD15" s="31"/>
      <c r="AE15" s="15"/>
    </row>
    <row r="16" spans="1:31" x14ac:dyDescent="0.25">
      <c r="A16" s="311"/>
      <c r="B16" s="20"/>
      <c r="C16" s="82"/>
      <c r="D16" s="27"/>
      <c r="F16" s="35"/>
      <c r="J16" s="31"/>
      <c r="K16" s="13"/>
      <c r="L16" s="35"/>
      <c r="N16" s="35"/>
      <c r="O16" s="35"/>
      <c r="P16" s="35"/>
      <c r="Q16" s="14"/>
      <c r="R16" s="27"/>
      <c r="V16" s="31"/>
      <c r="W16" s="13"/>
      <c r="AB16" s="228"/>
      <c r="AC16" s="13"/>
      <c r="AD16" s="31"/>
      <c r="AE16" s="15"/>
    </row>
    <row r="17" spans="1:31" ht="13.5" customHeight="1" thickBot="1" x14ac:dyDescent="0.3">
      <c r="A17" s="311"/>
      <c r="B17" s="72"/>
      <c r="C17" s="231"/>
      <c r="D17" s="28"/>
      <c r="E17" s="18"/>
      <c r="F17" s="36"/>
      <c r="G17" s="18"/>
      <c r="H17" s="18"/>
      <c r="I17" s="18"/>
      <c r="J17" s="32"/>
      <c r="K17" s="16"/>
      <c r="L17" s="36"/>
      <c r="M17" s="18"/>
      <c r="N17" s="36"/>
      <c r="O17" s="36"/>
      <c r="P17" s="36"/>
      <c r="Q17" s="17"/>
      <c r="R17" s="28"/>
      <c r="S17" s="18"/>
      <c r="T17" s="18"/>
      <c r="U17" s="18"/>
      <c r="V17" s="32"/>
      <c r="W17" s="16"/>
      <c r="X17" s="18"/>
      <c r="Y17" s="18"/>
      <c r="Z17" s="18"/>
      <c r="AA17" s="18"/>
      <c r="AB17" s="232"/>
      <c r="AC17" s="16"/>
      <c r="AD17" s="32"/>
      <c r="AE17" s="19"/>
    </row>
    <row r="18" spans="1:31" x14ac:dyDescent="0.25">
      <c r="A18" s="310" t="s">
        <v>62</v>
      </c>
      <c r="B18" s="160"/>
      <c r="C18" s="14"/>
      <c r="D18" s="27"/>
      <c r="F18" s="35"/>
      <c r="J18" s="31"/>
      <c r="K18" s="13"/>
      <c r="L18" s="35"/>
      <c r="N18" s="35"/>
      <c r="O18" s="35"/>
      <c r="P18" s="35"/>
      <c r="Q18" s="14"/>
      <c r="R18" s="27"/>
      <c r="V18" s="31"/>
      <c r="W18" s="13"/>
      <c r="AB18" s="228"/>
      <c r="AC18" s="13"/>
      <c r="AD18" s="31"/>
      <c r="AE18" s="15"/>
    </row>
    <row r="19" spans="1:31" x14ac:dyDescent="0.25">
      <c r="A19" s="311"/>
      <c r="B19" s="160"/>
      <c r="C19" s="14"/>
      <c r="D19" s="27"/>
      <c r="F19" s="35"/>
      <c r="J19" s="31"/>
      <c r="K19" s="13"/>
      <c r="L19" s="35"/>
      <c r="N19" s="35"/>
      <c r="O19" s="35"/>
      <c r="P19" s="35"/>
      <c r="Q19" s="14"/>
      <c r="R19" s="27"/>
      <c r="V19" s="31"/>
      <c r="W19" s="13"/>
      <c r="AB19" s="228"/>
      <c r="AC19" s="13"/>
      <c r="AD19" s="31"/>
      <c r="AE19" s="15"/>
    </row>
    <row r="20" spans="1:31" x14ac:dyDescent="0.25">
      <c r="A20" s="311"/>
      <c r="B20" s="160"/>
      <c r="C20" s="14"/>
      <c r="D20" s="27"/>
      <c r="F20" s="35"/>
      <c r="J20" s="31"/>
      <c r="K20" s="13"/>
      <c r="L20" s="35"/>
      <c r="N20" s="35"/>
      <c r="O20" s="35"/>
      <c r="P20" s="35"/>
      <c r="Q20" s="14"/>
      <c r="R20" s="27"/>
      <c r="V20" s="31"/>
      <c r="W20" s="13"/>
      <c r="AB20" s="228"/>
      <c r="AC20" s="13"/>
      <c r="AD20" s="31"/>
      <c r="AE20" s="15"/>
    </row>
    <row r="21" spans="1:31" x14ac:dyDescent="0.25">
      <c r="A21" s="311"/>
      <c r="B21" s="160">
        <v>46146</v>
      </c>
      <c r="C21" s="14" t="s">
        <v>791</v>
      </c>
      <c r="D21" s="27"/>
      <c r="F21" s="35"/>
      <c r="J21" s="31"/>
      <c r="K21" s="13"/>
      <c r="L21" s="35">
        <v>3000</v>
      </c>
      <c r="N21" s="35"/>
      <c r="O21" s="35"/>
      <c r="P21" s="35"/>
      <c r="Q21" s="14"/>
      <c r="R21" s="27"/>
      <c r="V21" s="31"/>
      <c r="W21" s="13"/>
      <c r="AB21" s="228"/>
      <c r="AC21" s="13"/>
      <c r="AD21" s="31"/>
      <c r="AE21" s="15"/>
    </row>
    <row r="22" spans="1:31" ht="16.5" customHeight="1" x14ac:dyDescent="0.25">
      <c r="A22" s="311"/>
      <c r="B22" s="160">
        <v>46146</v>
      </c>
      <c r="C22" s="14" t="s">
        <v>794</v>
      </c>
      <c r="D22" s="27"/>
      <c r="F22" s="35"/>
      <c r="J22" s="31"/>
      <c r="K22" s="13"/>
      <c r="L22" s="35"/>
      <c r="N22" s="35"/>
      <c r="O22" s="35"/>
      <c r="P22" s="35">
        <v>250</v>
      </c>
      <c r="Q22" s="14"/>
      <c r="R22" s="27"/>
      <c r="V22" s="31"/>
      <c r="W22" s="13"/>
      <c r="AB22" s="228"/>
      <c r="AC22" s="13"/>
      <c r="AD22" s="31"/>
      <c r="AE22" s="15"/>
    </row>
    <row r="23" spans="1:31" ht="16.5" customHeight="1" x14ac:dyDescent="0.25">
      <c r="A23" s="311"/>
      <c r="B23" s="160">
        <v>46146</v>
      </c>
      <c r="C23" s="14" t="s">
        <v>795</v>
      </c>
      <c r="D23" s="27"/>
      <c r="F23" s="35"/>
      <c r="J23" s="31"/>
      <c r="K23" s="13"/>
      <c r="L23" s="35">
        <v>800</v>
      </c>
      <c r="N23" s="35"/>
      <c r="O23" s="35"/>
      <c r="P23" s="35"/>
      <c r="Q23" s="14"/>
      <c r="R23" s="27"/>
      <c r="V23" s="31"/>
      <c r="W23" s="13"/>
      <c r="AB23" s="228"/>
      <c r="AC23" s="13"/>
      <c r="AD23" s="31"/>
      <c r="AE23" s="15"/>
    </row>
    <row r="24" spans="1:31" ht="16.5" customHeight="1" x14ac:dyDescent="0.25">
      <c r="A24" s="311"/>
      <c r="B24" s="160">
        <v>46146</v>
      </c>
      <c r="C24" s="14" t="s">
        <v>796</v>
      </c>
      <c r="D24" s="27"/>
      <c r="F24" s="35"/>
      <c r="J24" s="31"/>
      <c r="K24" s="13"/>
      <c r="L24" s="35">
        <v>200</v>
      </c>
      <c r="N24" s="35"/>
      <c r="O24" s="35"/>
      <c r="P24" s="35"/>
      <c r="Q24" s="14"/>
      <c r="R24" s="27"/>
      <c r="V24" s="31"/>
      <c r="W24" s="13"/>
      <c r="AB24" s="228"/>
      <c r="AC24" s="13"/>
      <c r="AD24" s="31"/>
      <c r="AE24" s="15"/>
    </row>
    <row r="25" spans="1:31" ht="16.5" customHeight="1" x14ac:dyDescent="0.25">
      <c r="A25" s="311"/>
      <c r="B25" s="160">
        <v>46147</v>
      </c>
      <c r="C25" s="14" t="s">
        <v>807</v>
      </c>
      <c r="D25" s="27"/>
      <c r="F25" s="35"/>
      <c r="J25" s="31"/>
      <c r="K25" s="13"/>
      <c r="L25" s="35"/>
      <c r="N25" s="35">
        <v>3100</v>
      </c>
      <c r="O25" s="35"/>
      <c r="P25" s="35"/>
      <c r="Q25" s="14"/>
      <c r="R25" s="27"/>
      <c r="V25" s="31"/>
      <c r="W25" s="13"/>
      <c r="AB25" s="228"/>
      <c r="AC25" s="13"/>
      <c r="AD25" s="31"/>
      <c r="AE25" s="15"/>
    </row>
    <row r="26" spans="1:31" ht="16.5" customHeight="1" x14ac:dyDescent="0.25">
      <c r="A26" s="311"/>
      <c r="B26" s="160">
        <v>46148</v>
      </c>
      <c r="C26" s="14" t="s">
        <v>811</v>
      </c>
      <c r="D26" s="27"/>
      <c r="F26" s="35"/>
      <c r="J26" s="31"/>
      <c r="K26" s="13"/>
      <c r="L26" s="35"/>
      <c r="N26" s="35"/>
      <c r="O26" s="35"/>
      <c r="P26" s="35">
        <v>1500</v>
      </c>
      <c r="Q26" s="14"/>
      <c r="R26" s="27"/>
      <c r="V26" s="31"/>
      <c r="W26" s="13"/>
      <c r="AB26" s="228"/>
      <c r="AC26" s="13"/>
      <c r="AD26" s="31"/>
      <c r="AE26" s="15"/>
    </row>
    <row r="27" spans="1:31" ht="16.5" customHeight="1" x14ac:dyDescent="0.25">
      <c r="A27" s="311"/>
      <c r="B27" s="160">
        <v>46148</v>
      </c>
      <c r="C27" s="14" t="s">
        <v>814</v>
      </c>
      <c r="D27" s="27">
        <v>794</v>
      </c>
      <c r="F27" s="35"/>
      <c r="J27" s="31"/>
      <c r="K27" s="13"/>
      <c r="L27" s="35"/>
      <c r="N27" s="35"/>
      <c r="O27" s="35"/>
      <c r="P27" s="35"/>
      <c r="Q27" s="14"/>
      <c r="R27" s="27"/>
      <c r="V27" s="31"/>
      <c r="W27" s="13"/>
      <c r="AB27" s="228"/>
      <c r="AC27" s="13"/>
      <c r="AD27" s="31"/>
      <c r="AE27" s="15"/>
    </row>
    <row r="28" spans="1:31" ht="16.5" customHeight="1" x14ac:dyDescent="0.25">
      <c r="A28" s="311"/>
      <c r="B28" s="160">
        <v>46149</v>
      </c>
      <c r="C28" s="14" t="s">
        <v>831</v>
      </c>
      <c r="D28" s="27"/>
      <c r="E28">
        <v>45</v>
      </c>
      <c r="F28" s="35"/>
      <c r="J28" s="31"/>
      <c r="K28" s="13"/>
      <c r="L28" s="35"/>
      <c r="N28" s="35"/>
      <c r="O28" s="35"/>
      <c r="P28" s="35"/>
      <c r="Q28" s="14"/>
      <c r="R28" s="27"/>
      <c r="V28" s="31"/>
      <c r="W28" s="13"/>
      <c r="AB28" s="228"/>
      <c r="AC28" s="13"/>
      <c r="AD28" s="31"/>
      <c r="AE28" s="15"/>
    </row>
    <row r="29" spans="1:31" ht="16.5" customHeight="1" x14ac:dyDescent="0.25">
      <c r="A29" s="311"/>
      <c r="B29" s="160">
        <v>46149</v>
      </c>
      <c r="C29" s="14" t="s">
        <v>832</v>
      </c>
      <c r="D29" s="27"/>
      <c r="F29" s="35"/>
      <c r="J29" s="31"/>
      <c r="K29" s="13"/>
      <c r="L29" s="35"/>
      <c r="N29" s="35"/>
      <c r="O29" s="35"/>
      <c r="P29" s="35"/>
      <c r="Q29" s="14"/>
      <c r="R29" s="27"/>
      <c r="U29">
        <v>380</v>
      </c>
      <c r="V29" s="31"/>
      <c r="W29" s="13"/>
      <c r="AB29" s="228"/>
      <c r="AC29" s="13"/>
      <c r="AD29" s="31"/>
      <c r="AE29" s="15"/>
    </row>
    <row r="30" spans="1:31" ht="16.5" customHeight="1" x14ac:dyDescent="0.25">
      <c r="A30" s="311"/>
      <c r="B30" s="160">
        <v>46150</v>
      </c>
      <c r="C30" s="14" t="s">
        <v>791</v>
      </c>
      <c r="D30" s="27"/>
      <c r="F30" s="35"/>
      <c r="J30" s="31"/>
      <c r="K30" s="13"/>
      <c r="L30" s="35"/>
      <c r="N30" s="35"/>
      <c r="O30" s="35"/>
      <c r="P30" s="35"/>
      <c r="Q30" s="14"/>
      <c r="R30" s="27"/>
      <c r="U30">
        <v>1000</v>
      </c>
      <c r="V30" s="31"/>
      <c r="W30" s="13"/>
      <c r="AB30" s="228"/>
      <c r="AC30" s="13"/>
      <c r="AD30" s="31"/>
      <c r="AE30" s="15"/>
    </row>
    <row r="31" spans="1:31" ht="16.5" customHeight="1" x14ac:dyDescent="0.25">
      <c r="A31" s="311"/>
      <c r="B31" s="160">
        <v>46150</v>
      </c>
      <c r="C31" s="14" t="s">
        <v>841</v>
      </c>
      <c r="D31" s="27"/>
      <c r="F31" s="35"/>
      <c r="J31" s="31"/>
      <c r="K31" s="13"/>
      <c r="L31" s="35"/>
      <c r="N31" s="35"/>
      <c r="O31" s="35"/>
      <c r="P31" s="35">
        <v>500</v>
      </c>
      <c r="Q31" s="14"/>
      <c r="R31" s="27"/>
      <c r="V31" s="31"/>
      <c r="W31" s="13"/>
      <c r="AB31" s="228"/>
      <c r="AC31" s="13"/>
      <c r="AD31" s="31"/>
      <c r="AE31" s="15"/>
    </row>
    <row r="32" spans="1:31" ht="16.5" customHeight="1" x14ac:dyDescent="0.25">
      <c r="A32" s="311"/>
      <c r="B32" s="160">
        <v>46150</v>
      </c>
      <c r="C32" s="14" t="s">
        <v>842</v>
      </c>
      <c r="D32" s="27"/>
      <c r="F32" s="35"/>
      <c r="J32" s="31"/>
      <c r="K32" s="13"/>
      <c r="L32" s="35"/>
      <c r="N32" s="35"/>
      <c r="O32" s="35"/>
      <c r="P32" s="35"/>
      <c r="Q32" s="14"/>
      <c r="R32" s="27"/>
      <c r="V32" s="31"/>
      <c r="W32" s="13"/>
      <c r="AB32" s="228"/>
      <c r="AC32" s="13">
        <v>30</v>
      </c>
      <c r="AD32" s="31"/>
      <c r="AE32" s="15"/>
    </row>
    <row r="33" spans="1:240" ht="16.5" customHeight="1" x14ac:dyDescent="0.25">
      <c r="A33" s="311"/>
      <c r="B33" s="160">
        <v>46150</v>
      </c>
      <c r="C33" s="14" t="s">
        <v>392</v>
      </c>
      <c r="D33" s="27"/>
      <c r="F33" s="35"/>
      <c r="J33" s="31"/>
      <c r="K33" s="13"/>
      <c r="L33" s="35"/>
      <c r="N33" s="35">
        <v>800</v>
      </c>
      <c r="O33" s="35"/>
      <c r="P33" s="35"/>
      <c r="Q33" s="14"/>
      <c r="R33" s="27"/>
      <c r="V33" s="31"/>
      <c r="W33" s="13"/>
      <c r="AB33" s="228"/>
      <c r="AC33" s="13"/>
      <c r="AD33" s="31"/>
      <c r="AE33" s="15"/>
    </row>
    <row r="34" spans="1:240" ht="16.5" customHeight="1" x14ac:dyDescent="0.25">
      <c r="A34" s="311"/>
      <c r="B34" s="160">
        <v>46150</v>
      </c>
      <c r="C34" s="14" t="s">
        <v>843</v>
      </c>
      <c r="D34" s="27"/>
      <c r="F34" s="35"/>
      <c r="J34" s="31"/>
      <c r="K34" s="13"/>
      <c r="L34" s="35"/>
      <c r="N34" s="35">
        <v>2000</v>
      </c>
      <c r="O34" s="35"/>
      <c r="P34" s="35"/>
      <c r="Q34" s="14"/>
      <c r="R34" s="27"/>
      <c r="V34" s="31"/>
      <c r="W34" s="13"/>
      <c r="AB34" s="228"/>
      <c r="AC34" s="13"/>
      <c r="AD34" s="31"/>
      <c r="AE34" s="15"/>
    </row>
    <row r="35" spans="1:240" ht="16.5" customHeight="1" x14ac:dyDescent="0.25">
      <c r="A35" s="311"/>
      <c r="B35" s="160">
        <v>46151</v>
      </c>
      <c r="C35" s="14" t="s">
        <v>845</v>
      </c>
      <c r="D35" s="27"/>
      <c r="F35" s="35"/>
      <c r="I35">
        <v>2092</v>
      </c>
      <c r="J35" s="31"/>
      <c r="K35" s="13"/>
      <c r="L35" s="35"/>
      <c r="N35" s="35"/>
      <c r="O35" s="35"/>
      <c r="P35" s="35"/>
      <c r="Q35" s="14"/>
      <c r="R35" s="27"/>
      <c r="V35" s="31"/>
      <c r="W35" s="13"/>
      <c r="AB35" s="228"/>
      <c r="AC35" s="13"/>
      <c r="AD35" s="31"/>
      <c r="AE35" s="15"/>
    </row>
    <row r="36" spans="1:240" ht="16.5" customHeight="1" x14ac:dyDescent="0.25">
      <c r="A36" s="311"/>
      <c r="B36" s="160">
        <v>46151</v>
      </c>
      <c r="C36" s="14" t="s">
        <v>846</v>
      </c>
      <c r="D36" s="27"/>
      <c r="F36" s="35"/>
      <c r="I36">
        <v>500</v>
      </c>
      <c r="J36" s="31"/>
      <c r="K36" s="13"/>
      <c r="L36" s="35"/>
      <c r="N36" s="35"/>
      <c r="O36" s="35"/>
      <c r="P36" s="35"/>
      <c r="Q36" s="14"/>
      <c r="R36" s="27"/>
      <c r="U36">
        <v>80</v>
      </c>
      <c r="V36" s="31"/>
      <c r="W36" s="13"/>
      <c r="AB36" s="228"/>
      <c r="AC36" s="13"/>
      <c r="AD36" s="31"/>
      <c r="AE36" s="15"/>
    </row>
    <row r="37" spans="1:240" ht="16.5" customHeight="1" x14ac:dyDescent="0.25">
      <c r="A37" s="311"/>
      <c r="B37" s="160">
        <v>46151</v>
      </c>
      <c r="C37" s="14" t="s">
        <v>847</v>
      </c>
      <c r="D37" s="27"/>
      <c r="F37" s="35"/>
      <c r="I37">
        <v>1000</v>
      </c>
      <c r="J37" s="31"/>
      <c r="K37" s="13"/>
      <c r="L37" s="35"/>
      <c r="N37" s="35"/>
      <c r="O37" s="35"/>
      <c r="P37" s="35"/>
      <c r="Q37" s="14"/>
      <c r="R37" s="27"/>
      <c r="V37" s="31"/>
      <c r="W37" s="13"/>
      <c r="AB37" s="228"/>
      <c r="AC37" s="13"/>
      <c r="AD37" s="31"/>
      <c r="AE37" s="15"/>
    </row>
    <row r="38" spans="1:240" ht="16.5" customHeight="1" x14ac:dyDescent="0.25">
      <c r="A38" s="311"/>
      <c r="B38" s="160">
        <v>46151</v>
      </c>
      <c r="C38" s="14" t="s">
        <v>860</v>
      </c>
      <c r="D38" s="27"/>
      <c r="F38" s="35"/>
      <c r="J38" s="31"/>
      <c r="K38" s="13"/>
      <c r="L38" s="35"/>
      <c r="N38" s="35"/>
      <c r="O38" s="35"/>
      <c r="P38" s="35"/>
      <c r="Q38" s="14"/>
      <c r="R38" s="27"/>
      <c r="V38" s="31"/>
      <c r="W38" s="13">
        <v>320</v>
      </c>
      <c r="AB38" s="228"/>
      <c r="AC38" s="13"/>
      <c r="AD38" s="31"/>
      <c r="AE38" s="15"/>
    </row>
    <row r="39" spans="1:240" ht="16.5" customHeight="1" x14ac:dyDescent="0.25">
      <c r="A39" s="311"/>
      <c r="B39" s="160"/>
      <c r="C39" s="14"/>
      <c r="D39" s="27"/>
      <c r="F39" s="35"/>
      <c r="J39" s="31"/>
      <c r="K39" s="13"/>
      <c r="L39" s="35"/>
      <c r="N39" s="35"/>
      <c r="O39" s="35"/>
      <c r="P39" s="35"/>
      <c r="Q39" s="14"/>
      <c r="R39" s="27"/>
      <c r="V39" s="31"/>
      <c r="W39" s="13"/>
      <c r="AB39" s="228"/>
      <c r="AC39" s="13"/>
      <c r="AD39" s="31"/>
      <c r="AE39" s="15"/>
    </row>
    <row r="40" spans="1:240" ht="16.5" customHeight="1" x14ac:dyDescent="0.25">
      <c r="A40" s="311"/>
      <c r="B40" s="160"/>
      <c r="C40" s="14"/>
      <c r="D40" s="27"/>
      <c r="F40" s="35"/>
      <c r="J40" s="31"/>
      <c r="K40" s="13"/>
      <c r="L40" s="35"/>
      <c r="N40" s="35"/>
      <c r="O40" s="35"/>
      <c r="P40" s="35"/>
      <c r="Q40" s="14"/>
      <c r="R40" s="27"/>
      <c r="V40" s="31"/>
      <c r="W40" s="13"/>
      <c r="AB40" s="228"/>
      <c r="AC40" s="13"/>
      <c r="AD40" s="31"/>
      <c r="AE40" s="15"/>
    </row>
    <row r="41" spans="1:240" ht="16.5" customHeight="1" x14ac:dyDescent="0.25">
      <c r="A41" s="311"/>
      <c r="B41" s="160"/>
      <c r="C41" s="14"/>
      <c r="D41" s="27"/>
      <c r="F41" s="35"/>
      <c r="J41" s="31"/>
      <c r="K41" s="13"/>
      <c r="L41" s="35"/>
      <c r="N41" s="35"/>
      <c r="O41" s="35"/>
      <c r="P41" s="35"/>
      <c r="Q41" s="14"/>
      <c r="R41" s="27"/>
      <c r="V41" s="31"/>
      <c r="W41" s="13"/>
      <c r="AB41" s="228"/>
      <c r="AC41" s="13"/>
      <c r="AD41" s="31"/>
      <c r="AE41" s="15"/>
    </row>
    <row r="42" spans="1:240" ht="16.5" customHeight="1" x14ac:dyDescent="0.25">
      <c r="A42" s="311"/>
      <c r="B42" s="160"/>
      <c r="C42" s="14"/>
      <c r="D42" s="27"/>
      <c r="F42" s="35"/>
      <c r="J42" s="31"/>
      <c r="K42" s="13"/>
      <c r="L42" s="35"/>
      <c r="N42" s="35"/>
      <c r="O42" s="35"/>
      <c r="P42" s="35"/>
      <c r="Q42" s="14"/>
      <c r="R42" s="27"/>
      <c r="V42" s="31"/>
      <c r="W42" s="13"/>
      <c r="AB42" s="228"/>
      <c r="AC42" s="13"/>
      <c r="AD42" s="31"/>
      <c r="AE42" s="15"/>
    </row>
    <row r="43" spans="1:240" ht="16.5" customHeight="1" x14ac:dyDescent="0.25">
      <c r="A43" s="311"/>
      <c r="B43" s="160"/>
      <c r="C43" s="14"/>
      <c r="D43" s="27"/>
      <c r="F43" s="35"/>
      <c r="J43" s="31"/>
      <c r="K43" s="13"/>
      <c r="L43" s="35"/>
      <c r="N43" s="35"/>
      <c r="O43" s="35"/>
      <c r="P43" s="35"/>
      <c r="Q43" s="14"/>
      <c r="R43" s="27"/>
      <c r="V43" s="31"/>
      <c r="W43" s="13"/>
      <c r="AB43" s="228"/>
      <c r="AC43" s="13"/>
      <c r="AD43" s="31"/>
      <c r="AE43" s="15"/>
    </row>
    <row r="44" spans="1:240" ht="16.5" customHeight="1" x14ac:dyDescent="0.25">
      <c r="A44" s="311"/>
      <c r="B44" s="160"/>
      <c r="C44" s="14"/>
      <c r="D44" s="27"/>
      <c r="F44" s="35"/>
      <c r="J44" s="31"/>
      <c r="K44" s="13"/>
      <c r="L44" s="35"/>
      <c r="N44" s="35"/>
      <c r="O44" s="35"/>
      <c r="P44" s="35"/>
      <c r="Q44" s="14"/>
      <c r="R44" s="27"/>
      <c r="V44" s="31"/>
      <c r="W44" s="13"/>
      <c r="AB44" s="228"/>
      <c r="AC44" s="13"/>
      <c r="AD44" s="31"/>
      <c r="AE44" s="15"/>
    </row>
    <row r="45" spans="1:240" ht="16.5" customHeight="1" x14ac:dyDescent="0.25">
      <c r="A45" s="311"/>
      <c r="B45" s="160"/>
      <c r="C45" s="14"/>
      <c r="D45" s="27"/>
      <c r="F45" s="35"/>
      <c r="J45" s="31"/>
      <c r="K45" s="13"/>
      <c r="L45" s="35"/>
      <c r="N45" s="35"/>
      <c r="O45" s="35"/>
      <c r="P45" s="35"/>
      <c r="Q45" s="14"/>
      <c r="R45" s="27"/>
      <c r="V45" s="31"/>
      <c r="W45" s="13"/>
      <c r="AB45" s="228"/>
      <c r="AC45" s="13"/>
      <c r="AD45" s="31"/>
      <c r="AE45" s="15"/>
    </row>
    <row r="46" spans="1:240" ht="16.5" customHeight="1" x14ac:dyDescent="0.25">
      <c r="A46" s="311"/>
      <c r="B46" s="160"/>
      <c r="C46" s="14"/>
      <c r="D46" s="27"/>
      <c r="F46" s="35"/>
      <c r="J46" s="31"/>
      <c r="K46" s="13"/>
      <c r="L46" s="35"/>
      <c r="N46" s="35"/>
      <c r="O46" s="35"/>
      <c r="P46" s="35"/>
      <c r="Q46" s="14"/>
      <c r="R46" s="27"/>
      <c r="V46" s="31"/>
      <c r="W46" s="13"/>
      <c r="AB46" s="228"/>
      <c r="AC46" s="13"/>
      <c r="AD46" s="31"/>
      <c r="AE46" s="15"/>
    </row>
    <row r="47" spans="1:240" x14ac:dyDescent="0.25">
      <c r="A47" s="311"/>
      <c r="B47" s="160"/>
      <c r="C47" s="14"/>
      <c r="D47" s="27"/>
      <c r="F47" s="35"/>
      <c r="J47" s="31"/>
      <c r="K47" s="13"/>
      <c r="L47" s="35"/>
      <c r="N47" s="35"/>
      <c r="O47" s="35"/>
      <c r="P47" s="35"/>
      <c r="Q47" s="14"/>
      <c r="R47" s="27"/>
      <c r="V47" s="31"/>
      <c r="W47" s="13"/>
      <c r="AB47" s="228"/>
      <c r="AC47" s="13"/>
      <c r="AD47" s="31"/>
      <c r="AE47" s="15"/>
    </row>
    <row r="48" spans="1:240" s="52" customFormat="1" x14ac:dyDescent="0.25">
      <c r="A48" s="311"/>
      <c r="B48" s="114"/>
      <c r="C48" s="105" t="s">
        <v>137</v>
      </c>
      <c r="D48" s="83"/>
      <c r="J48" s="105"/>
      <c r="K48" s="83"/>
      <c r="Q48" s="105"/>
      <c r="R48" s="83"/>
      <c r="V48" s="105"/>
      <c r="W48" s="83"/>
      <c r="AB48" s="229"/>
      <c r="AC48" s="83"/>
      <c r="AD48" s="105"/>
      <c r="AE48" s="115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</row>
    <row r="49" spans="1:38" x14ac:dyDescent="0.25">
      <c r="A49" s="311"/>
      <c r="B49" s="20"/>
      <c r="C49" s="14"/>
      <c r="D49" s="27"/>
      <c r="F49" s="35"/>
      <c r="J49" s="31"/>
      <c r="K49" s="13"/>
      <c r="L49" s="35"/>
      <c r="N49" s="35"/>
      <c r="O49" s="35"/>
      <c r="P49" s="35"/>
      <c r="Q49" s="14"/>
      <c r="R49" s="27"/>
      <c r="V49" s="31"/>
      <c r="W49" s="13"/>
      <c r="AB49" s="228"/>
      <c r="AC49" s="13"/>
      <c r="AD49" s="31"/>
      <c r="AE49" s="15"/>
    </row>
    <row r="50" spans="1:38" ht="15.75" thickBot="1" x14ac:dyDescent="0.3">
      <c r="A50" s="312"/>
      <c r="B50" s="13"/>
      <c r="C50" s="14"/>
      <c r="D50" s="27"/>
      <c r="F50" s="35"/>
      <c r="J50" s="31"/>
      <c r="K50" s="13"/>
      <c r="L50" s="35"/>
      <c r="N50" s="35"/>
      <c r="O50" s="35"/>
      <c r="P50" s="35"/>
      <c r="Q50" s="14"/>
      <c r="R50" s="27"/>
      <c r="V50" s="31"/>
      <c r="W50" s="13"/>
      <c r="AB50" s="228"/>
      <c r="AC50" s="13"/>
      <c r="AD50" s="31"/>
      <c r="AE50" s="15"/>
      <c r="AI50">
        <f>0.3*400</f>
        <v>120</v>
      </c>
    </row>
    <row r="51" spans="1:38" ht="21.75" thickBot="1" x14ac:dyDescent="0.3">
      <c r="A51" s="21" t="s">
        <v>23</v>
      </c>
      <c r="B51" s="22"/>
      <c r="C51" s="23"/>
      <c r="D51" s="29">
        <f t="shared" ref="D51:AE51" si="0">SUM(D4:D17)-SUM(D18:D50)</f>
        <v>0</v>
      </c>
      <c r="E51" s="22">
        <f t="shared" si="0"/>
        <v>2</v>
      </c>
      <c r="F51" s="37">
        <f t="shared" si="0"/>
        <v>1261</v>
      </c>
      <c r="G51" s="24">
        <f t="shared" si="0"/>
        <v>140</v>
      </c>
      <c r="H51" s="24">
        <f t="shared" si="0"/>
        <v>52</v>
      </c>
      <c r="I51" s="24">
        <f t="shared" si="0"/>
        <v>1408</v>
      </c>
      <c r="J51" s="33">
        <f t="shared" si="0"/>
        <v>0</v>
      </c>
      <c r="K51" s="22">
        <f t="shared" si="0"/>
        <v>10</v>
      </c>
      <c r="L51" s="37">
        <f t="shared" si="0"/>
        <v>9596</v>
      </c>
      <c r="M51" s="24">
        <f t="shared" si="0"/>
        <v>181</v>
      </c>
      <c r="N51" s="37">
        <f t="shared" si="0"/>
        <v>6561</v>
      </c>
      <c r="O51" s="37">
        <f t="shared" si="0"/>
        <v>47</v>
      </c>
      <c r="P51" s="37">
        <f t="shared" si="0"/>
        <v>6816</v>
      </c>
      <c r="Q51" s="23">
        <f t="shared" si="0"/>
        <v>6000</v>
      </c>
      <c r="R51" s="29">
        <f t="shared" si="0"/>
        <v>427</v>
      </c>
      <c r="S51" s="29">
        <f t="shared" si="0"/>
        <v>0</v>
      </c>
      <c r="T51" s="29">
        <f t="shared" si="0"/>
        <v>1670</v>
      </c>
      <c r="U51" s="107">
        <f t="shared" si="0"/>
        <v>105</v>
      </c>
      <c r="V51" s="33">
        <f t="shared" si="0"/>
        <v>0</v>
      </c>
      <c r="W51" s="22">
        <f t="shared" si="0"/>
        <v>1553</v>
      </c>
      <c r="X51" s="22">
        <f t="shared" si="0"/>
        <v>0</v>
      </c>
      <c r="Y51" s="22">
        <f t="shared" si="0"/>
        <v>0</v>
      </c>
      <c r="Z51" s="22">
        <f t="shared" si="0"/>
        <v>0</v>
      </c>
      <c r="AA51" s="22">
        <f t="shared" si="0"/>
        <v>500</v>
      </c>
      <c r="AB51" s="230">
        <f t="shared" si="0"/>
        <v>130</v>
      </c>
      <c r="AC51" s="22">
        <f t="shared" si="0"/>
        <v>400</v>
      </c>
      <c r="AD51" s="33">
        <f t="shared" si="0"/>
        <v>0</v>
      </c>
      <c r="AE51" s="25">
        <f t="shared" si="0"/>
        <v>35</v>
      </c>
    </row>
    <row r="53" spans="1:38" x14ac:dyDescent="0.25">
      <c r="C53" t="s">
        <v>176</v>
      </c>
      <c r="D53">
        <v>0.6</v>
      </c>
      <c r="E53">
        <v>0.55000000000000004</v>
      </c>
      <c r="F53">
        <v>0.71</v>
      </c>
      <c r="G53">
        <v>0.65</v>
      </c>
      <c r="H53">
        <v>0.65</v>
      </c>
      <c r="I53">
        <v>0.66</v>
      </c>
      <c r="J53">
        <v>0.74</v>
      </c>
      <c r="K53">
        <v>0.84</v>
      </c>
      <c r="L53">
        <v>0.86</v>
      </c>
      <c r="M53" s="50">
        <f>0.95+0.1</f>
        <v>1.05</v>
      </c>
      <c r="N53">
        <v>1.02</v>
      </c>
      <c r="O53">
        <v>0.82</v>
      </c>
      <c r="P53">
        <v>0.92</v>
      </c>
      <c r="Q53">
        <v>0.82</v>
      </c>
      <c r="R53">
        <v>2.75</v>
      </c>
      <c r="S53">
        <v>2.6</v>
      </c>
      <c r="T53">
        <v>2.8</v>
      </c>
      <c r="U53">
        <v>2.6</v>
      </c>
      <c r="V53">
        <v>2.4</v>
      </c>
      <c r="W53">
        <v>2.7</v>
      </c>
      <c r="X53">
        <v>2.5499999999999998</v>
      </c>
      <c r="Y53">
        <v>2.9</v>
      </c>
      <c r="Z53">
        <v>2.85</v>
      </c>
      <c r="AA53">
        <v>2.5499999999999998</v>
      </c>
      <c r="AB53">
        <v>3.1</v>
      </c>
      <c r="AC53">
        <v>0.6</v>
      </c>
      <c r="AD53">
        <f>+AD51*0.34</f>
        <v>0</v>
      </c>
      <c r="AE53" s="109"/>
    </row>
    <row r="54" spans="1:38" x14ac:dyDescent="0.25">
      <c r="D54">
        <f>+D51*D53</f>
        <v>0</v>
      </c>
      <c r="E54">
        <f>+E51*E53</f>
        <v>1.1000000000000001</v>
      </c>
      <c r="F54">
        <f t="shared" ref="F54:AE54" si="1">+F51*F53</f>
        <v>895.31</v>
      </c>
      <c r="G54">
        <f t="shared" si="1"/>
        <v>91</v>
      </c>
      <c r="H54">
        <f t="shared" si="1"/>
        <v>33.800000000000004</v>
      </c>
      <c r="I54">
        <f t="shared" si="1"/>
        <v>929.28000000000009</v>
      </c>
      <c r="J54">
        <f t="shared" si="1"/>
        <v>0</v>
      </c>
      <c r="K54">
        <f t="shared" si="1"/>
        <v>8.4</v>
      </c>
      <c r="L54">
        <f t="shared" si="1"/>
        <v>8252.56</v>
      </c>
      <c r="M54">
        <f t="shared" si="1"/>
        <v>190.05</v>
      </c>
      <c r="N54">
        <f t="shared" si="1"/>
        <v>6692.22</v>
      </c>
      <c r="O54">
        <f>O51*O53</f>
        <v>38.54</v>
      </c>
      <c r="P54">
        <f t="shared" si="1"/>
        <v>6270.72</v>
      </c>
      <c r="Q54">
        <f t="shared" si="1"/>
        <v>4920</v>
      </c>
      <c r="R54">
        <f t="shared" si="1"/>
        <v>1174.25</v>
      </c>
      <c r="S54">
        <f t="shared" si="1"/>
        <v>0</v>
      </c>
      <c r="T54">
        <f t="shared" si="1"/>
        <v>4676</v>
      </c>
      <c r="U54">
        <f t="shared" si="1"/>
        <v>273</v>
      </c>
      <c r="V54">
        <f t="shared" si="1"/>
        <v>0</v>
      </c>
      <c r="W54">
        <f t="shared" si="1"/>
        <v>4193.1000000000004</v>
      </c>
      <c r="X54">
        <f t="shared" si="1"/>
        <v>0</v>
      </c>
      <c r="Y54">
        <f>+Y51*Y53</f>
        <v>0</v>
      </c>
      <c r="Z54">
        <f>Z51*Z53</f>
        <v>0</v>
      </c>
      <c r="AA54">
        <f>AA51*AA53</f>
        <v>1275</v>
      </c>
      <c r="AB54">
        <f t="shared" si="1"/>
        <v>403</v>
      </c>
      <c r="AC54">
        <f t="shared" si="1"/>
        <v>240</v>
      </c>
      <c r="AE54">
        <f t="shared" si="1"/>
        <v>0</v>
      </c>
      <c r="AF54" s="52">
        <f>SUM(D54:AE54)</f>
        <v>40557.329999999994</v>
      </c>
    </row>
    <row r="55" spans="1:38" x14ac:dyDescent="0.25"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103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spans="1:38" x14ac:dyDescent="0.25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103"/>
      <c r="V56" s="39"/>
      <c r="W56" s="39"/>
      <c r="X56" s="39"/>
      <c r="Z56" s="39"/>
      <c r="AA56" s="39"/>
      <c r="AB56" s="39"/>
      <c r="AC56" s="39"/>
      <c r="AD56" s="39"/>
      <c r="AE56" s="39"/>
    </row>
    <row r="57" spans="1:38" x14ac:dyDescent="0.25"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 t="s">
        <v>668</v>
      </c>
      <c r="U57" s="103"/>
      <c r="V57" s="39"/>
      <c r="W57" s="39"/>
      <c r="X57" s="39"/>
      <c r="Y57" s="39"/>
      <c r="Z57" s="39"/>
      <c r="AA57" s="39"/>
      <c r="AB57" s="39">
        <v>115</v>
      </c>
      <c r="AC57" s="39"/>
      <c r="AD57" s="39"/>
      <c r="AE57" s="39"/>
      <c r="AF57" s="39"/>
      <c r="AG57" s="39"/>
    </row>
    <row r="58" spans="1:38" x14ac:dyDescent="0.25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103"/>
      <c r="V58" s="39"/>
      <c r="W58" s="39"/>
      <c r="X58" s="39"/>
      <c r="Y58" s="39"/>
      <c r="Z58" s="39"/>
      <c r="AA58" s="39"/>
      <c r="AB58" s="39">
        <v>164</v>
      </c>
      <c r="AC58" s="39"/>
      <c r="AD58" s="39"/>
      <c r="AE58" s="39"/>
      <c r="AF58" s="39"/>
      <c r="AG58" s="39"/>
    </row>
    <row r="59" spans="1:38" x14ac:dyDescent="0.25">
      <c r="C59" s="39"/>
      <c r="D59" s="39"/>
      <c r="E59" s="39"/>
      <c r="F59" s="39"/>
      <c r="G59" s="39"/>
      <c r="H59" s="39"/>
      <c r="I59" s="39"/>
      <c r="J59" s="39"/>
      <c r="L59" s="60"/>
      <c r="U59" s="85"/>
      <c r="W59" s="84"/>
      <c r="Y59" t="s">
        <v>139</v>
      </c>
    </row>
    <row r="60" spans="1:38" x14ac:dyDescent="0.25">
      <c r="C60" s="39"/>
      <c r="D60" s="39"/>
      <c r="E60" s="39"/>
      <c r="F60" s="39"/>
      <c r="G60" s="39"/>
      <c r="H60" s="39"/>
      <c r="I60" s="39"/>
      <c r="J60" s="39"/>
      <c r="M60" s="60"/>
      <c r="U60" s="60"/>
      <c r="Y60" t="s">
        <v>669</v>
      </c>
    </row>
    <row r="61" spans="1:38" x14ac:dyDescent="0.25">
      <c r="AB61">
        <f>SUM(AB57:AB59)</f>
        <v>279</v>
      </c>
    </row>
    <row r="62" spans="1:38" x14ac:dyDescent="0.25">
      <c r="AK62" t="s">
        <v>130</v>
      </c>
      <c r="AL62">
        <v>1667</v>
      </c>
    </row>
    <row r="63" spans="1:38" x14ac:dyDescent="0.25">
      <c r="AC63">
        <f>340-279</f>
        <v>61</v>
      </c>
      <c r="AL63">
        <v>1070</v>
      </c>
    </row>
    <row r="64" spans="1:38" x14ac:dyDescent="0.25">
      <c r="X64" t="s">
        <v>139</v>
      </c>
      <c r="AL64">
        <f>AL62-AL63</f>
        <v>597</v>
      </c>
    </row>
    <row r="65" spans="11:36" x14ac:dyDescent="0.25">
      <c r="K65">
        <f>3670+1320-7150</f>
        <v>-2160</v>
      </c>
      <c r="L65">
        <f>12700+870+980+24320+600</f>
        <v>39470</v>
      </c>
      <c r="M65">
        <f>38950+1000+1080+600</f>
        <v>41630</v>
      </c>
      <c r="N65">
        <f>23176+4500+600+1000+35680+3900</f>
        <v>68856</v>
      </c>
    </row>
    <row r="66" spans="11:36" x14ac:dyDescent="0.25">
      <c r="K66">
        <v>5800</v>
      </c>
      <c r="L66">
        <v>5800</v>
      </c>
      <c r="M66">
        <v>5100</v>
      </c>
      <c r="N66">
        <v>5100</v>
      </c>
      <c r="T66">
        <f>1.05*180</f>
        <v>189</v>
      </c>
    </row>
    <row r="67" spans="11:36" x14ac:dyDescent="0.25">
      <c r="K67">
        <v>42702</v>
      </c>
      <c r="L67">
        <v>0</v>
      </c>
      <c r="M67">
        <v>0</v>
      </c>
      <c r="N67">
        <f>1081-340</f>
        <v>741</v>
      </c>
    </row>
    <row r="68" spans="11:36" x14ac:dyDescent="0.25">
      <c r="K68">
        <v>0</v>
      </c>
      <c r="M68">
        <v>0</v>
      </c>
      <c r="N68">
        <v>0</v>
      </c>
      <c r="Y68">
        <f>72+92</f>
        <v>164</v>
      </c>
      <c r="AI68" t="s">
        <v>149</v>
      </c>
      <c r="AJ68">
        <v>14352</v>
      </c>
    </row>
    <row r="69" spans="11:36" x14ac:dyDescent="0.25">
      <c r="K69">
        <v>1140</v>
      </c>
      <c r="L69">
        <v>1140</v>
      </c>
      <c r="M69">
        <v>0</v>
      </c>
      <c r="N69">
        <v>0</v>
      </c>
      <c r="AJ69">
        <v>-14547</v>
      </c>
    </row>
    <row r="70" spans="11:36" x14ac:dyDescent="0.25">
      <c r="K70">
        <v>-4815</v>
      </c>
      <c r="L70">
        <v>-3609</v>
      </c>
      <c r="M70">
        <v>-3609</v>
      </c>
      <c r="N70">
        <f>-1324-1120</f>
        <v>-2444</v>
      </c>
      <c r="T70">
        <f>180*1.1</f>
        <v>198.00000000000003</v>
      </c>
      <c r="Z70">
        <f>70+92</f>
        <v>162</v>
      </c>
    </row>
    <row r="71" spans="11:36" x14ac:dyDescent="0.25">
      <c r="N71">
        <f>-2336.5*12</f>
        <v>-28038</v>
      </c>
      <c r="AJ71">
        <f>SUM(AJ68:AJ70)</f>
        <v>-195</v>
      </c>
    </row>
    <row r="73" spans="11:36" x14ac:dyDescent="0.25">
      <c r="K73">
        <f>SUM(K65:K70)</f>
        <v>42667</v>
      </c>
      <c r="L73">
        <f>SUM(L65:L72)</f>
        <v>42801</v>
      </c>
      <c r="M73">
        <f>SUM(M65:M72)</f>
        <v>43121</v>
      </c>
      <c r="N73">
        <f>SUM(N65:N72)</f>
        <v>44215</v>
      </c>
    </row>
    <row r="74" spans="11:36" x14ac:dyDescent="0.25">
      <c r="K74">
        <v>100</v>
      </c>
      <c r="L74">
        <v>100</v>
      </c>
      <c r="AI74" t="s">
        <v>158</v>
      </c>
    </row>
    <row r="75" spans="11:36" x14ac:dyDescent="0.25">
      <c r="K75">
        <f>+K73-K74</f>
        <v>42567</v>
      </c>
      <c r="L75">
        <f>+L73-L74</f>
        <v>42701</v>
      </c>
    </row>
    <row r="76" spans="11:36" x14ac:dyDescent="0.25">
      <c r="N76">
        <f>+N73-M73</f>
        <v>1094</v>
      </c>
      <c r="AJ76" t="s">
        <v>159</v>
      </c>
    </row>
    <row r="77" spans="11:36" x14ac:dyDescent="0.25">
      <c r="K77">
        <f>+J93-K75</f>
        <v>128</v>
      </c>
      <c r="L77">
        <f>+L75-K75</f>
        <v>134</v>
      </c>
    </row>
    <row r="80" spans="11:36" ht="30" customHeight="1" x14ac:dyDescent="0.25">
      <c r="L80" s="102">
        <v>20611410159</v>
      </c>
    </row>
    <row r="81" spans="3:38" x14ac:dyDescent="0.25">
      <c r="L81" s="102">
        <v>41200545</v>
      </c>
    </row>
    <row r="83" spans="3:38" x14ac:dyDescent="0.25">
      <c r="C83" s="98" t="s">
        <v>118</v>
      </c>
      <c r="D83">
        <f>5050+180</f>
        <v>5230</v>
      </c>
      <c r="E83">
        <v>140</v>
      </c>
      <c r="F83">
        <f>-310+70+80</f>
        <v>-160</v>
      </c>
      <c r="G83">
        <f>8000+1340-200</f>
        <v>9140</v>
      </c>
      <c r="J83">
        <f>12540+400</f>
        <v>12940</v>
      </c>
    </row>
    <row r="84" spans="3:38" x14ac:dyDescent="0.25">
      <c r="C84" t="s">
        <v>119</v>
      </c>
      <c r="D84">
        <v>6500</v>
      </c>
      <c r="E84">
        <v>6500</v>
      </c>
      <c r="F84">
        <v>6500</v>
      </c>
      <c r="G84">
        <v>6500</v>
      </c>
      <c r="J84">
        <v>5800</v>
      </c>
    </row>
    <row r="85" spans="3:38" x14ac:dyDescent="0.25">
      <c r="C85" t="s">
        <v>120</v>
      </c>
      <c r="D85">
        <v>33280</v>
      </c>
      <c r="E85">
        <v>33280</v>
      </c>
      <c r="F85">
        <f>38060-1480</f>
        <v>36580</v>
      </c>
      <c r="G85">
        <v>27560</v>
      </c>
      <c r="J85">
        <v>24080</v>
      </c>
    </row>
    <row r="86" spans="3:38" x14ac:dyDescent="0.25">
      <c r="C86" t="s">
        <v>123</v>
      </c>
      <c r="D86">
        <v>2960</v>
      </c>
      <c r="E86">
        <v>2960</v>
      </c>
      <c r="F86">
        <f>1150</f>
        <v>1150</v>
      </c>
      <c r="G86">
        <v>1980</v>
      </c>
      <c r="J86">
        <v>4000</v>
      </c>
      <c r="AK86" t="s">
        <v>150</v>
      </c>
      <c r="AL86" t="s">
        <v>151</v>
      </c>
    </row>
    <row r="87" spans="3:38" x14ac:dyDescent="0.25">
      <c r="C87" t="s">
        <v>122</v>
      </c>
      <c r="D87">
        <v>1300</v>
      </c>
      <c r="E87">
        <v>1300</v>
      </c>
      <c r="F87">
        <v>1300</v>
      </c>
      <c r="G87">
        <v>1300</v>
      </c>
      <c r="J87">
        <v>1140</v>
      </c>
      <c r="AK87" t="s">
        <v>152</v>
      </c>
    </row>
    <row r="88" spans="3:38" x14ac:dyDescent="0.25">
      <c r="C88" t="s">
        <v>127</v>
      </c>
      <c r="D88">
        <v>-9815</v>
      </c>
      <c r="E88">
        <v>-4815</v>
      </c>
      <c r="F88">
        <v>-4815</v>
      </c>
      <c r="G88">
        <v>-4815</v>
      </c>
      <c r="J88">
        <v>-4815</v>
      </c>
    </row>
    <row r="89" spans="3:38" x14ac:dyDescent="0.25">
      <c r="C89" t="s">
        <v>128</v>
      </c>
      <c r="AK89" t="s">
        <v>153</v>
      </c>
    </row>
    <row r="91" spans="3:38" x14ac:dyDescent="0.25">
      <c r="D91">
        <f>SUM(D83:D90)</f>
        <v>39455</v>
      </c>
      <c r="E91">
        <f>SUM(E83:E88)</f>
        <v>39365</v>
      </c>
      <c r="F91">
        <f>SUM(F83:F88)</f>
        <v>40555</v>
      </c>
      <c r="G91">
        <f>SUM(G83:G88)</f>
        <v>41665</v>
      </c>
      <c r="J91">
        <f>SUM(J83:J88)</f>
        <v>43145</v>
      </c>
    </row>
    <row r="92" spans="3:38" x14ac:dyDescent="0.25">
      <c r="C92" t="s">
        <v>124</v>
      </c>
      <c r="D92">
        <v>100</v>
      </c>
      <c r="E92">
        <v>100</v>
      </c>
      <c r="F92">
        <v>100</v>
      </c>
      <c r="G92">
        <v>100</v>
      </c>
      <c r="J92">
        <f>100+350</f>
        <v>450</v>
      </c>
      <c r="AK92">
        <v>24005</v>
      </c>
    </row>
    <row r="93" spans="3:38" x14ac:dyDescent="0.25">
      <c r="C93" t="s">
        <v>125</v>
      </c>
      <c r="D93">
        <f>+D91-D92</f>
        <v>39355</v>
      </c>
      <c r="E93">
        <f>+E91-E92</f>
        <v>39265</v>
      </c>
      <c r="F93">
        <f>+F91-F92</f>
        <v>40455</v>
      </c>
      <c r="G93">
        <f>+G91-G92</f>
        <v>41565</v>
      </c>
      <c r="J93">
        <f>+J91-J92</f>
        <v>42695</v>
      </c>
      <c r="AK93">
        <v>-24080</v>
      </c>
    </row>
    <row r="94" spans="3:38" x14ac:dyDescent="0.25">
      <c r="G94">
        <f>+G93-F93</f>
        <v>1110</v>
      </c>
      <c r="J94">
        <f>+J93-G93</f>
        <v>1130</v>
      </c>
      <c r="AK94">
        <f>SUM(AK92:AK93)</f>
        <v>-75</v>
      </c>
    </row>
  </sheetData>
  <mergeCells count="7">
    <mergeCell ref="AC2:AD2"/>
    <mergeCell ref="A4:A17"/>
    <mergeCell ref="W2:AA2"/>
    <mergeCell ref="A18:A50"/>
    <mergeCell ref="D2:J2"/>
    <mergeCell ref="K2:Q2"/>
    <mergeCell ref="R2:V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FBA7-DFE4-4889-8396-AEC0C4D277C8}">
  <dimension ref="A1:IF99"/>
  <sheetViews>
    <sheetView zoomScale="60" zoomScaleNormal="60" workbookViewId="0">
      <pane xSplit="3" ySplit="3" topLeftCell="D12" activePane="bottomRight" state="frozen"/>
      <selection pane="topRight" activeCell="D1" sqref="D1"/>
      <selection pane="bottomLeft" activeCell="A4" sqref="A4"/>
      <selection pane="bottomRight" activeCell="P22" sqref="P22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14" customWidth="1"/>
    <col min="10" max="10" width="9.42578125" customWidth="1"/>
    <col min="11" max="11" width="16" customWidth="1"/>
    <col min="12" max="12" width="11.28515625" customWidth="1"/>
    <col min="13" max="13" width="10.140625" customWidth="1"/>
    <col min="14" max="15" width="12" customWidth="1"/>
    <col min="16" max="16" width="11.28515625" customWidth="1"/>
    <col min="17" max="17" width="10.42578125" bestFit="1" customWidth="1"/>
    <col min="18" max="18" width="8.7109375" bestFit="1" customWidth="1"/>
    <col min="19" max="19" width="10.5703125" customWidth="1"/>
    <col min="20" max="20" width="8.7109375" customWidth="1"/>
    <col min="21" max="21" width="11.28515625" customWidth="1"/>
    <col min="22" max="22" width="10.85546875" customWidth="1"/>
    <col min="23" max="25" width="10.7109375" customWidth="1"/>
    <col min="26" max="27" width="13.5703125" customWidth="1"/>
    <col min="28" max="28" width="22" customWidth="1"/>
    <col min="29" max="29" width="14.42578125" customWidth="1"/>
    <col min="30" max="30" width="9.85546875" customWidth="1"/>
    <col min="31" max="31" width="17.140625" customWidth="1"/>
    <col min="32" max="32" width="19" customWidth="1"/>
    <col min="35" max="35" width="15.140625" customWidth="1"/>
  </cols>
  <sheetData>
    <row r="1" spans="1:31" ht="33" customHeight="1" thickBot="1" x14ac:dyDescent="0.3"/>
    <row r="2" spans="1:31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13"/>
      <c r="J2" s="309"/>
      <c r="K2" s="308" t="s">
        <v>1</v>
      </c>
      <c r="L2" s="313"/>
      <c r="M2" s="313"/>
      <c r="N2" s="313"/>
      <c r="O2" s="313"/>
      <c r="P2" s="313"/>
      <c r="Q2" s="309"/>
      <c r="R2" s="308" t="s">
        <v>2</v>
      </c>
      <c r="S2" s="313"/>
      <c r="T2" s="313"/>
      <c r="U2" s="313"/>
      <c r="V2" s="309"/>
      <c r="W2" s="308" t="s">
        <v>3</v>
      </c>
      <c r="X2" s="313"/>
      <c r="Y2" s="313"/>
      <c r="Z2" s="313"/>
      <c r="AA2" s="313"/>
      <c r="AB2" s="225" t="s">
        <v>799</v>
      </c>
      <c r="AC2" s="308" t="s">
        <v>4</v>
      </c>
      <c r="AD2" s="309"/>
      <c r="AE2" s="46" t="s">
        <v>91</v>
      </c>
    </row>
    <row r="3" spans="1:31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7" t="s">
        <v>838</v>
      </c>
      <c r="J3" s="8" t="s">
        <v>13</v>
      </c>
      <c r="K3" s="9" t="s">
        <v>394</v>
      </c>
      <c r="L3" s="7" t="s">
        <v>11</v>
      </c>
      <c r="M3" s="7" t="s">
        <v>12</v>
      </c>
      <c r="N3" s="7" t="s">
        <v>13</v>
      </c>
      <c r="O3" s="7" t="s">
        <v>182</v>
      </c>
      <c r="P3" s="7" t="s">
        <v>15</v>
      </c>
      <c r="Q3" s="8" t="s">
        <v>136</v>
      </c>
      <c r="R3" s="6" t="s">
        <v>12</v>
      </c>
      <c r="S3" s="7" t="s">
        <v>69</v>
      </c>
      <c r="T3" s="7" t="s">
        <v>13</v>
      </c>
      <c r="U3" s="7" t="s">
        <v>16</v>
      </c>
      <c r="V3" s="8" t="s">
        <v>162</v>
      </c>
      <c r="W3" s="6" t="s">
        <v>16</v>
      </c>
      <c r="X3" s="7" t="s">
        <v>77</v>
      </c>
      <c r="Y3" s="7" t="s">
        <v>12</v>
      </c>
      <c r="Z3" s="7" t="s">
        <v>13</v>
      </c>
      <c r="AA3" s="7" t="s">
        <v>8</v>
      </c>
      <c r="AB3" s="226" t="s">
        <v>800</v>
      </c>
      <c r="AC3" s="6" t="s">
        <v>17</v>
      </c>
      <c r="AD3" s="8" t="s">
        <v>18</v>
      </c>
      <c r="AE3" s="10" t="s">
        <v>92</v>
      </c>
    </row>
    <row r="4" spans="1:31" x14ac:dyDescent="0.25">
      <c r="A4" s="310" t="s">
        <v>19</v>
      </c>
      <c r="B4" s="49"/>
      <c r="C4" s="2"/>
      <c r="D4" s="42">
        <v>0</v>
      </c>
      <c r="E4" s="42">
        <v>2</v>
      </c>
      <c r="F4" s="42">
        <v>1261</v>
      </c>
      <c r="G4" s="42">
        <v>140</v>
      </c>
      <c r="H4" s="42">
        <v>52</v>
      </c>
      <c r="I4" s="42">
        <v>1408</v>
      </c>
      <c r="J4" s="42">
        <v>0</v>
      </c>
      <c r="K4" s="42">
        <v>10</v>
      </c>
      <c r="L4" s="42">
        <v>9596</v>
      </c>
      <c r="M4" s="42">
        <v>181</v>
      </c>
      <c r="N4" s="42">
        <v>6561</v>
      </c>
      <c r="O4" s="42">
        <v>47</v>
      </c>
      <c r="P4" s="42">
        <v>6816</v>
      </c>
      <c r="Q4" s="42">
        <v>6000</v>
      </c>
      <c r="R4" s="42">
        <v>427</v>
      </c>
      <c r="S4" s="42"/>
      <c r="T4" s="42">
        <v>1670</v>
      </c>
      <c r="U4" s="42">
        <v>105</v>
      </c>
      <c r="V4" s="42">
        <v>0</v>
      </c>
      <c r="W4" s="42">
        <v>1553</v>
      </c>
      <c r="X4" s="42">
        <v>0</v>
      </c>
      <c r="Y4" s="42">
        <v>0</v>
      </c>
      <c r="Z4" s="42">
        <v>0</v>
      </c>
      <c r="AA4" s="42">
        <v>500</v>
      </c>
      <c r="AB4" s="227">
        <v>130</v>
      </c>
      <c r="AC4" s="42">
        <v>400</v>
      </c>
      <c r="AD4" s="42">
        <v>0</v>
      </c>
      <c r="AE4" s="42">
        <v>35</v>
      </c>
    </row>
    <row r="5" spans="1:31" x14ac:dyDescent="0.25">
      <c r="A5" s="311"/>
      <c r="B5" s="20"/>
      <c r="C5" s="82"/>
      <c r="D5" s="27"/>
      <c r="F5" s="35"/>
      <c r="J5" s="31"/>
      <c r="K5" s="13"/>
      <c r="L5" s="35"/>
      <c r="N5" s="35"/>
      <c r="O5" s="35"/>
      <c r="P5" s="35"/>
      <c r="Q5" s="14"/>
      <c r="R5" s="27"/>
      <c r="V5" s="31"/>
      <c r="W5" s="13"/>
      <c r="AB5" s="228"/>
      <c r="AC5" s="13"/>
      <c r="AD5" s="31"/>
      <c r="AE5" s="15"/>
    </row>
    <row r="6" spans="1:31" x14ac:dyDescent="0.25">
      <c r="A6" s="311"/>
      <c r="B6" s="160">
        <v>46153</v>
      </c>
      <c r="C6" s="82" t="s">
        <v>27</v>
      </c>
      <c r="D6" s="27"/>
      <c r="F6" s="35"/>
      <c r="J6" s="31"/>
      <c r="K6" s="13"/>
      <c r="L6" s="35"/>
      <c r="N6" s="35"/>
      <c r="O6" s="35"/>
      <c r="P6" s="35"/>
      <c r="Q6" s="14">
        <v>1500</v>
      </c>
      <c r="R6" s="27"/>
      <c r="V6" s="31"/>
      <c r="W6" s="13"/>
      <c r="AB6" s="228"/>
      <c r="AC6" s="13"/>
      <c r="AD6" s="31"/>
      <c r="AE6" s="15"/>
    </row>
    <row r="7" spans="1:31" x14ac:dyDescent="0.25">
      <c r="A7" s="311"/>
      <c r="B7" s="160">
        <v>46153</v>
      </c>
      <c r="C7" s="82" t="s">
        <v>27</v>
      </c>
      <c r="D7" s="27"/>
      <c r="F7" s="35"/>
      <c r="J7" s="31"/>
      <c r="K7" s="13"/>
      <c r="L7" s="35"/>
      <c r="N7" s="35"/>
      <c r="O7" s="35"/>
      <c r="P7" s="35"/>
      <c r="Q7" s="14"/>
      <c r="R7" s="27"/>
      <c r="V7" s="31">
        <v>1000</v>
      </c>
      <c r="W7" s="13"/>
      <c r="AB7" s="228"/>
      <c r="AC7" s="13"/>
      <c r="AD7" s="31"/>
      <c r="AE7" s="15"/>
    </row>
    <row r="8" spans="1:31" x14ac:dyDescent="0.25">
      <c r="A8" s="311"/>
      <c r="B8" s="160">
        <v>46153</v>
      </c>
      <c r="C8" s="82" t="s">
        <v>46</v>
      </c>
      <c r="D8" s="27">
        <v>4000</v>
      </c>
      <c r="F8" s="35"/>
      <c r="J8" s="31"/>
      <c r="K8" s="13"/>
      <c r="L8" s="35"/>
      <c r="N8" s="35"/>
      <c r="O8" s="35"/>
      <c r="P8" s="35"/>
      <c r="Q8" s="14"/>
      <c r="R8" s="27"/>
      <c r="V8" s="31"/>
      <c r="W8" s="13"/>
      <c r="AB8" s="228"/>
      <c r="AC8" s="13"/>
      <c r="AD8" s="31"/>
      <c r="AE8" s="15"/>
    </row>
    <row r="9" spans="1:31" x14ac:dyDescent="0.25">
      <c r="A9" s="311"/>
      <c r="B9" s="160">
        <v>46154</v>
      </c>
      <c r="C9" s="82" t="s">
        <v>27</v>
      </c>
      <c r="D9" s="27"/>
      <c r="F9" s="35"/>
      <c r="J9" s="31"/>
      <c r="K9" s="13"/>
      <c r="L9" s="35"/>
      <c r="N9" s="35"/>
      <c r="O9" s="35"/>
      <c r="P9" s="35"/>
      <c r="Q9" s="14"/>
      <c r="R9" s="27"/>
      <c r="V9" s="31"/>
      <c r="W9" s="13">
        <v>1000</v>
      </c>
      <c r="AB9" s="228"/>
      <c r="AC9" s="13"/>
      <c r="AD9" s="31"/>
      <c r="AE9" s="15"/>
    </row>
    <row r="10" spans="1:31" x14ac:dyDescent="0.25">
      <c r="A10" s="311"/>
      <c r="B10" s="160">
        <v>46155</v>
      </c>
      <c r="C10" s="82" t="s">
        <v>27</v>
      </c>
      <c r="D10" s="27"/>
      <c r="F10" s="35"/>
      <c r="J10" s="31"/>
      <c r="K10" s="13"/>
      <c r="L10" s="35"/>
      <c r="N10" s="35"/>
      <c r="O10" s="35"/>
      <c r="P10" s="35">
        <v>3000</v>
      </c>
      <c r="Q10" s="14"/>
      <c r="R10" s="27"/>
      <c r="V10" s="31"/>
      <c r="W10" s="13"/>
      <c r="AB10" s="228"/>
      <c r="AC10" s="13"/>
      <c r="AD10" s="31"/>
      <c r="AE10" s="15"/>
    </row>
    <row r="11" spans="1:31" x14ac:dyDescent="0.25">
      <c r="A11" s="311"/>
      <c r="B11" s="160">
        <v>46156</v>
      </c>
      <c r="C11" s="82" t="s">
        <v>46</v>
      </c>
      <c r="D11" s="27"/>
      <c r="F11" s="35"/>
      <c r="I11">
        <v>5000</v>
      </c>
      <c r="J11" s="31"/>
      <c r="K11" s="13"/>
      <c r="L11" s="35"/>
      <c r="N11" s="35"/>
      <c r="O11" s="35"/>
      <c r="P11" s="35"/>
      <c r="Q11" s="14"/>
      <c r="R11" s="27"/>
      <c r="V11" s="31"/>
      <c r="W11" s="13"/>
      <c r="AB11" s="228"/>
      <c r="AC11" s="13"/>
      <c r="AD11" s="31"/>
      <c r="AE11" s="15"/>
    </row>
    <row r="12" spans="1:31" x14ac:dyDescent="0.25">
      <c r="A12" s="311"/>
      <c r="B12" s="160">
        <v>46157</v>
      </c>
      <c r="C12" s="82" t="s">
        <v>46</v>
      </c>
      <c r="D12" s="27"/>
      <c r="F12" s="35"/>
      <c r="J12" s="31"/>
      <c r="K12" s="13"/>
      <c r="L12" s="35"/>
      <c r="N12" s="35"/>
      <c r="O12" s="35"/>
      <c r="P12" s="35"/>
      <c r="Q12" s="14"/>
      <c r="R12" s="27"/>
      <c r="V12" s="31">
        <v>1000</v>
      </c>
      <c r="W12" s="13"/>
      <c r="AB12" s="228"/>
      <c r="AC12" s="13"/>
      <c r="AD12" s="31"/>
      <c r="AE12" s="15"/>
    </row>
    <row r="13" spans="1:31" x14ac:dyDescent="0.25">
      <c r="A13" s="311"/>
      <c r="B13" s="160">
        <v>46157</v>
      </c>
      <c r="C13" s="82" t="s">
        <v>27</v>
      </c>
      <c r="D13" s="27"/>
      <c r="F13" s="35"/>
      <c r="I13">
        <v>4000</v>
      </c>
      <c r="J13" s="31"/>
      <c r="K13" s="13"/>
      <c r="L13" s="35"/>
      <c r="N13" s="35"/>
      <c r="O13" s="35"/>
      <c r="P13" s="35"/>
      <c r="Q13" s="14"/>
      <c r="R13" s="27"/>
      <c r="V13" s="31"/>
      <c r="W13" s="13"/>
      <c r="AB13" s="228"/>
      <c r="AC13" s="13"/>
      <c r="AD13" s="31"/>
      <c r="AE13" s="15"/>
    </row>
    <row r="14" spans="1:31" x14ac:dyDescent="0.25">
      <c r="A14" s="311"/>
      <c r="B14" s="160">
        <v>46158</v>
      </c>
      <c r="C14" s="82" t="s">
        <v>27</v>
      </c>
      <c r="D14" s="27"/>
      <c r="F14" s="35"/>
      <c r="J14" s="31"/>
      <c r="K14" s="13"/>
      <c r="L14" s="35"/>
      <c r="N14" s="35"/>
      <c r="O14" s="35"/>
      <c r="P14" s="35"/>
      <c r="Q14" s="14"/>
      <c r="R14" s="27"/>
      <c r="U14">
        <v>400</v>
      </c>
      <c r="V14" s="31"/>
      <c r="W14" s="13"/>
      <c r="AB14" s="228"/>
      <c r="AC14" s="13"/>
      <c r="AD14" s="31"/>
      <c r="AE14" s="15"/>
    </row>
    <row r="15" spans="1:31" x14ac:dyDescent="0.25">
      <c r="A15" s="311"/>
      <c r="B15" s="160">
        <v>46158</v>
      </c>
      <c r="C15" s="82" t="s">
        <v>46</v>
      </c>
      <c r="D15" s="27">
        <v>2000</v>
      </c>
      <c r="F15" s="35"/>
      <c r="J15" s="31"/>
      <c r="K15" s="13"/>
      <c r="L15" s="35"/>
      <c r="N15" s="35"/>
      <c r="O15" s="35"/>
      <c r="P15" s="35"/>
      <c r="Q15" s="14"/>
      <c r="R15" s="27"/>
      <c r="V15" s="31"/>
      <c r="W15" s="13"/>
      <c r="AB15" s="228"/>
      <c r="AC15" s="13"/>
      <c r="AD15" s="31"/>
      <c r="AE15" s="15"/>
    </row>
    <row r="16" spans="1:31" ht="13.5" customHeight="1" thickBot="1" x14ac:dyDescent="0.3">
      <c r="A16" s="311"/>
      <c r="B16" s="72"/>
      <c r="C16" s="231"/>
      <c r="D16" s="28"/>
      <c r="E16" s="18"/>
      <c r="F16" s="36"/>
      <c r="G16" s="18"/>
      <c r="H16" s="18"/>
      <c r="I16" s="18"/>
      <c r="J16" s="32"/>
      <c r="K16" s="16"/>
      <c r="L16" s="36"/>
      <c r="M16" s="18"/>
      <c r="N16" s="36"/>
      <c r="O16" s="36"/>
      <c r="P16" s="36"/>
      <c r="Q16" s="17"/>
      <c r="R16" s="28"/>
      <c r="S16" s="18"/>
      <c r="T16" s="18"/>
      <c r="U16" s="18"/>
      <c r="V16" s="32"/>
      <c r="W16" s="16"/>
      <c r="X16" s="18"/>
      <c r="Y16" s="18"/>
      <c r="Z16" s="18"/>
      <c r="AA16" s="18"/>
      <c r="AB16" s="232"/>
      <c r="AC16" s="16"/>
      <c r="AD16" s="32"/>
      <c r="AE16" s="19"/>
    </row>
    <row r="17" spans="1:31" x14ac:dyDescent="0.25">
      <c r="A17" s="310" t="s">
        <v>62</v>
      </c>
      <c r="B17" s="160"/>
      <c r="C17" s="14"/>
      <c r="D17" s="27"/>
      <c r="F17" s="35"/>
      <c r="J17" s="31"/>
      <c r="K17" s="13"/>
      <c r="L17" s="35"/>
      <c r="N17" s="35"/>
      <c r="O17" s="35"/>
      <c r="P17" s="35"/>
      <c r="Q17" s="14"/>
      <c r="R17" s="27"/>
      <c r="V17" s="31"/>
      <c r="W17" s="13"/>
      <c r="AB17" s="228"/>
      <c r="AC17" s="13"/>
      <c r="AD17" s="31"/>
      <c r="AE17" s="15"/>
    </row>
    <row r="18" spans="1:31" x14ac:dyDescent="0.25">
      <c r="A18" s="311"/>
      <c r="B18" s="160"/>
      <c r="C18" s="14"/>
      <c r="D18" s="27"/>
      <c r="F18" s="35"/>
      <c r="J18" s="31"/>
      <c r="K18" s="13"/>
      <c r="L18" s="35"/>
      <c r="N18" s="35"/>
      <c r="O18" s="35"/>
      <c r="P18" s="35"/>
      <c r="Q18" s="14"/>
      <c r="R18" s="27"/>
      <c r="V18" s="31"/>
      <c r="W18" s="13"/>
      <c r="AB18" s="228"/>
      <c r="AC18" s="13"/>
      <c r="AD18" s="31"/>
      <c r="AE18" s="15"/>
    </row>
    <row r="19" spans="1:31" x14ac:dyDescent="0.25">
      <c r="A19" s="311"/>
      <c r="B19" s="160">
        <v>46153</v>
      </c>
      <c r="C19" s="14" t="s">
        <v>869</v>
      </c>
      <c r="D19" s="27"/>
      <c r="F19" s="35"/>
      <c r="J19" s="31"/>
      <c r="K19" s="13"/>
      <c r="L19" s="35"/>
      <c r="N19" s="35"/>
      <c r="O19" s="35"/>
      <c r="P19" s="35">
        <v>800</v>
      </c>
      <c r="Q19" s="14"/>
      <c r="R19" s="27"/>
      <c r="V19" s="31"/>
      <c r="W19" s="13"/>
      <c r="AB19" s="228"/>
      <c r="AC19" s="13"/>
      <c r="AD19" s="31"/>
      <c r="AE19" s="15"/>
    </row>
    <row r="20" spans="1:31" x14ac:dyDescent="0.25">
      <c r="A20" s="311"/>
      <c r="B20" s="160">
        <v>46153</v>
      </c>
      <c r="C20" s="14" t="s">
        <v>869</v>
      </c>
      <c r="D20" s="27"/>
      <c r="F20" s="35"/>
      <c r="J20" s="31"/>
      <c r="K20" s="13"/>
      <c r="L20" s="35"/>
      <c r="N20" s="35"/>
      <c r="O20" s="35"/>
      <c r="P20" s="35">
        <v>400</v>
      </c>
      <c r="Q20" s="14"/>
      <c r="R20" s="27"/>
      <c r="V20" s="31"/>
      <c r="W20" s="13"/>
      <c r="AB20" s="228"/>
      <c r="AC20" s="13"/>
      <c r="AD20" s="31"/>
      <c r="AE20" s="15"/>
    </row>
    <row r="21" spans="1:31" ht="16.5" customHeight="1" x14ac:dyDescent="0.25">
      <c r="A21" s="311"/>
      <c r="B21" s="160">
        <v>46153</v>
      </c>
      <c r="C21" s="14" t="s">
        <v>870</v>
      </c>
      <c r="D21" s="27"/>
      <c r="F21" s="35"/>
      <c r="J21" s="31"/>
      <c r="K21" s="13"/>
      <c r="L21" s="35"/>
      <c r="N21" s="35"/>
      <c r="O21" s="35"/>
      <c r="P21" s="35">
        <v>500</v>
      </c>
      <c r="Q21" s="14"/>
      <c r="R21" s="27"/>
      <c r="V21" s="31"/>
      <c r="W21" s="13"/>
      <c r="AB21" s="228"/>
      <c r="AC21" s="13"/>
      <c r="AD21" s="31"/>
      <c r="AE21" s="15"/>
    </row>
    <row r="22" spans="1:31" ht="16.5" customHeight="1" x14ac:dyDescent="0.25">
      <c r="A22" s="311"/>
      <c r="B22" s="160">
        <v>46153</v>
      </c>
      <c r="C22" s="14" t="s">
        <v>660</v>
      </c>
      <c r="D22" s="27"/>
      <c r="F22" s="35"/>
      <c r="J22" s="31"/>
      <c r="K22" s="13"/>
      <c r="L22" s="35"/>
      <c r="N22" s="35"/>
      <c r="O22" s="35"/>
      <c r="P22" s="35"/>
      <c r="Q22" s="14"/>
      <c r="R22" s="27"/>
      <c r="V22" s="31"/>
      <c r="W22" s="13"/>
      <c r="AB22" s="228"/>
      <c r="AC22" s="13">
        <v>280</v>
      </c>
      <c r="AD22" s="31"/>
      <c r="AE22" s="15"/>
    </row>
    <row r="23" spans="1:31" ht="16.5" customHeight="1" x14ac:dyDescent="0.25">
      <c r="A23" s="311"/>
      <c r="B23" s="160">
        <v>46153</v>
      </c>
      <c r="C23" s="14" t="s">
        <v>871</v>
      </c>
      <c r="D23" s="27">
        <v>50</v>
      </c>
      <c r="F23" s="35"/>
      <c r="J23" s="31"/>
      <c r="K23" s="13"/>
      <c r="L23" s="35"/>
      <c r="N23" s="35"/>
      <c r="O23" s="35"/>
      <c r="P23" s="35"/>
      <c r="Q23" s="14"/>
      <c r="R23" s="27"/>
      <c r="V23" s="31"/>
      <c r="W23" s="13"/>
      <c r="AB23" s="228"/>
      <c r="AC23" s="13"/>
      <c r="AD23" s="31"/>
      <c r="AE23" s="15"/>
    </row>
    <row r="24" spans="1:31" ht="16.5" customHeight="1" x14ac:dyDescent="0.25">
      <c r="A24" s="311"/>
      <c r="B24" s="160">
        <v>46153</v>
      </c>
      <c r="C24" s="14" t="s">
        <v>869</v>
      </c>
      <c r="D24" s="27"/>
      <c r="F24" s="35"/>
      <c r="J24" s="31"/>
      <c r="K24" s="13"/>
      <c r="L24" s="35"/>
      <c r="N24" s="35"/>
      <c r="O24" s="35"/>
      <c r="P24" s="35"/>
      <c r="Q24" s="14"/>
      <c r="R24" s="27"/>
      <c r="V24" s="31"/>
      <c r="W24" s="13"/>
      <c r="AB24" s="228">
        <v>100</v>
      </c>
      <c r="AC24" s="13"/>
      <c r="AD24" s="31"/>
      <c r="AE24" s="15"/>
    </row>
    <row r="25" spans="1:31" ht="16.5" customHeight="1" x14ac:dyDescent="0.25">
      <c r="A25" s="311"/>
      <c r="B25" s="160">
        <v>46153</v>
      </c>
      <c r="C25" s="14" t="s">
        <v>93</v>
      </c>
      <c r="D25" s="27">
        <v>950</v>
      </c>
      <c r="F25" s="35"/>
      <c r="J25" s="31"/>
      <c r="K25" s="13"/>
      <c r="L25" s="35"/>
      <c r="N25" s="35"/>
      <c r="O25" s="35"/>
      <c r="P25" s="35"/>
      <c r="Q25" s="14"/>
      <c r="R25" s="27"/>
      <c r="V25" s="31"/>
      <c r="W25" s="13"/>
      <c r="AB25" s="228"/>
      <c r="AC25" s="13"/>
      <c r="AD25" s="31"/>
      <c r="AE25" s="15"/>
    </row>
    <row r="26" spans="1:31" ht="16.5" customHeight="1" x14ac:dyDescent="0.25">
      <c r="A26" s="311"/>
      <c r="B26" s="160">
        <v>46154</v>
      </c>
      <c r="C26" s="14" t="s">
        <v>884</v>
      </c>
      <c r="D26" s="27"/>
      <c r="F26" s="35"/>
      <c r="J26" s="31"/>
      <c r="K26" s="13"/>
      <c r="L26" s="35"/>
      <c r="N26" s="35"/>
      <c r="O26" s="35"/>
      <c r="P26" s="35">
        <v>3000</v>
      </c>
      <c r="Q26" s="14"/>
      <c r="R26" s="27"/>
      <c r="V26" s="31"/>
      <c r="W26" s="13"/>
      <c r="AB26" s="228"/>
      <c r="AC26" s="13"/>
      <c r="AD26" s="31"/>
      <c r="AE26" s="15"/>
    </row>
    <row r="27" spans="1:31" ht="16.5" customHeight="1" x14ac:dyDescent="0.25">
      <c r="A27" s="311"/>
      <c r="B27" s="160">
        <v>46154</v>
      </c>
      <c r="C27" s="14" t="s">
        <v>883</v>
      </c>
      <c r="D27" s="27"/>
      <c r="F27" s="35"/>
      <c r="J27" s="31"/>
      <c r="K27" s="13"/>
      <c r="L27" s="35"/>
      <c r="N27" s="35"/>
      <c r="O27" s="35"/>
      <c r="P27" s="35"/>
      <c r="Q27" s="14"/>
      <c r="R27" s="27">
        <v>25</v>
      </c>
      <c r="V27" s="31"/>
      <c r="W27" s="13">
        <v>20</v>
      </c>
      <c r="AB27" s="228"/>
      <c r="AC27" s="13"/>
      <c r="AD27" s="31"/>
      <c r="AE27" s="15"/>
    </row>
    <row r="28" spans="1:31" ht="16.5" customHeight="1" x14ac:dyDescent="0.25">
      <c r="A28" s="311"/>
      <c r="B28" s="160">
        <v>46154</v>
      </c>
      <c r="C28" s="14" t="s">
        <v>353</v>
      </c>
      <c r="D28" s="27"/>
      <c r="F28" s="35"/>
      <c r="I28">
        <v>500</v>
      </c>
      <c r="J28" s="31"/>
      <c r="K28" s="13"/>
      <c r="L28" s="35"/>
      <c r="N28" s="35"/>
      <c r="O28" s="35"/>
      <c r="P28" s="35"/>
      <c r="Q28" s="14"/>
      <c r="R28" s="27"/>
      <c r="V28" s="31"/>
      <c r="W28" s="13"/>
      <c r="AB28" s="228"/>
      <c r="AC28" s="13"/>
      <c r="AD28" s="31"/>
      <c r="AE28" s="15"/>
    </row>
    <row r="29" spans="1:31" ht="16.5" customHeight="1" x14ac:dyDescent="0.25">
      <c r="A29" s="311"/>
      <c r="B29" s="160">
        <v>46154</v>
      </c>
      <c r="C29" s="14" t="s">
        <v>888</v>
      </c>
      <c r="D29" s="27"/>
      <c r="F29" s="35"/>
      <c r="I29">
        <v>50</v>
      </c>
      <c r="J29" s="31"/>
      <c r="K29" s="13"/>
      <c r="L29" s="35"/>
      <c r="N29" s="35"/>
      <c r="O29" s="35"/>
      <c r="P29" s="35"/>
      <c r="Q29" s="14"/>
      <c r="R29" s="27"/>
      <c r="V29" s="31"/>
      <c r="W29" s="13"/>
      <c r="AB29" s="228"/>
      <c r="AC29" s="13"/>
      <c r="AD29" s="31"/>
      <c r="AE29" s="15"/>
    </row>
    <row r="30" spans="1:31" ht="16.5" customHeight="1" x14ac:dyDescent="0.25">
      <c r="A30" s="311"/>
      <c r="B30" s="160">
        <v>46154</v>
      </c>
      <c r="C30" s="14" t="s">
        <v>889</v>
      </c>
      <c r="D30" s="27"/>
      <c r="F30" s="35"/>
      <c r="I30">
        <v>250</v>
      </c>
      <c r="J30" s="31"/>
      <c r="K30" s="13"/>
      <c r="L30" s="35"/>
      <c r="N30" s="35"/>
      <c r="O30" s="35"/>
      <c r="P30" s="35"/>
      <c r="Q30" s="14"/>
      <c r="R30" s="27"/>
      <c r="V30" s="31"/>
      <c r="W30" s="13"/>
      <c r="AB30" s="228"/>
      <c r="AC30" s="13"/>
      <c r="AD30" s="31"/>
      <c r="AE30" s="15"/>
    </row>
    <row r="31" spans="1:31" ht="16.5" customHeight="1" x14ac:dyDescent="0.25">
      <c r="A31" s="311"/>
      <c r="B31" s="160">
        <v>46154</v>
      </c>
      <c r="C31" s="14" t="s">
        <v>871</v>
      </c>
      <c r="D31" s="27">
        <v>1000</v>
      </c>
      <c r="F31" s="35"/>
      <c r="J31" s="31"/>
      <c r="K31" s="13"/>
      <c r="L31" s="35"/>
      <c r="N31" s="35"/>
      <c r="O31" s="35"/>
      <c r="P31" s="35"/>
      <c r="Q31" s="14"/>
      <c r="R31" s="27"/>
      <c r="V31" s="31"/>
      <c r="W31" s="13"/>
      <c r="AB31" s="228"/>
      <c r="AC31" s="13"/>
      <c r="AD31" s="31"/>
      <c r="AE31" s="15"/>
    </row>
    <row r="32" spans="1:31" ht="16.5" customHeight="1" x14ac:dyDescent="0.25">
      <c r="A32" s="311"/>
      <c r="B32" s="160">
        <v>46154</v>
      </c>
      <c r="C32" s="14" t="s">
        <v>890</v>
      </c>
      <c r="D32" s="27">
        <v>1000</v>
      </c>
      <c r="F32" s="35"/>
      <c r="J32" s="31"/>
      <c r="K32" s="13"/>
      <c r="L32" s="35"/>
      <c r="N32" s="35"/>
      <c r="O32" s="35"/>
      <c r="P32" s="35"/>
      <c r="Q32" s="14"/>
      <c r="R32" s="27"/>
      <c r="V32" s="31"/>
      <c r="W32" s="13"/>
      <c r="AB32" s="228"/>
      <c r="AC32" s="13"/>
      <c r="AD32" s="31"/>
      <c r="AE32" s="15"/>
    </row>
    <row r="33" spans="1:31" ht="16.5" customHeight="1" x14ac:dyDescent="0.25">
      <c r="A33" s="311"/>
      <c r="B33" s="160">
        <v>46155</v>
      </c>
      <c r="C33" s="14" t="s">
        <v>896</v>
      </c>
      <c r="D33" s="27"/>
      <c r="F33" s="35"/>
      <c r="J33" s="31"/>
      <c r="K33" s="13"/>
      <c r="L33" s="35"/>
      <c r="N33" s="35"/>
      <c r="O33" s="35"/>
      <c r="P33" s="35"/>
      <c r="Q33" s="14"/>
      <c r="R33" s="27"/>
      <c r="V33" s="31">
        <v>990</v>
      </c>
      <c r="W33" s="13"/>
      <c r="AB33" s="228"/>
      <c r="AC33" s="13"/>
      <c r="AD33" s="31"/>
      <c r="AE33" s="15"/>
    </row>
    <row r="34" spans="1:31" ht="16.5" customHeight="1" x14ac:dyDescent="0.25">
      <c r="A34" s="311"/>
      <c r="B34" s="160">
        <v>46155</v>
      </c>
      <c r="C34" s="14" t="s">
        <v>842</v>
      </c>
      <c r="D34" s="27"/>
      <c r="F34" s="35"/>
      <c r="J34" s="31"/>
      <c r="K34" s="13"/>
      <c r="L34" s="35"/>
      <c r="N34" s="35"/>
      <c r="O34" s="35"/>
      <c r="P34" s="35"/>
      <c r="Q34" s="14"/>
      <c r="R34" s="27"/>
      <c r="V34" s="31"/>
      <c r="W34" s="13"/>
      <c r="AB34" s="228"/>
      <c r="AC34" s="13">
        <v>12</v>
      </c>
      <c r="AD34" s="31"/>
      <c r="AE34" s="15"/>
    </row>
    <row r="35" spans="1:31" ht="16.5" customHeight="1" x14ac:dyDescent="0.25">
      <c r="A35" s="311"/>
      <c r="B35" s="160">
        <v>46155</v>
      </c>
      <c r="C35" s="14" t="s">
        <v>424</v>
      </c>
      <c r="D35" s="27"/>
      <c r="F35" s="35"/>
      <c r="J35" s="31"/>
      <c r="K35" s="13"/>
      <c r="L35" s="35"/>
      <c r="N35" s="35"/>
      <c r="O35" s="35"/>
      <c r="P35" s="35"/>
      <c r="Q35" s="14"/>
      <c r="R35" s="27"/>
      <c r="V35" s="31"/>
      <c r="W35" s="13"/>
      <c r="AB35" s="228"/>
      <c r="AC35" s="13">
        <v>50</v>
      </c>
      <c r="AD35" s="31"/>
      <c r="AE35" s="15"/>
    </row>
    <row r="36" spans="1:31" ht="16.5" customHeight="1" x14ac:dyDescent="0.25">
      <c r="A36" s="311"/>
      <c r="B36" s="160">
        <v>46155</v>
      </c>
      <c r="C36" s="14" t="s">
        <v>901</v>
      </c>
      <c r="D36" s="27">
        <v>1000</v>
      </c>
      <c r="F36" s="35"/>
      <c r="J36" s="31"/>
      <c r="K36" s="13"/>
      <c r="L36" s="35"/>
      <c r="N36" s="35"/>
      <c r="O36" s="35"/>
      <c r="P36" s="35"/>
      <c r="Q36" s="14"/>
      <c r="R36" s="27"/>
      <c r="V36" s="31"/>
      <c r="W36" s="13"/>
      <c r="AB36" s="228"/>
      <c r="AC36" s="13"/>
      <c r="AD36" s="31"/>
      <c r="AE36" s="15"/>
    </row>
    <row r="37" spans="1:31" ht="16.5" customHeight="1" x14ac:dyDescent="0.25">
      <c r="A37" s="311"/>
      <c r="B37" s="160">
        <v>46155</v>
      </c>
      <c r="C37" s="14" t="s">
        <v>902</v>
      </c>
      <c r="D37" s="27"/>
      <c r="F37" s="35"/>
      <c r="J37" s="31"/>
      <c r="K37" s="13"/>
      <c r="L37" s="35"/>
      <c r="N37" s="35"/>
      <c r="O37" s="35"/>
      <c r="P37" s="35"/>
      <c r="Q37" s="14"/>
      <c r="R37" s="27"/>
      <c r="U37">
        <v>105</v>
      </c>
      <c r="V37" s="31"/>
      <c r="W37" s="13"/>
      <c r="AB37" s="228"/>
      <c r="AC37" s="13"/>
      <c r="AD37" s="31"/>
      <c r="AE37" s="15"/>
    </row>
    <row r="38" spans="1:31" ht="16.5" customHeight="1" x14ac:dyDescent="0.25">
      <c r="A38" s="311"/>
      <c r="B38" s="160">
        <v>46156</v>
      </c>
      <c r="C38" s="14" t="s">
        <v>571</v>
      </c>
      <c r="D38" s="27"/>
      <c r="F38" s="35"/>
      <c r="J38" s="31"/>
      <c r="K38" s="13"/>
      <c r="L38" s="35"/>
      <c r="N38" s="35"/>
      <c r="O38" s="35"/>
      <c r="P38" s="35"/>
      <c r="Q38" s="14">
        <v>2000</v>
      </c>
      <c r="R38" s="27"/>
      <c r="V38" s="31"/>
      <c r="W38" s="13"/>
      <c r="AB38" s="228"/>
      <c r="AC38" s="13"/>
      <c r="AD38" s="31"/>
      <c r="AE38" s="15"/>
    </row>
    <row r="39" spans="1:31" ht="16.5" customHeight="1" x14ac:dyDescent="0.25">
      <c r="A39" s="311"/>
      <c r="B39" s="160">
        <v>46156</v>
      </c>
      <c r="C39" s="14" t="s">
        <v>913</v>
      </c>
      <c r="D39" s="27"/>
      <c r="F39" s="35"/>
      <c r="J39" s="31"/>
      <c r="K39" s="13"/>
      <c r="L39" s="35">
        <v>1350</v>
      </c>
      <c r="N39" s="35"/>
      <c r="O39" s="35"/>
      <c r="P39" s="35"/>
      <c r="Q39" s="14"/>
      <c r="R39" s="27"/>
      <c r="V39" s="31"/>
      <c r="W39" s="13"/>
      <c r="AB39" s="228"/>
      <c r="AC39" s="13"/>
      <c r="AD39" s="31"/>
      <c r="AE39" s="15"/>
    </row>
    <row r="40" spans="1:31" ht="16.5" customHeight="1" x14ac:dyDescent="0.25">
      <c r="A40" s="311"/>
      <c r="B40" s="160">
        <v>46156</v>
      </c>
      <c r="C40" s="14" t="s">
        <v>706</v>
      </c>
      <c r="D40" s="27"/>
      <c r="F40" s="35"/>
      <c r="J40" s="31"/>
      <c r="K40" s="13"/>
      <c r="L40" s="35"/>
      <c r="N40" s="35"/>
      <c r="O40" s="35"/>
      <c r="P40" s="35">
        <v>250</v>
      </c>
      <c r="Q40" s="14"/>
      <c r="R40" s="27"/>
      <c r="V40" s="31"/>
      <c r="W40" s="13"/>
      <c r="AB40" s="228"/>
      <c r="AC40" s="13"/>
      <c r="AD40" s="31"/>
      <c r="AE40" s="15"/>
    </row>
    <row r="41" spans="1:31" ht="16.5" customHeight="1" x14ac:dyDescent="0.25">
      <c r="A41" s="311"/>
      <c r="B41" s="160">
        <v>46156</v>
      </c>
      <c r="C41" s="14" t="s">
        <v>842</v>
      </c>
      <c r="D41" s="27"/>
      <c r="F41" s="35"/>
      <c r="I41">
        <v>200</v>
      </c>
      <c r="J41" s="31"/>
      <c r="K41" s="13"/>
      <c r="L41" s="35"/>
      <c r="N41" s="35"/>
      <c r="O41" s="35"/>
      <c r="P41" s="35"/>
      <c r="Q41" s="14"/>
      <c r="R41" s="27"/>
      <c r="V41" s="31"/>
      <c r="W41" s="13"/>
      <c r="AB41" s="228"/>
      <c r="AC41" s="13"/>
      <c r="AD41" s="31"/>
      <c r="AE41" s="15"/>
    </row>
    <row r="42" spans="1:31" ht="16.5" customHeight="1" x14ac:dyDescent="0.25">
      <c r="A42" s="311"/>
      <c r="B42" s="160">
        <v>46156</v>
      </c>
      <c r="C42" s="14" t="s">
        <v>914</v>
      </c>
      <c r="D42" s="27"/>
      <c r="F42" s="35"/>
      <c r="J42" s="31"/>
      <c r="K42" s="13"/>
      <c r="L42" s="35"/>
      <c r="N42" s="35"/>
      <c r="O42" s="35"/>
      <c r="P42" s="35"/>
      <c r="Q42" s="14"/>
      <c r="R42" s="27"/>
      <c r="V42" s="31"/>
      <c r="W42" s="13">
        <v>1000</v>
      </c>
      <c r="AB42" s="228"/>
      <c r="AC42" s="13"/>
      <c r="AD42" s="31"/>
      <c r="AE42" s="15"/>
    </row>
    <row r="43" spans="1:31" ht="16.5" customHeight="1" x14ac:dyDescent="0.25">
      <c r="A43" s="311"/>
      <c r="B43" s="160">
        <v>46157</v>
      </c>
      <c r="C43" s="14" t="s">
        <v>374</v>
      </c>
      <c r="D43" s="27"/>
      <c r="F43" s="35"/>
      <c r="I43">
        <v>5000</v>
      </c>
      <c r="J43" s="31"/>
      <c r="K43" s="13"/>
      <c r="L43" s="35"/>
      <c r="N43" s="35"/>
      <c r="O43" s="35"/>
      <c r="P43" s="35"/>
      <c r="Q43" s="14"/>
      <c r="R43" s="27"/>
      <c r="V43" s="31"/>
      <c r="W43" s="13"/>
      <c r="AB43" s="228"/>
      <c r="AC43" s="13"/>
      <c r="AD43" s="31"/>
      <c r="AE43" s="15"/>
    </row>
    <row r="44" spans="1:31" ht="16.5" customHeight="1" x14ac:dyDescent="0.25">
      <c r="A44" s="311"/>
      <c r="B44" s="160">
        <v>46157</v>
      </c>
      <c r="C44" s="14" t="s">
        <v>561</v>
      </c>
      <c r="D44" s="27"/>
      <c r="F44" s="35"/>
      <c r="J44" s="31"/>
      <c r="K44" s="13"/>
      <c r="L44" s="35"/>
      <c r="N44" s="35">
        <v>2000</v>
      </c>
      <c r="O44" s="35"/>
      <c r="P44" s="35"/>
      <c r="Q44" s="14"/>
      <c r="R44" s="27"/>
      <c r="V44" s="31"/>
      <c r="W44" s="13"/>
      <c r="AB44" s="228"/>
      <c r="AC44" s="13"/>
      <c r="AD44" s="31"/>
      <c r="AE44" s="15"/>
    </row>
    <row r="45" spans="1:31" ht="16.5" customHeight="1" x14ac:dyDescent="0.25">
      <c r="A45" s="311"/>
      <c r="B45" s="160">
        <v>46157</v>
      </c>
      <c r="C45" s="14" t="s">
        <v>925</v>
      </c>
      <c r="D45" s="27"/>
      <c r="F45" s="35"/>
      <c r="J45" s="31"/>
      <c r="K45" s="13"/>
      <c r="L45" s="35"/>
      <c r="N45" s="35"/>
      <c r="O45" s="35"/>
      <c r="P45" s="35"/>
      <c r="Q45" s="14"/>
      <c r="R45" s="27"/>
      <c r="V45" s="31"/>
      <c r="W45" s="13">
        <v>350</v>
      </c>
      <c r="AB45" s="228"/>
      <c r="AC45" s="13"/>
      <c r="AD45" s="31"/>
      <c r="AE45" s="15"/>
    </row>
    <row r="46" spans="1:31" ht="16.5" customHeight="1" x14ac:dyDescent="0.25">
      <c r="A46" s="311"/>
      <c r="B46" s="160">
        <v>46157</v>
      </c>
      <c r="C46" s="14" t="s">
        <v>841</v>
      </c>
      <c r="D46" s="27"/>
      <c r="F46" s="35"/>
      <c r="J46" s="31"/>
      <c r="K46" s="13"/>
      <c r="L46" s="35"/>
      <c r="N46" s="35"/>
      <c r="O46" s="35"/>
      <c r="P46" s="35"/>
      <c r="Q46" s="14"/>
      <c r="R46" s="27"/>
      <c r="V46" s="31"/>
      <c r="W46" s="13">
        <v>110</v>
      </c>
      <c r="AB46" s="228"/>
      <c r="AC46" s="13"/>
      <c r="AD46" s="31"/>
      <c r="AE46" s="15"/>
    </row>
    <row r="47" spans="1:31" ht="16.5" customHeight="1" x14ac:dyDescent="0.25">
      <c r="A47" s="311"/>
      <c r="B47" s="160">
        <v>46157</v>
      </c>
      <c r="C47" s="14" t="s">
        <v>926</v>
      </c>
      <c r="D47" s="27"/>
      <c r="F47" s="35"/>
      <c r="I47">
        <v>500</v>
      </c>
      <c r="J47" s="31"/>
      <c r="K47" s="13"/>
      <c r="L47" s="35"/>
      <c r="N47" s="35"/>
      <c r="O47" s="35"/>
      <c r="P47" s="35"/>
      <c r="Q47" s="14"/>
      <c r="R47" s="27"/>
      <c r="V47" s="31"/>
      <c r="W47" s="13"/>
      <c r="AB47" s="228"/>
      <c r="AC47" s="13"/>
      <c r="AD47" s="31"/>
      <c r="AE47" s="15"/>
    </row>
    <row r="48" spans="1:31" ht="16.5" customHeight="1" x14ac:dyDescent="0.25">
      <c r="A48" s="311"/>
      <c r="B48" s="160">
        <v>46157</v>
      </c>
      <c r="C48" s="14" t="s">
        <v>933</v>
      </c>
      <c r="D48" s="27"/>
      <c r="F48" s="35"/>
      <c r="J48" s="31"/>
      <c r="K48" s="13"/>
      <c r="L48" s="35"/>
      <c r="N48" s="35"/>
      <c r="O48" s="35"/>
      <c r="P48" s="35"/>
      <c r="Q48" s="14"/>
      <c r="R48" s="27"/>
      <c r="U48">
        <v>400</v>
      </c>
      <c r="V48" s="31"/>
      <c r="W48" s="13"/>
      <c r="AB48" s="228"/>
      <c r="AC48" s="13"/>
      <c r="AD48" s="31"/>
      <c r="AE48" s="15"/>
    </row>
    <row r="49" spans="1:240" ht="16.5" customHeight="1" x14ac:dyDescent="0.25">
      <c r="A49" s="311"/>
      <c r="B49" s="160">
        <v>46157</v>
      </c>
      <c r="C49" s="14" t="s">
        <v>934</v>
      </c>
      <c r="D49" s="27"/>
      <c r="F49" s="35"/>
      <c r="J49" s="31"/>
      <c r="K49" s="13"/>
      <c r="L49" s="35"/>
      <c r="N49" s="35">
        <v>700</v>
      </c>
      <c r="O49" s="35"/>
      <c r="P49" s="35"/>
      <c r="Q49" s="14"/>
      <c r="R49" s="27"/>
      <c r="V49" s="31"/>
      <c r="W49" s="13"/>
      <c r="AB49" s="228"/>
      <c r="AC49" s="13"/>
      <c r="AD49" s="31"/>
      <c r="AE49" s="15"/>
    </row>
    <row r="50" spans="1:240" ht="16.5" customHeight="1" x14ac:dyDescent="0.25">
      <c r="A50" s="311"/>
      <c r="B50" s="160"/>
      <c r="C50" s="14"/>
      <c r="D50" s="27"/>
      <c r="F50" s="35"/>
      <c r="J50" s="31"/>
      <c r="K50" s="13"/>
      <c r="L50" s="35"/>
      <c r="N50" s="35"/>
      <c r="O50" s="35"/>
      <c r="P50" s="35"/>
      <c r="Q50" s="14"/>
      <c r="R50" s="27"/>
      <c r="V50" s="31"/>
      <c r="W50" s="13"/>
      <c r="AB50" s="228"/>
      <c r="AC50" s="13"/>
      <c r="AD50" s="31"/>
      <c r="AE50" s="15"/>
    </row>
    <row r="51" spans="1:240" ht="16.5" customHeight="1" x14ac:dyDescent="0.25">
      <c r="A51" s="311"/>
      <c r="B51" s="160"/>
      <c r="C51" s="14"/>
      <c r="D51" s="27"/>
      <c r="F51" s="35"/>
      <c r="J51" s="31"/>
      <c r="K51" s="13"/>
      <c r="L51" s="35"/>
      <c r="N51" s="35"/>
      <c r="O51" s="35"/>
      <c r="P51" s="35"/>
      <c r="Q51" s="14"/>
      <c r="R51" s="27"/>
      <c r="V51" s="31"/>
      <c r="W51" s="13"/>
      <c r="AB51" s="228"/>
      <c r="AC51" s="13"/>
      <c r="AD51" s="31"/>
      <c r="AE51" s="15"/>
    </row>
    <row r="52" spans="1:240" x14ac:dyDescent="0.25">
      <c r="A52" s="311"/>
      <c r="B52" s="160"/>
      <c r="C52" s="14"/>
      <c r="D52" s="27"/>
      <c r="F52" s="35"/>
      <c r="J52" s="31"/>
      <c r="K52" s="13"/>
      <c r="L52" s="35"/>
      <c r="N52" s="35"/>
      <c r="O52" s="35"/>
      <c r="P52" s="35"/>
      <c r="Q52" s="14"/>
      <c r="R52" s="27"/>
      <c r="V52" s="31"/>
      <c r="W52" s="13"/>
      <c r="AB52" s="228"/>
      <c r="AC52" s="13"/>
      <c r="AD52" s="31"/>
      <c r="AE52" s="15"/>
    </row>
    <row r="53" spans="1:240" s="52" customFormat="1" x14ac:dyDescent="0.25">
      <c r="A53" s="311"/>
      <c r="B53" s="114"/>
      <c r="C53" s="105" t="s">
        <v>137</v>
      </c>
      <c r="D53" s="83"/>
      <c r="J53" s="105"/>
      <c r="K53" s="83"/>
      <c r="Q53" s="105"/>
      <c r="R53" s="83"/>
      <c r="V53" s="105">
        <v>10</v>
      </c>
      <c r="W53" s="83"/>
      <c r="AB53" s="229"/>
      <c r="AC53" s="83"/>
      <c r="AD53" s="105"/>
      <c r="AE53" s="115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</row>
    <row r="54" spans="1:240" x14ac:dyDescent="0.25">
      <c r="A54" s="311"/>
      <c r="B54" s="20"/>
      <c r="C54" s="14"/>
      <c r="D54" s="27"/>
      <c r="F54" s="35"/>
      <c r="J54" s="31"/>
      <c r="K54" s="13"/>
      <c r="L54" s="35"/>
      <c r="N54" s="35"/>
      <c r="O54" s="35"/>
      <c r="P54" s="35"/>
      <c r="Q54" s="14"/>
      <c r="R54" s="27"/>
      <c r="V54" s="31"/>
      <c r="W54" s="13"/>
      <c r="AB54" s="228"/>
      <c r="AC54" s="13"/>
      <c r="AD54" s="31"/>
      <c r="AE54" s="15"/>
    </row>
    <row r="55" spans="1:240" ht="15.75" thickBot="1" x14ac:dyDescent="0.3">
      <c r="A55" s="312"/>
      <c r="B55" s="13"/>
      <c r="C55" s="14"/>
      <c r="D55" s="27"/>
      <c r="F55" s="35"/>
      <c r="J55" s="31"/>
      <c r="K55" s="13"/>
      <c r="L55" s="35"/>
      <c r="N55" s="35"/>
      <c r="O55" s="35"/>
      <c r="P55" s="35"/>
      <c r="Q55" s="14"/>
      <c r="R55" s="27"/>
      <c r="V55" s="31"/>
      <c r="W55" s="13"/>
      <c r="AB55" s="228"/>
      <c r="AC55" s="13"/>
      <c r="AD55" s="31"/>
      <c r="AE55" s="15"/>
      <c r="AI55">
        <f>0.3*400</f>
        <v>120</v>
      </c>
    </row>
    <row r="56" spans="1:240" ht="21.75" thickBot="1" x14ac:dyDescent="0.3">
      <c r="A56" s="21" t="s">
        <v>23</v>
      </c>
      <c r="B56" s="22"/>
      <c r="C56" s="23"/>
      <c r="D56" s="29">
        <f t="shared" ref="D56:AD56" si="0">SUM(D4:D16)-SUM(D17:D55)</f>
        <v>2000</v>
      </c>
      <c r="E56" s="22">
        <f t="shared" si="0"/>
        <v>2</v>
      </c>
      <c r="F56" s="37">
        <f t="shared" si="0"/>
        <v>1261</v>
      </c>
      <c r="G56" s="24">
        <f t="shared" si="0"/>
        <v>140</v>
      </c>
      <c r="H56" s="24">
        <f t="shared" si="0"/>
        <v>52</v>
      </c>
      <c r="I56" s="24">
        <f t="shared" si="0"/>
        <v>3908</v>
      </c>
      <c r="J56" s="33">
        <f t="shared" si="0"/>
        <v>0</v>
      </c>
      <c r="K56" s="22">
        <f t="shared" si="0"/>
        <v>10</v>
      </c>
      <c r="L56" s="37">
        <f t="shared" si="0"/>
        <v>8246</v>
      </c>
      <c r="M56" s="24">
        <f t="shared" si="0"/>
        <v>181</v>
      </c>
      <c r="N56" s="37">
        <f t="shared" si="0"/>
        <v>3861</v>
      </c>
      <c r="O56" s="37">
        <f t="shared" si="0"/>
        <v>47</v>
      </c>
      <c r="P56" s="37">
        <f t="shared" si="0"/>
        <v>4866</v>
      </c>
      <c r="Q56" s="23">
        <f t="shared" si="0"/>
        <v>5500</v>
      </c>
      <c r="R56" s="29">
        <f t="shared" si="0"/>
        <v>402</v>
      </c>
      <c r="S56" s="29">
        <f t="shared" si="0"/>
        <v>0</v>
      </c>
      <c r="T56" s="29">
        <f t="shared" si="0"/>
        <v>1670</v>
      </c>
      <c r="U56" s="107">
        <f t="shared" si="0"/>
        <v>0</v>
      </c>
      <c r="V56" s="33">
        <f t="shared" si="0"/>
        <v>1000</v>
      </c>
      <c r="W56" s="22">
        <f t="shared" si="0"/>
        <v>1073</v>
      </c>
      <c r="X56" s="22">
        <f t="shared" si="0"/>
        <v>0</v>
      </c>
      <c r="Y56" s="22">
        <f t="shared" si="0"/>
        <v>0</v>
      </c>
      <c r="Z56" s="22">
        <f t="shared" si="0"/>
        <v>0</v>
      </c>
      <c r="AA56" s="22">
        <f t="shared" si="0"/>
        <v>500</v>
      </c>
      <c r="AB56" s="230">
        <f t="shared" si="0"/>
        <v>30</v>
      </c>
      <c r="AC56" s="22">
        <f t="shared" si="0"/>
        <v>58</v>
      </c>
      <c r="AD56" s="33">
        <f t="shared" si="0"/>
        <v>0</v>
      </c>
      <c r="AE56" s="25"/>
    </row>
    <row r="58" spans="1:240" x14ac:dyDescent="0.25">
      <c r="C58" t="s">
        <v>176</v>
      </c>
      <c r="D58">
        <v>0.6</v>
      </c>
      <c r="E58">
        <v>0.55000000000000004</v>
      </c>
      <c r="F58">
        <v>0.71</v>
      </c>
      <c r="G58">
        <v>0.65</v>
      </c>
      <c r="H58">
        <v>0.65</v>
      </c>
      <c r="I58">
        <v>0.66</v>
      </c>
      <c r="J58">
        <v>0.74</v>
      </c>
      <c r="K58">
        <v>0.84</v>
      </c>
      <c r="L58">
        <v>0.86</v>
      </c>
      <c r="M58" s="50">
        <f>0.95+0.1</f>
        <v>1.05</v>
      </c>
      <c r="N58">
        <v>1.02</v>
      </c>
      <c r="O58">
        <v>0.82</v>
      </c>
      <c r="P58">
        <v>0.92</v>
      </c>
      <c r="Q58">
        <v>0.82</v>
      </c>
      <c r="R58">
        <v>2.75</v>
      </c>
      <c r="S58">
        <v>2.6</v>
      </c>
      <c r="T58">
        <v>2.8</v>
      </c>
      <c r="U58">
        <v>2.6</v>
      </c>
      <c r="V58">
        <v>2.4500000000000002</v>
      </c>
      <c r="W58">
        <v>2.7</v>
      </c>
      <c r="X58">
        <v>2.5499999999999998</v>
      </c>
      <c r="Y58">
        <v>2.9</v>
      </c>
      <c r="Z58">
        <v>2.85</v>
      </c>
      <c r="AA58">
        <v>2.5499999999999998</v>
      </c>
      <c r="AB58">
        <v>3.1</v>
      </c>
      <c r="AC58">
        <v>0.6</v>
      </c>
      <c r="AD58">
        <f>+AD56*0.34</f>
        <v>0</v>
      </c>
      <c r="AE58" s="109"/>
    </row>
    <row r="59" spans="1:240" x14ac:dyDescent="0.25">
      <c r="D59">
        <f>+D56*D58</f>
        <v>1200</v>
      </c>
      <c r="E59">
        <f>+E56*E58</f>
        <v>1.1000000000000001</v>
      </c>
      <c r="F59">
        <f t="shared" ref="F59:AE59" si="1">+F56*F58</f>
        <v>895.31</v>
      </c>
      <c r="G59">
        <f t="shared" si="1"/>
        <v>91</v>
      </c>
      <c r="H59">
        <f t="shared" si="1"/>
        <v>33.800000000000004</v>
      </c>
      <c r="I59">
        <f t="shared" si="1"/>
        <v>2579.2800000000002</v>
      </c>
      <c r="J59">
        <f t="shared" si="1"/>
        <v>0</v>
      </c>
      <c r="K59">
        <f t="shared" si="1"/>
        <v>8.4</v>
      </c>
      <c r="L59">
        <f t="shared" si="1"/>
        <v>7091.5599999999995</v>
      </c>
      <c r="M59">
        <f t="shared" si="1"/>
        <v>190.05</v>
      </c>
      <c r="N59">
        <f t="shared" si="1"/>
        <v>3938.2200000000003</v>
      </c>
      <c r="O59">
        <f>O56*O58</f>
        <v>38.54</v>
      </c>
      <c r="P59">
        <f t="shared" si="1"/>
        <v>4476.72</v>
      </c>
      <c r="Q59">
        <f>+Q56*Q58</f>
        <v>4510</v>
      </c>
      <c r="R59">
        <f t="shared" si="1"/>
        <v>1105.5</v>
      </c>
      <c r="S59">
        <f t="shared" si="1"/>
        <v>0</v>
      </c>
      <c r="T59">
        <f t="shared" si="1"/>
        <v>4676</v>
      </c>
      <c r="U59">
        <f t="shared" si="1"/>
        <v>0</v>
      </c>
      <c r="V59">
        <f t="shared" si="1"/>
        <v>2450</v>
      </c>
      <c r="W59">
        <f t="shared" si="1"/>
        <v>2897.1000000000004</v>
      </c>
      <c r="X59">
        <f t="shared" si="1"/>
        <v>0</v>
      </c>
      <c r="Y59">
        <f>+Y56*Y58</f>
        <v>0</v>
      </c>
      <c r="Z59">
        <f>Z56*Z58</f>
        <v>0</v>
      </c>
      <c r="AA59">
        <f>AA56*AA58</f>
        <v>1275</v>
      </c>
      <c r="AB59">
        <f t="shared" si="1"/>
        <v>93</v>
      </c>
      <c r="AC59">
        <f t="shared" si="1"/>
        <v>34.799999999999997</v>
      </c>
      <c r="AE59">
        <f t="shared" si="1"/>
        <v>0</v>
      </c>
      <c r="AF59" s="52">
        <f>SUM(D59:AE59)</f>
        <v>37585.379999999997</v>
      </c>
    </row>
    <row r="60" spans="1:240" x14ac:dyDescent="0.25"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103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 spans="1:240" x14ac:dyDescent="0.25"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103"/>
      <c r="V61" s="39"/>
      <c r="W61" s="39"/>
      <c r="X61" s="39"/>
      <c r="Z61" s="39"/>
      <c r="AA61" s="39"/>
      <c r="AB61" s="39"/>
      <c r="AC61" s="39"/>
      <c r="AD61" s="39"/>
      <c r="AE61" s="39"/>
    </row>
    <row r="62" spans="1:240" x14ac:dyDescent="0.25">
      <c r="C62" s="39"/>
      <c r="D62" s="39"/>
      <c r="E62" s="39"/>
      <c r="F62" s="39"/>
      <c r="G62" s="39"/>
      <c r="H62" s="39"/>
      <c r="I62" s="39"/>
    </row>
    <row r="63" spans="1:240" x14ac:dyDescent="0.25">
      <c r="C63" s="39"/>
      <c r="D63" s="39"/>
      <c r="E63" s="39"/>
      <c r="F63" s="39"/>
      <c r="G63" s="39"/>
      <c r="H63" s="39"/>
      <c r="I63" s="39"/>
    </row>
    <row r="64" spans="1:240" x14ac:dyDescent="0.25">
      <c r="C64" s="39"/>
      <c r="D64" s="39"/>
      <c r="E64" s="39"/>
      <c r="F64" s="39"/>
      <c r="G64" s="39"/>
      <c r="H64" s="39"/>
      <c r="I64" s="39"/>
    </row>
    <row r="65" spans="3:9" x14ac:dyDescent="0.25">
      <c r="C65" s="39"/>
      <c r="D65" s="39"/>
      <c r="E65" s="39"/>
      <c r="F65" s="39"/>
      <c r="G65" s="39"/>
      <c r="H65" s="39"/>
      <c r="I65" s="39"/>
    </row>
    <row r="66" spans="3:9" x14ac:dyDescent="0.25">
      <c r="C66" s="105" t="s">
        <v>137</v>
      </c>
    </row>
    <row r="67" spans="3:9" x14ac:dyDescent="0.25">
      <c r="C67" t="s">
        <v>915</v>
      </c>
      <c r="D67">
        <v>10</v>
      </c>
    </row>
    <row r="85" spans="3:38" ht="30" customHeight="1" x14ac:dyDescent="0.25"/>
    <row r="88" spans="3:38" x14ac:dyDescent="0.25">
      <c r="C88" s="98" t="s">
        <v>118</v>
      </c>
      <c r="D88">
        <f>5050+180</f>
        <v>5230</v>
      </c>
      <c r="E88">
        <v>140</v>
      </c>
      <c r="F88">
        <f>-310+70+80</f>
        <v>-160</v>
      </c>
      <c r="G88">
        <f>8000+1340-200</f>
        <v>9140</v>
      </c>
    </row>
    <row r="89" spans="3:38" x14ac:dyDescent="0.25">
      <c r="C89" t="s">
        <v>119</v>
      </c>
      <c r="D89">
        <v>6500</v>
      </c>
      <c r="E89">
        <v>6500</v>
      </c>
      <c r="F89">
        <v>6500</v>
      </c>
      <c r="G89">
        <v>6500</v>
      </c>
    </row>
    <row r="90" spans="3:38" x14ac:dyDescent="0.25">
      <c r="C90" t="s">
        <v>120</v>
      </c>
      <c r="D90">
        <v>33280</v>
      </c>
      <c r="E90">
        <v>33280</v>
      </c>
      <c r="F90">
        <f>38060-1480</f>
        <v>36580</v>
      </c>
      <c r="G90">
        <v>27560</v>
      </c>
    </row>
    <row r="91" spans="3:38" x14ac:dyDescent="0.25">
      <c r="C91" t="s">
        <v>123</v>
      </c>
      <c r="D91">
        <v>2960</v>
      </c>
      <c r="E91">
        <v>2960</v>
      </c>
      <c r="F91">
        <f>1150</f>
        <v>1150</v>
      </c>
      <c r="G91">
        <v>1980</v>
      </c>
      <c r="AK91" t="s">
        <v>150</v>
      </c>
      <c r="AL91" t="s">
        <v>151</v>
      </c>
    </row>
    <row r="92" spans="3:38" x14ac:dyDescent="0.25">
      <c r="C92" t="s">
        <v>122</v>
      </c>
      <c r="D92">
        <v>1300</v>
      </c>
      <c r="E92">
        <v>1300</v>
      </c>
      <c r="F92">
        <v>1300</v>
      </c>
      <c r="G92">
        <v>1300</v>
      </c>
      <c r="AK92" t="s">
        <v>152</v>
      </c>
    </row>
    <row r="93" spans="3:38" x14ac:dyDescent="0.25">
      <c r="C93" t="s">
        <v>127</v>
      </c>
      <c r="D93">
        <v>-9815</v>
      </c>
      <c r="E93">
        <v>-4815</v>
      </c>
      <c r="F93">
        <v>-4815</v>
      </c>
      <c r="G93">
        <v>-4815</v>
      </c>
    </row>
    <row r="94" spans="3:38" x14ac:dyDescent="0.25">
      <c r="C94" t="s">
        <v>128</v>
      </c>
      <c r="AK94" t="s">
        <v>153</v>
      </c>
    </row>
    <row r="96" spans="3:38" x14ac:dyDescent="0.25">
      <c r="D96">
        <f>SUM(D88:D95)</f>
        <v>39455</v>
      </c>
      <c r="E96">
        <f>SUM(E88:E93)</f>
        <v>39365</v>
      </c>
      <c r="F96">
        <f>SUM(F88:F93)</f>
        <v>40555</v>
      </c>
      <c r="G96">
        <f>SUM(G88:G93)</f>
        <v>41665</v>
      </c>
    </row>
    <row r="97" spans="3:37" x14ac:dyDescent="0.25">
      <c r="C97" t="s">
        <v>124</v>
      </c>
      <c r="D97">
        <v>100</v>
      </c>
      <c r="E97">
        <v>100</v>
      </c>
      <c r="F97">
        <v>100</v>
      </c>
      <c r="G97">
        <v>100</v>
      </c>
      <c r="AK97">
        <v>24005</v>
      </c>
    </row>
    <row r="98" spans="3:37" x14ac:dyDescent="0.25">
      <c r="C98" t="s">
        <v>125</v>
      </c>
      <c r="D98">
        <f>+D96-D97</f>
        <v>39355</v>
      </c>
      <c r="E98">
        <f>+E96-E97</f>
        <v>39265</v>
      </c>
      <c r="F98">
        <f>+F96-F97</f>
        <v>40455</v>
      </c>
      <c r="G98">
        <f>+G96-G97</f>
        <v>41565</v>
      </c>
      <c r="AK98">
        <v>-24080</v>
      </c>
    </row>
    <row r="99" spans="3:37" x14ac:dyDescent="0.25">
      <c r="G99">
        <f>+G98-F98</f>
        <v>1110</v>
      </c>
      <c r="AK99">
        <f>SUM(AK97:AK98)</f>
        <v>-75</v>
      </c>
    </row>
  </sheetData>
  <mergeCells count="7">
    <mergeCell ref="AC2:AD2"/>
    <mergeCell ref="A4:A16"/>
    <mergeCell ref="A17:A55"/>
    <mergeCell ref="D2:J2"/>
    <mergeCell ref="K2:Q2"/>
    <mergeCell ref="R2:V2"/>
    <mergeCell ref="W2:AA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37DA-FFA4-47F9-BBEE-66F4B34D4926}">
  <dimension ref="A1:IF93"/>
  <sheetViews>
    <sheetView zoomScale="60" zoomScaleNormal="60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I30" sqref="I3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14" customWidth="1"/>
    <col min="10" max="10" width="9.42578125" customWidth="1"/>
    <col min="11" max="11" width="16" customWidth="1"/>
    <col min="12" max="12" width="11.28515625" customWidth="1"/>
    <col min="13" max="13" width="10.140625" customWidth="1"/>
    <col min="14" max="15" width="12" customWidth="1"/>
    <col min="16" max="16" width="11.28515625" customWidth="1"/>
    <col min="17" max="17" width="10.42578125" bestFit="1" customWidth="1"/>
    <col min="18" max="18" width="8.7109375" bestFit="1" customWidth="1"/>
    <col min="19" max="19" width="10.5703125" customWidth="1"/>
    <col min="20" max="20" width="8.7109375" customWidth="1"/>
    <col min="21" max="21" width="11.28515625" customWidth="1"/>
    <col min="22" max="22" width="10.85546875" customWidth="1"/>
    <col min="23" max="25" width="10.7109375" customWidth="1"/>
    <col min="26" max="27" width="13.5703125" customWidth="1"/>
    <col min="28" max="28" width="22" customWidth="1"/>
    <col min="29" max="29" width="14.42578125" customWidth="1"/>
    <col min="30" max="30" width="9.85546875" customWidth="1"/>
    <col min="31" max="31" width="17.140625" customWidth="1"/>
    <col min="32" max="32" width="19" customWidth="1"/>
    <col min="35" max="35" width="15.140625" customWidth="1"/>
  </cols>
  <sheetData>
    <row r="1" spans="1:31" ht="33" customHeight="1" thickBot="1" x14ac:dyDescent="0.3"/>
    <row r="2" spans="1:31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13"/>
      <c r="J2" s="309"/>
      <c r="K2" s="308" t="s">
        <v>1</v>
      </c>
      <c r="L2" s="313"/>
      <c r="M2" s="313"/>
      <c r="N2" s="313"/>
      <c r="O2" s="313"/>
      <c r="P2" s="313"/>
      <c r="Q2" s="309"/>
      <c r="R2" s="308" t="s">
        <v>2</v>
      </c>
      <c r="S2" s="313"/>
      <c r="T2" s="313"/>
      <c r="U2" s="313"/>
      <c r="V2" s="309"/>
      <c r="W2" s="308" t="s">
        <v>3</v>
      </c>
      <c r="X2" s="313"/>
      <c r="Y2" s="313"/>
      <c r="Z2" s="313"/>
      <c r="AA2" s="313"/>
      <c r="AB2" s="225" t="s">
        <v>799</v>
      </c>
      <c r="AC2" s="308" t="s">
        <v>4</v>
      </c>
      <c r="AD2" s="309"/>
      <c r="AE2" s="46" t="s">
        <v>91</v>
      </c>
    </row>
    <row r="3" spans="1:31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7" t="s">
        <v>838</v>
      </c>
      <c r="J3" s="8" t="s">
        <v>13</v>
      </c>
      <c r="K3" s="9" t="s">
        <v>394</v>
      </c>
      <c r="L3" s="7" t="s">
        <v>11</v>
      </c>
      <c r="M3" s="7" t="s">
        <v>12</v>
      </c>
      <c r="N3" s="7" t="s">
        <v>13</v>
      </c>
      <c r="O3" s="7" t="s">
        <v>182</v>
      </c>
      <c r="P3" s="7" t="s">
        <v>15</v>
      </c>
      <c r="Q3" s="8" t="s">
        <v>136</v>
      </c>
      <c r="R3" s="6" t="s">
        <v>12</v>
      </c>
      <c r="S3" s="7" t="s">
        <v>69</v>
      </c>
      <c r="T3" s="7" t="s">
        <v>13</v>
      </c>
      <c r="U3" s="7" t="s">
        <v>16</v>
      </c>
      <c r="V3" s="8" t="s">
        <v>162</v>
      </c>
      <c r="W3" s="6" t="s">
        <v>16</v>
      </c>
      <c r="X3" s="7" t="s">
        <v>77</v>
      </c>
      <c r="Y3" s="7" t="s">
        <v>12</v>
      </c>
      <c r="Z3" s="7" t="s">
        <v>13</v>
      </c>
      <c r="AA3" s="7" t="s">
        <v>8</v>
      </c>
      <c r="AB3" s="226" t="s">
        <v>800</v>
      </c>
      <c r="AC3" s="6" t="s">
        <v>17</v>
      </c>
      <c r="AD3" s="8" t="s">
        <v>18</v>
      </c>
      <c r="AE3" s="10" t="s">
        <v>92</v>
      </c>
    </row>
    <row r="4" spans="1:31" x14ac:dyDescent="0.25">
      <c r="A4" s="310" t="s">
        <v>19</v>
      </c>
      <c r="B4" s="49"/>
      <c r="C4" s="2"/>
      <c r="D4" s="42">
        <v>2000</v>
      </c>
      <c r="E4" s="42">
        <v>2</v>
      </c>
      <c r="F4" s="42">
        <v>1261</v>
      </c>
      <c r="G4" s="42">
        <v>140</v>
      </c>
      <c r="H4" s="42">
        <v>52</v>
      </c>
      <c r="I4" s="42">
        <v>3908</v>
      </c>
      <c r="J4" s="42">
        <v>0</v>
      </c>
      <c r="K4" s="42">
        <v>10</v>
      </c>
      <c r="L4" s="42">
        <v>8246</v>
      </c>
      <c r="M4" s="42">
        <v>181</v>
      </c>
      <c r="N4" s="42">
        <v>3861</v>
      </c>
      <c r="O4" s="42">
        <v>47</v>
      </c>
      <c r="P4" s="42">
        <v>4866</v>
      </c>
      <c r="Q4" s="42">
        <v>5500</v>
      </c>
      <c r="R4" s="42">
        <v>402</v>
      </c>
      <c r="S4" s="42"/>
      <c r="T4" s="42">
        <v>1670</v>
      </c>
      <c r="U4" s="42">
        <v>0</v>
      </c>
      <c r="V4" s="42">
        <v>1000</v>
      </c>
      <c r="W4" s="42">
        <v>1073</v>
      </c>
      <c r="X4" s="42">
        <v>0</v>
      </c>
      <c r="Y4" s="42">
        <v>0</v>
      </c>
      <c r="Z4" s="42">
        <v>0</v>
      </c>
      <c r="AA4" s="42">
        <v>500</v>
      </c>
      <c r="AB4" s="227">
        <v>30</v>
      </c>
      <c r="AC4" s="42">
        <v>58</v>
      </c>
      <c r="AD4" s="42">
        <v>0</v>
      </c>
      <c r="AE4" s="42">
        <v>0</v>
      </c>
    </row>
    <row r="5" spans="1:31" x14ac:dyDescent="0.25">
      <c r="A5" s="311"/>
      <c r="B5" s="20">
        <v>46160</v>
      </c>
      <c r="C5" s="82" t="s">
        <v>946</v>
      </c>
      <c r="D5" s="27"/>
      <c r="F5" s="35"/>
      <c r="J5" s="31"/>
      <c r="K5" s="13"/>
      <c r="L5" s="35"/>
      <c r="N5" s="35"/>
      <c r="O5" s="35"/>
      <c r="P5" s="35"/>
      <c r="Q5" s="14"/>
      <c r="R5" s="27"/>
      <c r="V5" s="31"/>
      <c r="W5" s="13"/>
      <c r="AB5" s="228"/>
      <c r="AC5" s="13"/>
      <c r="AD5" s="31"/>
      <c r="AE5" s="15">
        <v>250</v>
      </c>
    </row>
    <row r="6" spans="1:31" x14ac:dyDescent="0.25">
      <c r="A6" s="311"/>
      <c r="B6" s="20">
        <v>46160</v>
      </c>
      <c r="C6" s="82" t="s">
        <v>27</v>
      </c>
      <c r="D6" s="27"/>
      <c r="F6" s="35"/>
      <c r="J6" s="31"/>
      <c r="K6" s="13"/>
      <c r="L6" s="35"/>
      <c r="N6" s="35"/>
      <c r="O6" s="35"/>
      <c r="P6" s="35"/>
      <c r="Q6" s="14"/>
      <c r="R6" s="27"/>
      <c r="V6" s="31"/>
      <c r="W6" s="13"/>
      <c r="AB6" s="228"/>
      <c r="AC6" s="13"/>
      <c r="AD6" s="31"/>
      <c r="AE6" s="15"/>
    </row>
    <row r="7" spans="1:31" x14ac:dyDescent="0.25">
      <c r="A7" s="311"/>
      <c r="B7" s="20">
        <v>46160</v>
      </c>
      <c r="C7" s="82" t="s">
        <v>27</v>
      </c>
      <c r="D7" s="27"/>
      <c r="F7" s="35"/>
      <c r="J7" s="31"/>
      <c r="K7" s="13"/>
      <c r="L7" s="35"/>
      <c r="N7" s="35"/>
      <c r="O7" s="35"/>
      <c r="P7" s="35"/>
      <c r="Q7" s="14"/>
      <c r="R7" s="27"/>
      <c r="U7">
        <v>1000</v>
      </c>
      <c r="V7" s="31"/>
      <c r="W7" s="13"/>
      <c r="AB7" s="228"/>
      <c r="AC7" s="13"/>
      <c r="AD7" s="31"/>
      <c r="AE7" s="15"/>
    </row>
    <row r="8" spans="1:31" x14ac:dyDescent="0.25">
      <c r="A8" s="311"/>
      <c r="B8" s="20">
        <v>46161</v>
      </c>
      <c r="C8" s="82" t="s">
        <v>946</v>
      </c>
      <c r="D8" s="27"/>
      <c r="F8" s="35"/>
      <c r="J8" s="31"/>
      <c r="K8" s="13"/>
      <c r="L8" s="35"/>
      <c r="N8" s="35"/>
      <c r="O8" s="35"/>
      <c r="P8" s="35"/>
      <c r="Q8" s="14"/>
      <c r="R8" s="27"/>
      <c r="V8" s="31"/>
      <c r="W8" s="13"/>
      <c r="AB8" s="228"/>
      <c r="AC8" s="13"/>
      <c r="AD8" s="31">
        <v>2000</v>
      </c>
      <c r="AE8" s="15"/>
    </row>
    <row r="9" spans="1:31" x14ac:dyDescent="0.25">
      <c r="A9" s="311"/>
      <c r="B9" s="20">
        <v>46162</v>
      </c>
      <c r="C9" s="82" t="s">
        <v>27</v>
      </c>
      <c r="D9" s="27"/>
      <c r="F9" s="35"/>
      <c r="J9" s="31"/>
      <c r="K9" s="13"/>
      <c r="L9" s="35"/>
      <c r="N9" s="35"/>
      <c r="O9" s="35"/>
      <c r="P9" s="35"/>
      <c r="Q9" s="14"/>
      <c r="R9" s="27"/>
      <c r="U9">
        <v>1000</v>
      </c>
      <c r="V9" s="31"/>
      <c r="W9" s="13"/>
      <c r="AB9" s="228"/>
      <c r="AC9" s="13"/>
      <c r="AD9" s="31"/>
      <c r="AE9" s="15"/>
    </row>
    <row r="10" spans="1:31" x14ac:dyDescent="0.25">
      <c r="A10" s="311"/>
      <c r="B10" s="160"/>
      <c r="C10" s="82" t="s">
        <v>314</v>
      </c>
      <c r="D10" s="27">
        <v>1000</v>
      </c>
      <c r="F10" s="35"/>
      <c r="J10" s="31"/>
      <c r="K10" s="13"/>
      <c r="L10" s="35"/>
      <c r="N10" s="35"/>
      <c r="O10" s="35"/>
      <c r="P10" s="35"/>
      <c r="Q10" s="14"/>
      <c r="R10" s="27"/>
      <c r="V10" s="31"/>
      <c r="W10" s="13"/>
      <c r="AB10" s="228"/>
      <c r="AC10" s="13"/>
      <c r="AD10" s="31"/>
      <c r="AE10" s="15"/>
    </row>
    <row r="11" spans="1:31" x14ac:dyDescent="0.25">
      <c r="A11" s="311"/>
      <c r="B11" s="160">
        <v>46164</v>
      </c>
      <c r="C11" s="82" t="s">
        <v>27</v>
      </c>
      <c r="D11" s="27"/>
      <c r="F11" s="35"/>
      <c r="J11" s="31"/>
      <c r="K11" s="13"/>
      <c r="L11" s="35"/>
      <c r="N11" s="35"/>
      <c r="O11" s="35"/>
      <c r="P11" s="35">
        <v>3000</v>
      </c>
      <c r="Q11" s="14"/>
      <c r="R11" s="27"/>
      <c r="V11" s="31"/>
      <c r="W11" s="13"/>
      <c r="AB11" s="228"/>
      <c r="AC11" s="13"/>
      <c r="AD11" s="31"/>
      <c r="AE11" s="15"/>
    </row>
    <row r="12" spans="1:31" x14ac:dyDescent="0.25">
      <c r="A12" s="311"/>
      <c r="B12" s="160">
        <v>46164</v>
      </c>
      <c r="C12" s="82" t="s">
        <v>46</v>
      </c>
      <c r="D12" s="27"/>
      <c r="F12" s="35"/>
      <c r="I12">
        <v>6000</v>
      </c>
      <c r="J12" s="31"/>
      <c r="K12" s="13"/>
      <c r="L12" s="35"/>
      <c r="N12" s="35"/>
      <c r="O12" s="35"/>
      <c r="P12" s="35"/>
      <c r="Q12" s="14"/>
      <c r="R12" s="27"/>
      <c r="V12" s="31"/>
      <c r="W12" s="13"/>
      <c r="AB12" s="228"/>
      <c r="AC12" s="13"/>
      <c r="AD12" s="31"/>
      <c r="AE12" s="15"/>
    </row>
    <row r="13" spans="1:31" x14ac:dyDescent="0.25">
      <c r="A13" s="311"/>
      <c r="B13" s="160">
        <v>46165</v>
      </c>
      <c r="C13" s="82" t="s">
        <v>46</v>
      </c>
      <c r="D13" s="27">
        <v>3000</v>
      </c>
      <c r="F13" s="35"/>
      <c r="J13" s="31"/>
      <c r="K13" s="13"/>
      <c r="L13" s="35"/>
      <c r="N13" s="35"/>
      <c r="O13" s="35"/>
      <c r="P13" s="35"/>
      <c r="Q13" s="14">
        <v>1000</v>
      </c>
      <c r="R13" s="27"/>
      <c r="V13" s="31"/>
      <c r="W13" s="13"/>
      <c r="AB13" s="228"/>
      <c r="AC13" s="13"/>
      <c r="AD13" s="31"/>
      <c r="AE13" s="15"/>
    </row>
    <row r="14" spans="1:31" x14ac:dyDescent="0.25">
      <c r="A14" s="311"/>
      <c r="B14" s="160">
        <v>46165</v>
      </c>
      <c r="C14" s="82" t="s">
        <v>27</v>
      </c>
      <c r="D14" s="27"/>
      <c r="F14" s="35"/>
      <c r="J14" s="31"/>
      <c r="K14" s="13"/>
      <c r="L14" s="35"/>
      <c r="N14" s="35"/>
      <c r="O14" s="35"/>
      <c r="P14" s="35"/>
      <c r="Q14" s="14"/>
      <c r="R14" s="27"/>
      <c r="V14" s="31"/>
      <c r="W14" s="13">
        <v>1000</v>
      </c>
      <c r="AB14" s="228"/>
      <c r="AC14" s="13"/>
      <c r="AD14" s="31"/>
      <c r="AE14" s="15"/>
    </row>
    <row r="15" spans="1:31" x14ac:dyDescent="0.25">
      <c r="A15" s="311"/>
      <c r="B15" s="160">
        <v>46165</v>
      </c>
      <c r="C15" s="82" t="s">
        <v>1019</v>
      </c>
      <c r="D15" s="27"/>
      <c r="F15" s="35"/>
      <c r="J15" s="31"/>
      <c r="K15" s="13"/>
      <c r="L15" s="35"/>
      <c r="N15" s="35"/>
      <c r="O15" s="35"/>
      <c r="P15" s="35"/>
      <c r="Q15" s="14"/>
      <c r="R15" s="27"/>
      <c r="V15" s="31"/>
      <c r="W15" s="13"/>
      <c r="AB15" s="228"/>
      <c r="AC15" s="13">
        <v>2100</v>
      </c>
      <c r="AD15" s="31">
        <v>1600</v>
      </c>
      <c r="AE15" s="15"/>
    </row>
    <row r="16" spans="1:31" x14ac:dyDescent="0.25">
      <c r="A16" s="311"/>
      <c r="B16" s="160"/>
      <c r="C16" s="82"/>
      <c r="D16" s="27"/>
      <c r="F16" s="35"/>
      <c r="J16" s="31"/>
      <c r="K16" s="13"/>
      <c r="L16" s="35"/>
      <c r="N16" s="35"/>
      <c r="O16" s="35"/>
      <c r="P16" s="35"/>
      <c r="Q16" s="14"/>
      <c r="R16" s="27"/>
      <c r="V16" s="31"/>
      <c r="W16" s="13"/>
      <c r="AB16" s="228"/>
      <c r="AC16" s="13"/>
      <c r="AD16" s="31"/>
      <c r="AE16" s="15"/>
    </row>
    <row r="17" spans="1:31" x14ac:dyDescent="0.25">
      <c r="A17" s="311"/>
      <c r="B17" s="160"/>
      <c r="C17" s="82"/>
      <c r="D17" s="27"/>
      <c r="F17" s="35"/>
      <c r="J17" s="31"/>
      <c r="K17" s="13"/>
      <c r="L17" s="35"/>
      <c r="N17" s="35"/>
      <c r="O17" s="35"/>
      <c r="P17" s="35"/>
      <c r="Q17" s="14"/>
      <c r="R17" s="27"/>
      <c r="V17" s="31"/>
      <c r="W17" s="13"/>
      <c r="AB17" s="228"/>
      <c r="AC17" s="13"/>
      <c r="AD17" s="31"/>
      <c r="AE17" s="15"/>
    </row>
    <row r="18" spans="1:31" ht="13.5" customHeight="1" thickBot="1" x14ac:dyDescent="0.3">
      <c r="A18" s="311"/>
      <c r="B18" s="72"/>
      <c r="C18" s="231"/>
      <c r="D18" s="28"/>
      <c r="E18" s="18"/>
      <c r="F18" s="36"/>
      <c r="G18" s="18"/>
      <c r="H18" s="18"/>
      <c r="I18" s="18"/>
      <c r="J18" s="32"/>
      <c r="K18" s="16"/>
      <c r="L18" s="36"/>
      <c r="M18" s="18"/>
      <c r="N18" s="36"/>
      <c r="O18" s="36"/>
      <c r="P18" s="36"/>
      <c r="Q18" s="17"/>
      <c r="R18" s="28"/>
      <c r="S18" s="18"/>
      <c r="T18" s="18"/>
      <c r="U18" s="18"/>
      <c r="V18" s="32"/>
      <c r="W18" s="16"/>
      <c r="X18" s="18"/>
      <c r="Y18" s="18"/>
      <c r="Z18" s="18"/>
      <c r="AA18" s="18"/>
      <c r="AB18" s="232"/>
      <c r="AC18" s="16"/>
      <c r="AD18" s="32"/>
      <c r="AE18" s="19"/>
    </row>
    <row r="19" spans="1:31" x14ac:dyDescent="0.25">
      <c r="A19" s="310" t="s">
        <v>62</v>
      </c>
      <c r="B19" s="160"/>
      <c r="C19" s="14"/>
      <c r="D19" s="27"/>
      <c r="F19" s="35"/>
      <c r="J19" s="31"/>
      <c r="K19" s="13"/>
      <c r="L19" s="35"/>
      <c r="N19" s="35"/>
      <c r="O19" s="35"/>
      <c r="P19" s="35"/>
      <c r="Q19" s="14"/>
      <c r="R19" s="27"/>
      <c r="V19" s="31"/>
      <c r="W19" s="13"/>
      <c r="AB19" s="228"/>
      <c r="AC19" s="13"/>
      <c r="AD19" s="31"/>
      <c r="AE19" s="15"/>
    </row>
    <row r="20" spans="1:31" x14ac:dyDescent="0.25">
      <c r="A20" s="311"/>
      <c r="B20" s="20"/>
      <c r="C20" s="14"/>
      <c r="D20" s="27"/>
      <c r="F20" s="35"/>
      <c r="J20" s="31"/>
      <c r="K20" s="13"/>
      <c r="L20" s="35"/>
      <c r="N20" s="35"/>
      <c r="O20" s="35"/>
      <c r="P20" s="35"/>
      <c r="Q20" s="14"/>
      <c r="R20" s="27"/>
      <c r="V20" s="31"/>
      <c r="W20" s="13"/>
      <c r="AB20" s="228"/>
      <c r="AC20" s="13"/>
      <c r="AD20" s="31"/>
      <c r="AE20" s="15"/>
    </row>
    <row r="21" spans="1:31" ht="16.5" customHeight="1" x14ac:dyDescent="0.25">
      <c r="A21" s="311"/>
      <c r="B21" s="20">
        <v>46160</v>
      </c>
      <c r="C21" s="14" t="s">
        <v>949</v>
      </c>
      <c r="D21" s="27"/>
      <c r="F21" s="35"/>
      <c r="J21" s="31"/>
      <c r="K21" s="13"/>
      <c r="L21" s="35"/>
      <c r="N21" s="35"/>
      <c r="O21" s="35"/>
      <c r="P21" s="35"/>
      <c r="Q21" s="14"/>
      <c r="R21" s="27"/>
      <c r="V21" s="31"/>
      <c r="W21" s="13">
        <v>650</v>
      </c>
      <c r="AB21" s="228"/>
      <c r="AC21" s="13"/>
      <c r="AD21" s="31"/>
      <c r="AE21" s="15"/>
    </row>
    <row r="22" spans="1:31" ht="16.5" customHeight="1" x14ac:dyDescent="0.25">
      <c r="A22" s="311"/>
      <c r="B22" s="20">
        <v>46160</v>
      </c>
      <c r="C22" s="14" t="s">
        <v>950</v>
      </c>
      <c r="D22" s="27">
        <v>1000</v>
      </c>
      <c r="F22" s="35"/>
      <c r="J22" s="31"/>
      <c r="K22" s="13"/>
      <c r="L22" s="35"/>
      <c r="N22" s="35"/>
      <c r="O22" s="35"/>
      <c r="P22" s="35"/>
      <c r="Q22" s="14">
        <v>885</v>
      </c>
      <c r="R22" s="27"/>
      <c r="V22" s="31"/>
      <c r="W22" s="13"/>
      <c r="AB22" s="228"/>
      <c r="AC22" s="13"/>
      <c r="AD22" s="31"/>
      <c r="AE22" s="15"/>
    </row>
    <row r="23" spans="1:31" ht="16.5" customHeight="1" x14ac:dyDescent="0.25">
      <c r="A23" s="311"/>
      <c r="B23" s="20">
        <v>46160</v>
      </c>
      <c r="C23" s="14" t="s">
        <v>926</v>
      </c>
      <c r="D23" s="27">
        <v>400</v>
      </c>
      <c r="F23" s="35"/>
      <c r="J23" s="31"/>
      <c r="K23" s="13"/>
      <c r="L23" s="35"/>
      <c r="N23" s="35"/>
      <c r="O23" s="35"/>
      <c r="P23" s="35"/>
      <c r="Q23" s="14">
        <v>250</v>
      </c>
      <c r="R23" s="27"/>
      <c r="V23" s="31"/>
      <c r="W23" s="13"/>
      <c r="AB23" s="228"/>
      <c r="AC23" s="13"/>
      <c r="AD23" s="31"/>
      <c r="AE23" s="15"/>
    </row>
    <row r="24" spans="1:31" ht="16.5" customHeight="1" x14ac:dyDescent="0.25">
      <c r="A24" s="311"/>
      <c r="B24" s="20">
        <v>46160</v>
      </c>
      <c r="C24" s="14" t="s">
        <v>323</v>
      </c>
      <c r="D24" s="27"/>
      <c r="F24" s="35"/>
      <c r="J24" s="31"/>
      <c r="K24" s="13"/>
      <c r="L24" s="35"/>
      <c r="N24" s="35"/>
      <c r="O24" s="35"/>
      <c r="P24" s="35"/>
      <c r="Q24" s="14"/>
      <c r="R24" s="27"/>
      <c r="V24" s="31">
        <v>196</v>
      </c>
      <c r="W24" s="13"/>
      <c r="AB24" s="228"/>
      <c r="AC24" s="13"/>
      <c r="AD24" s="31"/>
      <c r="AE24" s="15"/>
    </row>
    <row r="25" spans="1:31" ht="16.5" customHeight="1" x14ac:dyDescent="0.25">
      <c r="A25" s="311"/>
      <c r="B25" s="20">
        <v>46160</v>
      </c>
      <c r="C25" s="14" t="s">
        <v>961</v>
      </c>
      <c r="D25" s="27"/>
      <c r="F25" s="35"/>
      <c r="J25" s="31"/>
      <c r="K25" s="13"/>
      <c r="L25" s="35"/>
      <c r="N25" s="35"/>
      <c r="O25" s="35"/>
      <c r="P25" s="35"/>
      <c r="Q25" s="14"/>
      <c r="R25" s="27"/>
      <c r="V25" s="31">
        <v>150</v>
      </c>
      <c r="W25" s="13"/>
      <c r="AB25" s="228"/>
      <c r="AC25" s="13"/>
      <c r="AD25" s="31"/>
      <c r="AE25" s="15"/>
    </row>
    <row r="26" spans="1:31" ht="16.5" customHeight="1" x14ac:dyDescent="0.25">
      <c r="A26" s="311"/>
      <c r="B26" s="20">
        <v>46161</v>
      </c>
      <c r="C26" s="14" t="s">
        <v>948</v>
      </c>
      <c r="D26" s="27"/>
      <c r="F26" s="35"/>
      <c r="J26" s="31"/>
      <c r="K26" s="13"/>
      <c r="L26" s="35"/>
      <c r="N26" s="35"/>
      <c r="O26" s="35"/>
      <c r="P26" s="35"/>
      <c r="Q26" s="14"/>
      <c r="R26" s="27"/>
      <c r="U26">
        <v>100</v>
      </c>
      <c r="V26" s="31"/>
      <c r="W26" s="13"/>
      <c r="AB26" s="228"/>
      <c r="AC26" s="13"/>
      <c r="AD26" s="31"/>
      <c r="AE26" s="15"/>
    </row>
    <row r="27" spans="1:31" ht="16.5" customHeight="1" x14ac:dyDescent="0.25">
      <c r="A27" s="311"/>
      <c r="B27" s="20">
        <v>46161</v>
      </c>
      <c r="C27" s="14" t="s">
        <v>962</v>
      </c>
      <c r="D27" s="27"/>
      <c r="F27" s="35"/>
      <c r="J27" s="31"/>
      <c r="K27" s="13"/>
      <c r="L27" s="35"/>
      <c r="N27" s="35"/>
      <c r="O27" s="35"/>
      <c r="P27" s="35"/>
      <c r="Q27" s="14">
        <v>1000</v>
      </c>
      <c r="R27" s="27"/>
      <c r="V27" s="31"/>
      <c r="W27" s="13"/>
      <c r="AB27" s="228"/>
      <c r="AC27" s="13"/>
      <c r="AD27" s="31"/>
      <c r="AE27" s="15"/>
    </row>
    <row r="28" spans="1:31" ht="16.5" customHeight="1" x14ac:dyDescent="0.25">
      <c r="A28" s="311"/>
      <c r="B28" s="20">
        <v>46162</v>
      </c>
      <c r="C28" s="14" t="s">
        <v>450</v>
      </c>
      <c r="D28" s="27"/>
      <c r="F28" s="35"/>
      <c r="J28" s="31"/>
      <c r="K28" s="13"/>
      <c r="L28" s="35"/>
      <c r="N28" s="35">
        <v>500</v>
      </c>
      <c r="O28" s="35"/>
      <c r="P28" s="35"/>
      <c r="Q28" s="14"/>
      <c r="R28" s="27"/>
      <c r="V28" s="31"/>
      <c r="W28" s="13"/>
      <c r="AB28" s="228"/>
      <c r="AC28" s="13"/>
      <c r="AD28" s="31"/>
      <c r="AE28" s="15"/>
    </row>
    <row r="29" spans="1:31" ht="16.5" customHeight="1" x14ac:dyDescent="0.25">
      <c r="A29" s="311"/>
      <c r="B29" s="20">
        <v>46162</v>
      </c>
      <c r="C29" s="14" t="s">
        <v>983</v>
      </c>
      <c r="D29" s="27"/>
      <c r="F29" s="35"/>
      <c r="J29" s="31"/>
      <c r="K29" s="13"/>
      <c r="L29" s="35"/>
      <c r="N29" s="35">
        <v>200</v>
      </c>
      <c r="O29" s="35"/>
      <c r="P29" s="35"/>
      <c r="Q29" s="14"/>
      <c r="R29" s="27"/>
      <c r="T29">
        <v>400</v>
      </c>
      <c r="V29" s="31"/>
      <c r="W29" s="13"/>
      <c r="AB29" s="228"/>
      <c r="AC29" s="13"/>
      <c r="AD29" s="31"/>
      <c r="AE29" s="15"/>
    </row>
    <row r="30" spans="1:31" ht="16.5" customHeight="1" x14ac:dyDescent="0.25">
      <c r="A30" s="311"/>
      <c r="B30" s="20">
        <v>46162</v>
      </c>
      <c r="C30" s="14" t="s">
        <v>984</v>
      </c>
      <c r="D30" s="27"/>
      <c r="F30" s="35"/>
      <c r="J30" s="31"/>
      <c r="K30" s="13"/>
      <c r="L30" s="35"/>
      <c r="N30" s="35"/>
      <c r="O30" s="35"/>
      <c r="P30" s="35"/>
      <c r="Q30" s="14"/>
      <c r="R30" s="27"/>
      <c r="V30" s="31"/>
      <c r="W30" s="13"/>
      <c r="AB30" s="228"/>
      <c r="AC30" s="13"/>
      <c r="AD30" s="31">
        <v>100</v>
      </c>
      <c r="AE30" s="15"/>
    </row>
    <row r="31" spans="1:31" ht="16.5" customHeight="1" x14ac:dyDescent="0.25">
      <c r="A31" s="311"/>
      <c r="B31" s="20">
        <v>46163</v>
      </c>
      <c r="C31" s="14" t="s">
        <v>407</v>
      </c>
      <c r="D31" s="27"/>
      <c r="F31" s="35"/>
      <c r="J31" s="31"/>
      <c r="K31" s="13"/>
      <c r="L31" s="35"/>
      <c r="N31" s="35"/>
      <c r="O31" s="35"/>
      <c r="P31" s="35"/>
      <c r="Q31" s="14"/>
      <c r="R31" s="27"/>
      <c r="T31">
        <v>600</v>
      </c>
      <c r="V31" s="31"/>
      <c r="W31" s="13"/>
      <c r="AB31" s="228"/>
      <c r="AC31" s="13"/>
      <c r="AD31" s="31"/>
      <c r="AE31" s="15"/>
    </row>
    <row r="32" spans="1:31" ht="16.5" customHeight="1" x14ac:dyDescent="0.25">
      <c r="A32" s="311"/>
      <c r="B32" s="20">
        <v>46163</v>
      </c>
      <c r="C32" s="14" t="s">
        <v>991</v>
      </c>
      <c r="D32" s="27"/>
      <c r="F32" s="35"/>
      <c r="J32" s="31"/>
      <c r="K32" s="13"/>
      <c r="L32" s="35"/>
      <c r="N32" s="35"/>
      <c r="O32" s="35"/>
      <c r="P32" s="35">
        <v>3000</v>
      </c>
      <c r="Q32" s="14"/>
      <c r="R32" s="27"/>
      <c r="V32" s="31"/>
      <c r="W32" s="13"/>
      <c r="AB32" s="228"/>
      <c r="AC32" s="13"/>
      <c r="AD32" s="31"/>
      <c r="AE32" s="15"/>
    </row>
    <row r="33" spans="1:240" ht="16.5" customHeight="1" x14ac:dyDescent="0.25">
      <c r="A33" s="311"/>
      <c r="B33" s="20">
        <v>46163</v>
      </c>
      <c r="C33" s="14" t="s">
        <v>996</v>
      </c>
      <c r="D33" s="27"/>
      <c r="F33" s="35"/>
      <c r="J33" s="31"/>
      <c r="K33" s="13"/>
      <c r="L33" s="35"/>
      <c r="N33" s="35"/>
      <c r="O33" s="35"/>
      <c r="P33" s="35"/>
      <c r="Q33" s="14"/>
      <c r="R33" s="27"/>
      <c r="V33" s="31"/>
      <c r="W33" s="13"/>
      <c r="AB33" s="228"/>
      <c r="AC33" s="13"/>
      <c r="AD33" s="31">
        <v>300</v>
      </c>
      <c r="AE33" s="15"/>
    </row>
    <row r="34" spans="1:240" ht="16.5" customHeight="1" x14ac:dyDescent="0.25">
      <c r="A34" s="311"/>
      <c r="B34" s="20">
        <v>46163</v>
      </c>
      <c r="C34" s="14" t="s">
        <v>997</v>
      </c>
      <c r="D34" s="27"/>
      <c r="F34" s="35"/>
      <c r="J34" s="31"/>
      <c r="K34" s="13"/>
      <c r="L34" s="35"/>
      <c r="N34" s="35"/>
      <c r="O34" s="35"/>
      <c r="P34" s="35"/>
      <c r="Q34" s="14"/>
      <c r="R34" s="27"/>
      <c r="V34" s="31"/>
      <c r="W34" s="13"/>
      <c r="AB34" s="228"/>
      <c r="AC34" s="13"/>
      <c r="AD34" s="31">
        <v>30</v>
      </c>
      <c r="AE34" s="15"/>
    </row>
    <row r="35" spans="1:240" ht="16.5" customHeight="1" x14ac:dyDescent="0.25">
      <c r="A35" s="311"/>
      <c r="B35" s="20">
        <v>46163</v>
      </c>
      <c r="C35" s="14" t="s">
        <v>998</v>
      </c>
      <c r="D35" s="27"/>
      <c r="F35" s="35"/>
      <c r="J35" s="31"/>
      <c r="K35" s="13"/>
      <c r="L35" s="35"/>
      <c r="N35" s="35">
        <v>1000</v>
      </c>
      <c r="O35" s="35"/>
      <c r="P35" s="35"/>
      <c r="Q35" s="14"/>
      <c r="R35" s="27"/>
      <c r="V35" s="31"/>
      <c r="W35" s="13"/>
      <c r="AB35" s="228"/>
      <c r="AC35" s="13"/>
      <c r="AD35" s="31"/>
      <c r="AE35" s="15"/>
    </row>
    <row r="36" spans="1:240" ht="16.5" customHeight="1" x14ac:dyDescent="0.25">
      <c r="A36" s="311"/>
      <c r="B36" s="20">
        <v>46163</v>
      </c>
      <c r="C36" s="14" t="s">
        <v>745</v>
      </c>
      <c r="D36" s="27"/>
      <c r="F36" s="35"/>
      <c r="J36" s="31"/>
      <c r="K36" s="13"/>
      <c r="L36" s="35"/>
      <c r="N36" s="35"/>
      <c r="O36" s="35"/>
      <c r="P36" s="35"/>
      <c r="Q36" s="14">
        <v>780</v>
      </c>
      <c r="R36" s="27"/>
      <c r="V36" s="31"/>
      <c r="W36" s="13"/>
      <c r="AB36" s="228"/>
      <c r="AC36" s="13"/>
      <c r="AD36" s="31"/>
      <c r="AE36" s="15"/>
    </row>
    <row r="37" spans="1:240" ht="16.5" customHeight="1" x14ac:dyDescent="0.25">
      <c r="A37" s="311"/>
      <c r="B37" s="20">
        <v>46164</v>
      </c>
      <c r="C37" s="14" t="s">
        <v>1007</v>
      </c>
      <c r="D37" s="27"/>
      <c r="F37" s="35"/>
      <c r="J37" s="31"/>
      <c r="K37" s="13"/>
      <c r="L37" s="35"/>
      <c r="N37" s="35"/>
      <c r="O37" s="35"/>
      <c r="P37" s="35">
        <v>1000</v>
      </c>
      <c r="Q37" s="14"/>
      <c r="R37" s="27"/>
      <c r="V37" s="31"/>
      <c r="W37" s="13"/>
      <c r="AB37" s="228"/>
      <c r="AC37" s="13"/>
      <c r="AD37" s="31"/>
      <c r="AE37" s="15"/>
    </row>
    <row r="38" spans="1:240" ht="16.5" customHeight="1" x14ac:dyDescent="0.25">
      <c r="A38" s="311"/>
      <c r="B38" s="20">
        <v>46164</v>
      </c>
      <c r="C38" s="14" t="s">
        <v>962</v>
      </c>
      <c r="D38" s="27"/>
      <c r="F38" s="35"/>
      <c r="J38" s="31"/>
      <c r="K38" s="13"/>
      <c r="L38" s="35"/>
      <c r="N38" s="35"/>
      <c r="O38" s="35"/>
      <c r="P38" s="35"/>
      <c r="Q38" s="14">
        <v>600</v>
      </c>
      <c r="R38" s="27"/>
      <c r="V38" s="31"/>
      <c r="W38" s="13"/>
      <c r="AB38" s="228"/>
      <c r="AC38" s="13"/>
      <c r="AD38" s="31"/>
      <c r="AE38" s="15"/>
    </row>
    <row r="39" spans="1:240" ht="16.5" customHeight="1" x14ac:dyDescent="0.25">
      <c r="A39" s="311"/>
      <c r="B39" s="20">
        <v>46164</v>
      </c>
      <c r="C39" s="14" t="s">
        <v>1013</v>
      </c>
      <c r="D39" s="27"/>
      <c r="F39" s="35"/>
      <c r="J39" s="31"/>
      <c r="K39" s="13"/>
      <c r="L39" s="35"/>
      <c r="N39" s="35"/>
      <c r="O39" s="35"/>
      <c r="P39" s="35">
        <v>250</v>
      </c>
      <c r="Q39" s="14"/>
      <c r="R39" s="27"/>
      <c r="V39" s="31"/>
      <c r="W39" s="13"/>
      <c r="AB39" s="228"/>
      <c r="AC39" s="13"/>
      <c r="AD39" s="31"/>
      <c r="AE39" s="15"/>
    </row>
    <row r="40" spans="1:240" ht="16.5" customHeight="1" x14ac:dyDescent="0.25">
      <c r="A40" s="311"/>
      <c r="B40" s="20">
        <v>46164</v>
      </c>
      <c r="C40" s="14" t="s">
        <v>1014</v>
      </c>
      <c r="D40" s="27"/>
      <c r="F40" s="35"/>
      <c r="J40" s="31"/>
      <c r="K40" s="13"/>
      <c r="L40" s="35"/>
      <c r="N40" s="35"/>
      <c r="O40" s="35"/>
      <c r="P40" s="35"/>
      <c r="Q40" s="14"/>
      <c r="R40" s="27"/>
      <c r="V40" s="31">
        <v>180</v>
      </c>
      <c r="W40" s="13"/>
      <c r="AB40" s="228"/>
      <c r="AC40" s="13"/>
      <c r="AD40" s="31"/>
      <c r="AE40" s="15"/>
    </row>
    <row r="41" spans="1:240" ht="16.5" customHeight="1" x14ac:dyDescent="0.25">
      <c r="A41" s="311"/>
      <c r="B41" s="20">
        <v>46164</v>
      </c>
      <c r="C41" s="14" t="s">
        <v>950</v>
      </c>
      <c r="D41" s="27">
        <v>1000</v>
      </c>
      <c r="F41" s="35"/>
      <c r="J41" s="31"/>
      <c r="K41" s="13"/>
      <c r="L41" s="35"/>
      <c r="N41" s="35"/>
      <c r="O41" s="35"/>
      <c r="P41" s="35"/>
      <c r="Q41" s="14"/>
      <c r="R41" s="27"/>
      <c r="V41" s="31"/>
      <c r="W41" s="13"/>
      <c r="AB41" s="228"/>
      <c r="AC41" s="13"/>
      <c r="AD41" s="31"/>
      <c r="AE41" s="15"/>
    </row>
    <row r="42" spans="1:240" ht="16.5" customHeight="1" x14ac:dyDescent="0.25">
      <c r="A42" s="311"/>
      <c r="B42" s="20">
        <v>46165</v>
      </c>
      <c r="C42" s="14" t="s">
        <v>1017</v>
      </c>
      <c r="D42" s="27"/>
      <c r="F42" s="35"/>
      <c r="J42" s="31"/>
      <c r="K42" s="13"/>
      <c r="L42" s="35"/>
      <c r="N42" s="35"/>
      <c r="O42" s="35"/>
      <c r="P42" s="35"/>
      <c r="Q42" s="14"/>
      <c r="R42" s="27"/>
      <c r="V42" s="31"/>
      <c r="W42" s="13"/>
      <c r="AB42" s="228"/>
      <c r="AC42" s="13"/>
      <c r="AD42" s="31">
        <v>50</v>
      </c>
      <c r="AE42" s="15"/>
    </row>
    <row r="43" spans="1:240" ht="16.5" customHeight="1" x14ac:dyDescent="0.25">
      <c r="A43" s="311"/>
      <c r="B43" s="20">
        <v>46165</v>
      </c>
      <c r="C43" s="14" t="s">
        <v>1018</v>
      </c>
      <c r="D43" s="27"/>
      <c r="F43" s="35"/>
      <c r="J43" s="31"/>
      <c r="K43" s="13"/>
      <c r="L43" s="35"/>
      <c r="N43" s="35"/>
      <c r="O43" s="35"/>
      <c r="P43" s="35"/>
      <c r="Q43" s="14"/>
      <c r="R43" s="27"/>
      <c r="V43" s="31"/>
      <c r="W43" s="13"/>
      <c r="AB43" s="228"/>
      <c r="AC43" s="13"/>
      <c r="AD43" s="31">
        <v>1000</v>
      </c>
      <c r="AE43" s="15"/>
    </row>
    <row r="44" spans="1:240" ht="16.5" customHeight="1" x14ac:dyDescent="0.25">
      <c r="A44" s="311"/>
      <c r="B44" s="160"/>
      <c r="C44" s="14"/>
      <c r="D44" s="27"/>
      <c r="F44" s="35"/>
      <c r="J44" s="31"/>
      <c r="K44" s="13"/>
      <c r="L44" s="35"/>
      <c r="N44" s="35"/>
      <c r="O44" s="35"/>
      <c r="P44" s="35"/>
      <c r="Q44" s="14"/>
      <c r="R44" s="27"/>
      <c r="V44" s="31"/>
      <c r="W44" s="13"/>
      <c r="AB44" s="228"/>
      <c r="AC44" s="13"/>
      <c r="AD44" s="31"/>
      <c r="AE44" s="15"/>
    </row>
    <row r="45" spans="1:240" ht="16.5" customHeight="1" x14ac:dyDescent="0.25">
      <c r="A45" s="311"/>
      <c r="B45" s="160"/>
      <c r="C45" s="14"/>
      <c r="D45" s="27"/>
      <c r="F45" s="35"/>
      <c r="J45" s="31"/>
      <c r="K45" s="13"/>
      <c r="L45" s="35"/>
      <c r="N45" s="35"/>
      <c r="O45" s="35"/>
      <c r="P45" s="35"/>
      <c r="Q45" s="14"/>
      <c r="R45" s="27"/>
      <c r="V45" s="31"/>
      <c r="W45" s="13"/>
      <c r="AB45" s="228"/>
      <c r="AC45" s="13"/>
      <c r="AD45" s="31"/>
      <c r="AE45" s="15"/>
    </row>
    <row r="46" spans="1:240" x14ac:dyDescent="0.25">
      <c r="A46" s="311"/>
      <c r="B46" s="160"/>
      <c r="C46" s="14"/>
      <c r="D46" s="27"/>
      <c r="F46" s="35"/>
      <c r="J46" s="31"/>
      <c r="K46" s="13"/>
      <c r="L46" s="35"/>
      <c r="N46" s="35"/>
      <c r="O46" s="35"/>
      <c r="P46" s="35"/>
      <c r="Q46" s="14"/>
      <c r="R46" s="27"/>
      <c r="V46" s="31"/>
      <c r="W46" s="13"/>
      <c r="AB46" s="228"/>
      <c r="AC46" s="13"/>
      <c r="AD46" s="31"/>
      <c r="AE46" s="15"/>
    </row>
    <row r="47" spans="1:240" s="52" customFormat="1" x14ac:dyDescent="0.25">
      <c r="A47" s="311"/>
      <c r="B47" s="114"/>
      <c r="C47" s="105" t="s">
        <v>137</v>
      </c>
      <c r="D47" s="83"/>
      <c r="J47" s="105"/>
      <c r="K47" s="83"/>
      <c r="Q47" s="105"/>
      <c r="R47" s="83"/>
      <c r="V47" s="105"/>
      <c r="W47" s="83"/>
      <c r="AB47" s="229"/>
      <c r="AC47" s="83"/>
      <c r="AD47" s="105"/>
      <c r="AE47" s="115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</row>
    <row r="48" spans="1:240" x14ac:dyDescent="0.25">
      <c r="A48" s="311"/>
      <c r="B48" s="20"/>
      <c r="C48" s="14"/>
      <c r="D48" s="27"/>
      <c r="F48" s="35"/>
      <c r="J48" s="31"/>
      <c r="K48" s="13"/>
      <c r="L48" s="35"/>
      <c r="N48" s="35"/>
      <c r="O48" s="35"/>
      <c r="P48" s="35"/>
      <c r="Q48" s="14"/>
      <c r="R48" s="27"/>
      <c r="V48" s="31"/>
      <c r="W48" s="13"/>
      <c r="AB48" s="228"/>
      <c r="AC48" s="13"/>
      <c r="AD48" s="31"/>
      <c r="AE48" s="15"/>
    </row>
    <row r="49" spans="1:35" ht="15.75" thickBot="1" x14ac:dyDescent="0.3">
      <c r="A49" s="312"/>
      <c r="B49" s="13"/>
      <c r="C49" s="14"/>
      <c r="D49" s="27"/>
      <c r="F49" s="35"/>
      <c r="J49" s="31"/>
      <c r="K49" s="13"/>
      <c r="L49" s="35"/>
      <c r="N49" s="35"/>
      <c r="O49" s="35"/>
      <c r="P49" s="35"/>
      <c r="Q49" s="14"/>
      <c r="R49" s="27"/>
      <c r="V49" s="31"/>
      <c r="W49" s="13"/>
      <c r="AB49" s="228"/>
      <c r="AC49" s="13"/>
      <c r="AD49" s="31"/>
      <c r="AE49" s="15"/>
      <c r="AI49">
        <f>0.3*400</f>
        <v>120</v>
      </c>
    </row>
    <row r="50" spans="1:35" ht="21.75" thickBot="1" x14ac:dyDescent="0.3">
      <c r="A50" s="21" t="s">
        <v>23</v>
      </c>
      <c r="B50" s="22"/>
      <c r="C50" s="23"/>
      <c r="D50" s="29">
        <f t="shared" ref="D50:AE50" si="0">SUM(D4:D18)-SUM(D19:D49)</f>
        <v>3600</v>
      </c>
      <c r="E50" s="22">
        <f t="shared" si="0"/>
        <v>2</v>
      </c>
      <c r="F50" s="37">
        <f t="shared" si="0"/>
        <v>1261</v>
      </c>
      <c r="G50" s="24">
        <f t="shared" si="0"/>
        <v>140</v>
      </c>
      <c r="H50" s="24">
        <f t="shared" si="0"/>
        <v>52</v>
      </c>
      <c r="I50" s="24">
        <f t="shared" si="0"/>
        <v>9908</v>
      </c>
      <c r="J50" s="33">
        <f t="shared" si="0"/>
        <v>0</v>
      </c>
      <c r="K50" s="22">
        <f t="shared" si="0"/>
        <v>10</v>
      </c>
      <c r="L50" s="37">
        <f t="shared" si="0"/>
        <v>8246</v>
      </c>
      <c r="M50" s="24">
        <f t="shared" si="0"/>
        <v>181</v>
      </c>
      <c r="N50" s="37">
        <f t="shared" si="0"/>
        <v>2161</v>
      </c>
      <c r="O50" s="37">
        <f t="shared" si="0"/>
        <v>47</v>
      </c>
      <c r="P50" s="37">
        <f t="shared" si="0"/>
        <v>3616</v>
      </c>
      <c r="Q50" s="23">
        <f t="shared" si="0"/>
        <v>2985</v>
      </c>
      <c r="R50" s="29">
        <f t="shared" si="0"/>
        <v>402</v>
      </c>
      <c r="S50" s="29">
        <f t="shared" si="0"/>
        <v>0</v>
      </c>
      <c r="T50" s="29">
        <f t="shared" si="0"/>
        <v>670</v>
      </c>
      <c r="U50" s="107">
        <f t="shared" si="0"/>
        <v>1900</v>
      </c>
      <c r="V50" s="33">
        <f t="shared" si="0"/>
        <v>474</v>
      </c>
      <c r="W50" s="22">
        <f t="shared" si="0"/>
        <v>1423</v>
      </c>
      <c r="X50" s="22">
        <f t="shared" si="0"/>
        <v>0</v>
      </c>
      <c r="Y50" s="22">
        <f t="shared" si="0"/>
        <v>0</v>
      </c>
      <c r="Z50" s="22">
        <f t="shared" si="0"/>
        <v>0</v>
      </c>
      <c r="AA50" s="22">
        <f t="shared" si="0"/>
        <v>500</v>
      </c>
      <c r="AB50" s="230">
        <f t="shared" si="0"/>
        <v>30</v>
      </c>
      <c r="AC50" s="22">
        <f t="shared" si="0"/>
        <v>2158</v>
      </c>
      <c r="AD50" s="33">
        <f t="shared" si="0"/>
        <v>2120</v>
      </c>
      <c r="AE50" s="33">
        <f t="shared" si="0"/>
        <v>250</v>
      </c>
    </row>
    <row r="52" spans="1:35" x14ac:dyDescent="0.25">
      <c r="C52" t="s">
        <v>176</v>
      </c>
      <c r="D52">
        <v>0.6</v>
      </c>
      <c r="E52">
        <v>0.55000000000000004</v>
      </c>
      <c r="F52">
        <v>0.71</v>
      </c>
      <c r="G52">
        <v>0.65</v>
      </c>
      <c r="H52">
        <v>0.65</v>
      </c>
      <c r="I52">
        <v>0.66</v>
      </c>
      <c r="J52">
        <v>0.74</v>
      </c>
      <c r="K52">
        <v>0.84</v>
      </c>
      <c r="L52">
        <v>0.86</v>
      </c>
      <c r="M52" s="50">
        <f>0.95+0.1</f>
        <v>1.05</v>
      </c>
      <c r="N52">
        <v>1.02</v>
      </c>
      <c r="O52">
        <v>0.82</v>
      </c>
      <c r="P52">
        <v>0.92</v>
      </c>
      <c r="Q52">
        <v>0.82</v>
      </c>
      <c r="R52">
        <v>2.75</v>
      </c>
      <c r="S52">
        <v>2.6</v>
      </c>
      <c r="T52">
        <v>2.8</v>
      </c>
      <c r="U52">
        <v>2.6</v>
      </c>
      <c r="V52">
        <v>2.4500000000000002</v>
      </c>
      <c r="W52">
        <v>2.7</v>
      </c>
      <c r="X52">
        <v>2.5499999999999998</v>
      </c>
      <c r="Y52">
        <v>2.9</v>
      </c>
      <c r="Z52">
        <v>2.85</v>
      </c>
      <c r="AA52">
        <v>2.5499999999999998</v>
      </c>
      <c r="AB52">
        <v>3.1</v>
      </c>
      <c r="AC52">
        <v>0.6</v>
      </c>
      <c r="AD52">
        <v>0.47</v>
      </c>
      <c r="AE52" s="109">
        <v>1.9</v>
      </c>
    </row>
    <row r="53" spans="1:35" x14ac:dyDescent="0.25">
      <c r="D53">
        <f>+D50*D52</f>
        <v>2160</v>
      </c>
      <c r="E53">
        <f>+E50*E52</f>
        <v>1.1000000000000001</v>
      </c>
      <c r="F53">
        <f t="shared" ref="F53:AE53" si="1">+F50*F52</f>
        <v>895.31</v>
      </c>
      <c r="G53">
        <f t="shared" si="1"/>
        <v>91</v>
      </c>
      <c r="H53">
        <f t="shared" si="1"/>
        <v>33.800000000000004</v>
      </c>
      <c r="I53">
        <f t="shared" si="1"/>
        <v>6539.2800000000007</v>
      </c>
      <c r="J53">
        <f t="shared" si="1"/>
        <v>0</v>
      </c>
      <c r="K53">
        <f t="shared" si="1"/>
        <v>8.4</v>
      </c>
      <c r="L53">
        <f t="shared" si="1"/>
        <v>7091.5599999999995</v>
      </c>
      <c r="M53">
        <f t="shared" si="1"/>
        <v>190.05</v>
      </c>
      <c r="N53">
        <f t="shared" si="1"/>
        <v>2204.2200000000003</v>
      </c>
      <c r="O53">
        <f>O50*O52</f>
        <v>38.54</v>
      </c>
      <c r="P53">
        <f t="shared" si="1"/>
        <v>3326.7200000000003</v>
      </c>
      <c r="Q53">
        <f>+Q50*Q52</f>
        <v>2447.6999999999998</v>
      </c>
      <c r="R53">
        <f t="shared" si="1"/>
        <v>1105.5</v>
      </c>
      <c r="S53">
        <f t="shared" si="1"/>
        <v>0</v>
      </c>
      <c r="T53">
        <f t="shared" si="1"/>
        <v>1875.9999999999998</v>
      </c>
      <c r="U53">
        <f t="shared" si="1"/>
        <v>4940</v>
      </c>
      <c r="V53">
        <f t="shared" si="1"/>
        <v>1161.3000000000002</v>
      </c>
      <c r="W53">
        <f t="shared" si="1"/>
        <v>3842.1000000000004</v>
      </c>
      <c r="X53">
        <f t="shared" si="1"/>
        <v>0</v>
      </c>
      <c r="Y53">
        <f>+Y50*Y52</f>
        <v>0</v>
      </c>
      <c r="Z53">
        <f>Z50*Z52</f>
        <v>0</v>
      </c>
      <c r="AA53">
        <f>AA50*AA52</f>
        <v>1275</v>
      </c>
      <c r="AB53">
        <f t="shared" si="1"/>
        <v>93</v>
      </c>
      <c r="AC53">
        <f t="shared" si="1"/>
        <v>1294.8</v>
      </c>
      <c r="AD53">
        <f t="shared" si="1"/>
        <v>996.4</v>
      </c>
      <c r="AE53">
        <f t="shared" si="1"/>
        <v>475</v>
      </c>
      <c r="AF53" s="52">
        <f>SUM(D53:AE53)</f>
        <v>42086.780000000013</v>
      </c>
    </row>
    <row r="54" spans="1:35" x14ac:dyDescent="0.25"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103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spans="1:35" x14ac:dyDescent="0.25"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103"/>
      <c r="V55" s="39"/>
      <c r="W55" s="39"/>
      <c r="X55" s="39"/>
      <c r="Z55" s="39"/>
      <c r="AA55" s="39"/>
      <c r="AB55" s="39"/>
      <c r="AC55" s="39"/>
      <c r="AD55" s="39"/>
      <c r="AE55" s="39"/>
    </row>
    <row r="56" spans="1:35" x14ac:dyDescent="0.25">
      <c r="C56" s="39"/>
      <c r="D56" s="39"/>
      <c r="E56" s="39"/>
      <c r="F56" s="39"/>
      <c r="G56" s="39"/>
      <c r="H56" s="39"/>
      <c r="I56" s="39"/>
    </row>
    <row r="57" spans="1:35" x14ac:dyDescent="0.25">
      <c r="C57" s="39"/>
      <c r="D57" s="39"/>
      <c r="E57" s="39"/>
      <c r="F57" s="39"/>
      <c r="G57" s="39"/>
      <c r="H57" s="39"/>
      <c r="I57" s="39"/>
    </row>
    <row r="58" spans="1:35" x14ac:dyDescent="0.25">
      <c r="C58" s="39"/>
      <c r="D58" s="39"/>
      <c r="E58" s="39"/>
      <c r="F58" s="39"/>
      <c r="G58" s="39"/>
      <c r="H58" s="39"/>
      <c r="I58" s="39"/>
    </row>
    <row r="59" spans="1:35" x14ac:dyDescent="0.25">
      <c r="C59" s="39"/>
      <c r="D59" s="39"/>
      <c r="E59" s="39"/>
      <c r="F59" s="39"/>
      <c r="G59" s="39"/>
      <c r="H59" s="39"/>
      <c r="I59" s="39"/>
    </row>
    <row r="60" spans="1:35" x14ac:dyDescent="0.25">
      <c r="C60" s="105" t="s">
        <v>137</v>
      </c>
    </row>
    <row r="61" spans="1:35" x14ac:dyDescent="0.25">
      <c r="C61" t="s">
        <v>915</v>
      </c>
      <c r="D61">
        <v>10</v>
      </c>
    </row>
    <row r="70" spans="26:27" x14ac:dyDescent="0.25">
      <c r="Z70">
        <v>2</v>
      </c>
      <c r="AA70" t="s">
        <v>958</v>
      </c>
    </row>
    <row r="71" spans="26:27" x14ac:dyDescent="0.25">
      <c r="Z71">
        <v>2</v>
      </c>
      <c r="AA71" t="s">
        <v>959</v>
      </c>
    </row>
    <row r="79" spans="26:27" ht="30" customHeight="1" x14ac:dyDescent="0.25"/>
    <row r="82" spans="3:38" x14ac:dyDescent="0.25">
      <c r="C82" s="98" t="s">
        <v>118</v>
      </c>
      <c r="D82">
        <f>5050+180</f>
        <v>5230</v>
      </c>
      <c r="E82">
        <v>140</v>
      </c>
      <c r="F82">
        <f>-310+70+80</f>
        <v>-160</v>
      </c>
      <c r="G82">
        <f>8000+1340-200</f>
        <v>9140</v>
      </c>
    </row>
    <row r="83" spans="3:38" x14ac:dyDescent="0.25">
      <c r="C83" t="s">
        <v>119</v>
      </c>
      <c r="D83">
        <v>6500</v>
      </c>
      <c r="E83">
        <v>6500</v>
      </c>
      <c r="F83">
        <v>6500</v>
      </c>
      <c r="G83">
        <v>6500</v>
      </c>
    </row>
    <row r="84" spans="3:38" x14ac:dyDescent="0.25">
      <c r="C84" t="s">
        <v>120</v>
      </c>
      <c r="D84">
        <v>33280</v>
      </c>
      <c r="E84">
        <v>33280</v>
      </c>
      <c r="F84">
        <f>38060-1480</f>
        <v>36580</v>
      </c>
      <c r="G84">
        <v>27560</v>
      </c>
    </row>
    <row r="85" spans="3:38" x14ac:dyDescent="0.25">
      <c r="C85" t="s">
        <v>123</v>
      </c>
      <c r="D85">
        <v>2960</v>
      </c>
      <c r="E85">
        <v>2960</v>
      </c>
      <c r="F85">
        <f>1150</f>
        <v>1150</v>
      </c>
      <c r="G85">
        <v>1980</v>
      </c>
      <c r="AK85" t="s">
        <v>150</v>
      </c>
      <c r="AL85" t="s">
        <v>151</v>
      </c>
    </row>
    <row r="86" spans="3:38" x14ac:dyDescent="0.25">
      <c r="C86" t="s">
        <v>122</v>
      </c>
      <c r="D86">
        <v>1300</v>
      </c>
      <c r="E86">
        <v>1300</v>
      </c>
      <c r="F86">
        <v>1300</v>
      </c>
      <c r="G86">
        <v>1300</v>
      </c>
      <c r="AK86" t="s">
        <v>152</v>
      </c>
    </row>
    <row r="87" spans="3:38" x14ac:dyDescent="0.25">
      <c r="C87" t="s">
        <v>127</v>
      </c>
      <c r="D87">
        <v>-9815</v>
      </c>
      <c r="E87">
        <v>-4815</v>
      </c>
      <c r="F87">
        <v>-4815</v>
      </c>
      <c r="G87">
        <v>-4815</v>
      </c>
    </row>
    <row r="88" spans="3:38" x14ac:dyDescent="0.25">
      <c r="C88" t="s">
        <v>128</v>
      </c>
      <c r="AK88" t="s">
        <v>153</v>
      </c>
    </row>
    <row r="90" spans="3:38" x14ac:dyDescent="0.25">
      <c r="D90">
        <f>SUM(D82:D89)</f>
        <v>39455</v>
      </c>
      <c r="E90">
        <f>SUM(E82:E87)</f>
        <v>39365</v>
      </c>
      <c r="F90">
        <f>SUM(F82:F87)</f>
        <v>40555</v>
      </c>
      <c r="G90">
        <f>SUM(G82:G87)</f>
        <v>41665</v>
      </c>
    </row>
    <row r="91" spans="3:38" x14ac:dyDescent="0.25">
      <c r="C91" t="s">
        <v>124</v>
      </c>
      <c r="D91">
        <v>100</v>
      </c>
      <c r="E91">
        <v>100</v>
      </c>
      <c r="F91">
        <v>100</v>
      </c>
      <c r="G91">
        <v>100</v>
      </c>
      <c r="AK91">
        <v>24005</v>
      </c>
    </row>
    <row r="92" spans="3:38" x14ac:dyDescent="0.25">
      <c r="C92" t="s">
        <v>125</v>
      </c>
      <c r="D92">
        <f>+D90-D91</f>
        <v>39355</v>
      </c>
      <c r="E92">
        <f>+E90-E91</f>
        <v>39265</v>
      </c>
      <c r="F92">
        <f>+F90-F91</f>
        <v>40455</v>
      </c>
      <c r="G92">
        <f>+G90-G91</f>
        <v>41565</v>
      </c>
      <c r="AK92">
        <v>-24080</v>
      </c>
    </row>
    <row r="93" spans="3:38" x14ac:dyDescent="0.25">
      <c r="G93">
        <f>+G92-F92</f>
        <v>1110</v>
      </c>
      <c r="AK93">
        <f>SUM(AK91:AK92)</f>
        <v>-75</v>
      </c>
    </row>
  </sheetData>
  <mergeCells count="7">
    <mergeCell ref="AC2:AD2"/>
    <mergeCell ref="A4:A18"/>
    <mergeCell ref="A19:A49"/>
    <mergeCell ref="D2:J2"/>
    <mergeCell ref="K2:Q2"/>
    <mergeCell ref="R2:V2"/>
    <mergeCell ref="W2:AA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D172-D81C-456A-95D7-941194B8C664}">
  <dimension ref="A1:IF83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W50" sqref="W50"/>
    </sheetView>
  </sheetViews>
  <sheetFormatPr baseColWidth="10" defaultRowHeight="15" x14ac:dyDescent="0.25"/>
  <cols>
    <col min="1" max="1" width="8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14" customWidth="1"/>
    <col min="10" max="10" width="9.42578125" customWidth="1"/>
    <col min="11" max="11" width="16" customWidth="1"/>
    <col min="12" max="12" width="11.28515625" customWidth="1"/>
    <col min="13" max="13" width="10.140625" customWidth="1"/>
    <col min="14" max="15" width="12" customWidth="1"/>
    <col min="16" max="16" width="11.28515625" customWidth="1"/>
    <col min="17" max="17" width="10.42578125" bestFit="1" customWidth="1"/>
    <col min="18" max="18" width="8.7109375" bestFit="1" customWidth="1"/>
    <col min="19" max="19" width="10.5703125" customWidth="1"/>
    <col min="20" max="20" width="8.7109375" customWidth="1"/>
    <col min="21" max="21" width="11.28515625" customWidth="1"/>
    <col min="22" max="22" width="10.85546875" customWidth="1"/>
    <col min="23" max="25" width="10.7109375" customWidth="1"/>
    <col min="26" max="27" width="13.5703125" customWidth="1"/>
    <col min="28" max="28" width="22" customWidth="1"/>
    <col min="29" max="29" width="14.42578125" customWidth="1"/>
    <col min="30" max="30" width="9.85546875" customWidth="1"/>
    <col min="31" max="31" width="17.140625" customWidth="1"/>
    <col min="32" max="32" width="19" customWidth="1"/>
    <col min="35" max="35" width="15.140625" customWidth="1"/>
  </cols>
  <sheetData>
    <row r="1" spans="1:31" ht="33" customHeight="1" thickBot="1" x14ac:dyDescent="0.3"/>
    <row r="2" spans="1:31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13"/>
      <c r="J2" s="309"/>
      <c r="K2" s="308" t="s">
        <v>1</v>
      </c>
      <c r="L2" s="313"/>
      <c r="M2" s="313"/>
      <c r="N2" s="313"/>
      <c r="O2" s="313"/>
      <c r="P2" s="313"/>
      <c r="Q2" s="309"/>
      <c r="R2" s="308" t="s">
        <v>2</v>
      </c>
      <c r="S2" s="313"/>
      <c r="T2" s="313"/>
      <c r="U2" s="313"/>
      <c r="V2" s="309"/>
      <c r="W2" s="308" t="s">
        <v>3</v>
      </c>
      <c r="X2" s="313"/>
      <c r="Y2" s="313"/>
      <c r="Z2" s="313"/>
      <c r="AA2" s="313"/>
      <c r="AB2" s="225" t="s">
        <v>799</v>
      </c>
      <c r="AC2" s="308" t="s">
        <v>4</v>
      </c>
      <c r="AD2" s="309"/>
      <c r="AE2" s="46" t="s">
        <v>91</v>
      </c>
    </row>
    <row r="3" spans="1:31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7" t="s">
        <v>838</v>
      </c>
      <c r="J3" s="8" t="s">
        <v>13</v>
      </c>
      <c r="K3" s="9" t="s">
        <v>394</v>
      </c>
      <c r="L3" s="7" t="s">
        <v>11</v>
      </c>
      <c r="M3" s="7" t="s">
        <v>12</v>
      </c>
      <c r="N3" s="7" t="s">
        <v>13</v>
      </c>
      <c r="O3" s="7" t="s">
        <v>182</v>
      </c>
      <c r="P3" s="7" t="s">
        <v>15</v>
      </c>
      <c r="Q3" s="8" t="s">
        <v>136</v>
      </c>
      <c r="R3" s="6" t="s">
        <v>12</v>
      </c>
      <c r="S3" s="7" t="s">
        <v>69</v>
      </c>
      <c r="T3" s="7" t="s">
        <v>13</v>
      </c>
      <c r="U3" s="7" t="s">
        <v>16</v>
      </c>
      <c r="V3" s="8" t="s">
        <v>162</v>
      </c>
      <c r="W3" s="6" t="s">
        <v>16</v>
      </c>
      <c r="X3" s="7" t="s">
        <v>77</v>
      </c>
      <c r="Y3" s="7" t="s">
        <v>12</v>
      </c>
      <c r="Z3" s="7" t="s">
        <v>13</v>
      </c>
      <c r="AA3" s="7" t="s">
        <v>8</v>
      </c>
      <c r="AB3" s="226" t="s">
        <v>800</v>
      </c>
      <c r="AC3" s="6" t="s">
        <v>17</v>
      </c>
      <c r="AD3" s="8" t="s">
        <v>18</v>
      </c>
      <c r="AE3" s="10" t="s">
        <v>92</v>
      </c>
    </row>
    <row r="4" spans="1:31" x14ac:dyDescent="0.25">
      <c r="A4" s="310" t="s">
        <v>19</v>
      </c>
      <c r="B4" s="49"/>
      <c r="C4" s="2"/>
      <c r="D4" s="42">
        <v>3600</v>
      </c>
      <c r="E4" s="42">
        <v>2</v>
      </c>
      <c r="F4" s="42">
        <v>1261</v>
      </c>
      <c r="G4" s="42">
        <v>140</v>
      </c>
      <c r="H4" s="42">
        <v>52</v>
      </c>
      <c r="I4" s="42">
        <v>9908</v>
      </c>
      <c r="J4" s="42">
        <v>0</v>
      </c>
      <c r="K4" s="42">
        <v>10</v>
      </c>
      <c r="L4" s="42">
        <v>8246</v>
      </c>
      <c r="M4" s="42">
        <v>181</v>
      </c>
      <c r="N4" s="42">
        <v>2161</v>
      </c>
      <c r="O4" s="42">
        <v>47</v>
      </c>
      <c r="P4" s="42">
        <v>3616</v>
      </c>
      <c r="Q4" s="42">
        <v>2985</v>
      </c>
      <c r="R4" s="42">
        <v>402</v>
      </c>
      <c r="S4" s="42"/>
      <c r="T4" s="42">
        <v>670</v>
      </c>
      <c r="U4" s="42">
        <v>1900</v>
      </c>
      <c r="V4" s="42">
        <v>474</v>
      </c>
      <c r="W4" s="42">
        <v>1423</v>
      </c>
      <c r="X4" s="42">
        <v>0</v>
      </c>
      <c r="Y4" s="42">
        <v>0</v>
      </c>
      <c r="Z4" s="42">
        <v>0</v>
      </c>
      <c r="AA4" s="42">
        <v>500</v>
      </c>
      <c r="AB4" s="227">
        <v>30</v>
      </c>
      <c r="AC4" s="42">
        <v>2158</v>
      </c>
      <c r="AD4" s="42">
        <v>2120</v>
      </c>
      <c r="AE4" s="42">
        <v>250</v>
      </c>
    </row>
    <row r="5" spans="1:31" x14ac:dyDescent="0.25">
      <c r="A5" s="311"/>
      <c r="B5" s="20">
        <v>46167</v>
      </c>
      <c r="C5" s="82" t="s">
        <v>27</v>
      </c>
      <c r="D5" s="27"/>
      <c r="F5" s="35"/>
      <c r="J5" s="31"/>
      <c r="K5" s="13"/>
      <c r="L5" s="35"/>
      <c r="N5" s="35"/>
      <c r="O5" s="35"/>
      <c r="P5" s="35"/>
      <c r="Q5" s="14"/>
      <c r="R5" s="27"/>
      <c r="V5" s="31"/>
      <c r="W5" s="13">
        <v>1000</v>
      </c>
      <c r="AB5" s="228"/>
      <c r="AC5" s="13"/>
      <c r="AD5" s="31"/>
      <c r="AE5" s="15"/>
    </row>
    <row r="6" spans="1:31" x14ac:dyDescent="0.25">
      <c r="A6" s="311"/>
      <c r="B6" s="20">
        <v>46167</v>
      </c>
      <c r="C6" s="82" t="s">
        <v>46</v>
      </c>
      <c r="D6" s="27"/>
      <c r="F6" s="35"/>
      <c r="J6" s="31"/>
      <c r="K6" s="13"/>
      <c r="L6" s="35"/>
      <c r="N6" s="35"/>
      <c r="O6" s="35"/>
      <c r="P6" s="35"/>
      <c r="Q6" s="14">
        <v>2000</v>
      </c>
      <c r="R6" s="27"/>
      <c r="V6" s="31"/>
      <c r="W6" s="13"/>
      <c r="AB6" s="228"/>
      <c r="AC6" s="13"/>
      <c r="AD6" s="31"/>
      <c r="AE6" s="15"/>
    </row>
    <row r="7" spans="1:31" x14ac:dyDescent="0.25">
      <c r="A7" s="311"/>
      <c r="B7" s="20">
        <v>46168</v>
      </c>
      <c r="C7" s="82" t="s">
        <v>27</v>
      </c>
      <c r="D7" s="27">
        <v>4000</v>
      </c>
      <c r="F7" s="35"/>
      <c r="J7" s="31"/>
      <c r="K7" s="13"/>
      <c r="L7" s="35"/>
      <c r="N7" s="35"/>
      <c r="O7" s="35"/>
      <c r="P7" s="35"/>
      <c r="Q7" s="14"/>
      <c r="R7" s="27"/>
      <c r="V7" s="31"/>
      <c r="W7" s="13"/>
      <c r="AB7" s="228"/>
      <c r="AC7" s="13"/>
      <c r="AD7" s="31"/>
      <c r="AE7" s="15"/>
    </row>
    <row r="8" spans="1:31" x14ac:dyDescent="0.25">
      <c r="A8" s="311"/>
      <c r="B8" s="20">
        <v>46169</v>
      </c>
      <c r="C8" s="82" t="s">
        <v>46</v>
      </c>
      <c r="D8" s="27"/>
      <c r="F8" s="35"/>
      <c r="J8" s="31"/>
      <c r="K8" s="13"/>
      <c r="L8" s="35">
        <v>1500</v>
      </c>
      <c r="N8" s="35"/>
      <c r="O8" s="35"/>
      <c r="P8" s="35"/>
      <c r="Q8" s="14"/>
      <c r="R8" s="27"/>
      <c r="V8" s="31"/>
      <c r="W8" s="13"/>
      <c r="AB8" s="228"/>
      <c r="AC8" s="13"/>
      <c r="AD8" s="31"/>
      <c r="AE8" s="15"/>
    </row>
    <row r="9" spans="1:31" x14ac:dyDescent="0.25">
      <c r="A9" s="311"/>
      <c r="B9" s="20">
        <v>46169</v>
      </c>
      <c r="C9" s="82" t="s">
        <v>27</v>
      </c>
      <c r="D9" s="27"/>
      <c r="F9" s="35"/>
      <c r="J9" s="31"/>
      <c r="K9" s="13"/>
      <c r="L9" s="35"/>
      <c r="N9" s="35"/>
      <c r="O9" s="35"/>
      <c r="P9" s="35"/>
      <c r="Q9" s="14"/>
      <c r="R9" s="27"/>
      <c r="U9">
        <v>1000</v>
      </c>
      <c r="V9" s="31"/>
      <c r="W9" s="13"/>
      <c r="AB9" s="228"/>
      <c r="AC9" s="13"/>
      <c r="AD9" s="31"/>
      <c r="AE9" s="15"/>
    </row>
    <row r="10" spans="1:31" x14ac:dyDescent="0.25">
      <c r="A10" s="311"/>
      <c r="B10" s="20">
        <v>46170</v>
      </c>
      <c r="C10" s="82" t="s">
        <v>1059</v>
      </c>
      <c r="D10" s="27"/>
      <c r="F10" s="35"/>
      <c r="J10" s="31"/>
      <c r="K10" s="13"/>
      <c r="L10" s="35"/>
      <c r="N10" s="35"/>
      <c r="O10" s="35"/>
      <c r="P10" s="35"/>
      <c r="Q10" s="14"/>
      <c r="R10" s="27"/>
      <c r="V10" s="31"/>
      <c r="W10" s="13"/>
      <c r="AB10" s="228">
        <v>500</v>
      </c>
      <c r="AC10" s="13"/>
      <c r="AD10" s="31"/>
      <c r="AE10" s="15"/>
    </row>
    <row r="11" spans="1:31" x14ac:dyDescent="0.25">
      <c r="A11" s="311"/>
      <c r="B11" s="20">
        <v>46171</v>
      </c>
      <c r="C11" s="82" t="s">
        <v>46</v>
      </c>
      <c r="D11" s="27"/>
      <c r="F11" s="35"/>
      <c r="J11" s="31"/>
      <c r="K11" s="13"/>
      <c r="L11" s="35">
        <v>1000</v>
      </c>
      <c r="N11" s="35"/>
      <c r="O11" s="35"/>
      <c r="P11" s="35"/>
      <c r="Q11" s="14"/>
      <c r="R11" s="27"/>
      <c r="V11" s="31"/>
      <c r="W11" s="13"/>
      <c r="AB11" s="228"/>
      <c r="AC11" s="13"/>
      <c r="AD11" s="31"/>
      <c r="AE11" s="15"/>
    </row>
    <row r="12" spans="1:31" x14ac:dyDescent="0.25">
      <c r="A12" s="311"/>
      <c r="B12" s="20">
        <v>46172</v>
      </c>
      <c r="C12" s="82" t="s">
        <v>46</v>
      </c>
      <c r="D12" s="27"/>
      <c r="F12" s="35"/>
      <c r="J12" s="31"/>
      <c r="K12" s="13"/>
      <c r="L12" s="35"/>
      <c r="N12" s="35"/>
      <c r="O12" s="35"/>
      <c r="P12" s="35">
        <v>4000</v>
      </c>
      <c r="Q12" s="14"/>
      <c r="R12" s="27"/>
      <c r="V12" s="31"/>
      <c r="W12" s="13"/>
      <c r="AB12" s="228"/>
      <c r="AC12" s="13"/>
      <c r="AD12" s="31"/>
      <c r="AE12" s="15"/>
    </row>
    <row r="13" spans="1:31" x14ac:dyDescent="0.25">
      <c r="A13" s="311"/>
      <c r="B13" s="160"/>
      <c r="C13" s="82"/>
      <c r="D13" s="27"/>
      <c r="F13" s="35"/>
      <c r="J13" s="31"/>
      <c r="K13" s="13"/>
      <c r="L13" s="35"/>
      <c r="N13" s="35"/>
      <c r="O13" s="35"/>
      <c r="P13" s="35"/>
      <c r="Q13" s="14"/>
      <c r="R13" s="27"/>
      <c r="V13" s="31"/>
      <c r="W13" s="13"/>
      <c r="AB13" s="228"/>
      <c r="AC13" s="13"/>
      <c r="AD13" s="31"/>
      <c r="AE13" s="15"/>
    </row>
    <row r="14" spans="1:31" x14ac:dyDescent="0.25">
      <c r="A14" s="311"/>
      <c r="B14" s="160"/>
      <c r="C14" s="82"/>
      <c r="D14" s="27"/>
      <c r="F14" s="35"/>
      <c r="J14" s="31"/>
      <c r="K14" s="13"/>
      <c r="L14" s="35"/>
      <c r="N14" s="35"/>
      <c r="O14" s="35"/>
      <c r="P14" s="35"/>
      <c r="Q14" s="14"/>
      <c r="R14" s="27"/>
      <c r="V14" s="31"/>
      <c r="W14" s="13"/>
      <c r="AB14" s="228"/>
      <c r="AC14" s="13"/>
      <c r="AD14" s="31"/>
      <c r="AE14" s="15"/>
    </row>
    <row r="15" spans="1:31" ht="13.5" customHeight="1" thickBot="1" x14ac:dyDescent="0.3">
      <c r="A15" s="311"/>
      <c r="B15" s="72"/>
      <c r="C15" s="231"/>
      <c r="D15" s="28"/>
      <c r="E15" s="18"/>
      <c r="F15" s="36"/>
      <c r="G15" s="18"/>
      <c r="H15" s="18"/>
      <c r="I15" s="18"/>
      <c r="J15" s="32"/>
      <c r="K15" s="16"/>
      <c r="L15" s="36"/>
      <c r="M15" s="18"/>
      <c r="N15" s="36"/>
      <c r="O15" s="36"/>
      <c r="P15" s="36"/>
      <c r="Q15" s="17"/>
      <c r="R15" s="28"/>
      <c r="S15" s="18"/>
      <c r="T15" s="18"/>
      <c r="U15" s="18"/>
      <c r="V15" s="32"/>
      <c r="W15" s="16"/>
      <c r="X15" s="18"/>
      <c r="Y15" s="18"/>
      <c r="Z15" s="18"/>
      <c r="AA15" s="18"/>
      <c r="AB15" s="232"/>
      <c r="AC15" s="16"/>
      <c r="AD15" s="32"/>
      <c r="AE15" s="19"/>
    </row>
    <row r="16" spans="1:31" x14ac:dyDescent="0.25">
      <c r="A16" s="310" t="s">
        <v>62</v>
      </c>
      <c r="B16" s="160"/>
      <c r="C16" s="14"/>
      <c r="D16" s="27"/>
      <c r="F16" s="35"/>
      <c r="J16" s="31"/>
      <c r="K16" s="13"/>
      <c r="L16" s="35"/>
      <c r="N16" s="35"/>
      <c r="O16" s="35"/>
      <c r="P16" s="35"/>
      <c r="Q16" s="14"/>
      <c r="R16" s="27"/>
      <c r="V16" s="31"/>
      <c r="W16" s="13"/>
      <c r="AB16" s="228"/>
      <c r="AC16" s="13"/>
      <c r="AD16" s="31"/>
      <c r="AE16" s="15"/>
    </row>
    <row r="17" spans="1:31" x14ac:dyDescent="0.25">
      <c r="A17" s="311"/>
      <c r="B17" s="20"/>
      <c r="C17" s="14"/>
      <c r="D17" s="27"/>
      <c r="F17" s="35"/>
      <c r="J17" s="31"/>
      <c r="K17" s="13"/>
      <c r="L17" s="35"/>
      <c r="N17" s="35"/>
      <c r="O17" s="35"/>
      <c r="P17" s="35"/>
      <c r="Q17" s="14"/>
      <c r="R17" s="27"/>
      <c r="V17" s="31"/>
      <c r="W17" s="13"/>
      <c r="AB17" s="228"/>
      <c r="AC17" s="13"/>
      <c r="AD17" s="31"/>
      <c r="AE17" s="15"/>
    </row>
    <row r="18" spans="1:31" ht="16.5" customHeight="1" x14ac:dyDescent="0.25">
      <c r="A18" s="311"/>
      <c r="B18" s="20">
        <v>46167</v>
      </c>
      <c r="C18" s="14" t="s">
        <v>1026</v>
      </c>
      <c r="D18" s="27"/>
      <c r="F18" s="35"/>
      <c r="J18" s="31"/>
      <c r="K18" s="13"/>
      <c r="L18" s="35"/>
      <c r="N18" s="35"/>
      <c r="O18" s="35"/>
      <c r="P18" s="35"/>
      <c r="Q18" s="14"/>
      <c r="R18" s="27"/>
      <c r="U18">
        <v>1000</v>
      </c>
      <c r="V18" s="31"/>
      <c r="W18" s="13"/>
      <c r="AB18" s="228"/>
      <c r="AC18" s="13"/>
      <c r="AD18" s="31"/>
      <c r="AE18" s="15"/>
    </row>
    <row r="19" spans="1:31" ht="16.5" customHeight="1" x14ac:dyDescent="0.25">
      <c r="A19" s="311"/>
      <c r="B19" s="20">
        <v>46167</v>
      </c>
      <c r="C19" s="14" t="s">
        <v>203</v>
      </c>
      <c r="D19" s="27">
        <v>250</v>
      </c>
      <c r="F19" s="35"/>
      <c r="J19" s="31"/>
      <c r="K19" s="13"/>
      <c r="L19" s="35"/>
      <c r="N19" s="35"/>
      <c r="O19" s="35"/>
      <c r="P19" s="35"/>
      <c r="Q19" s="14"/>
      <c r="R19" s="27"/>
      <c r="V19" s="31"/>
      <c r="W19" s="13"/>
      <c r="AB19" s="228"/>
      <c r="AC19" s="13"/>
      <c r="AD19" s="31"/>
      <c r="AE19" s="15"/>
    </row>
    <row r="20" spans="1:31" ht="16.5" customHeight="1" x14ac:dyDescent="0.25">
      <c r="A20" s="311"/>
      <c r="B20" s="20">
        <v>46167</v>
      </c>
      <c r="C20" s="14" t="s">
        <v>1031</v>
      </c>
      <c r="D20" s="27"/>
      <c r="F20" s="35"/>
      <c r="J20" s="31"/>
      <c r="K20" s="13"/>
      <c r="L20" s="35"/>
      <c r="N20" s="35"/>
      <c r="O20" s="35"/>
      <c r="P20" s="35"/>
      <c r="Q20" s="14"/>
      <c r="R20" s="27"/>
      <c r="V20" s="31"/>
      <c r="W20" s="13"/>
      <c r="AB20" s="228"/>
      <c r="AC20" s="13">
        <v>350</v>
      </c>
      <c r="AD20" s="31"/>
      <c r="AE20" s="15"/>
    </row>
    <row r="21" spans="1:31" ht="16.5" customHeight="1" x14ac:dyDescent="0.25">
      <c r="A21" s="311"/>
      <c r="B21" s="20">
        <v>46168</v>
      </c>
      <c r="C21" s="14" t="s">
        <v>29</v>
      </c>
      <c r="D21" s="27">
        <v>500</v>
      </c>
      <c r="F21" s="35"/>
      <c r="J21" s="31"/>
      <c r="K21" s="13"/>
      <c r="L21" s="35"/>
      <c r="N21" s="35"/>
      <c r="O21" s="35"/>
      <c r="P21" s="35"/>
      <c r="Q21" s="14"/>
      <c r="R21" s="27"/>
      <c r="V21" s="31"/>
      <c r="W21" s="13"/>
      <c r="AB21" s="228"/>
      <c r="AC21" s="13"/>
      <c r="AD21" s="31"/>
      <c r="AE21" s="15"/>
    </row>
    <row r="22" spans="1:31" ht="16.5" customHeight="1" x14ac:dyDescent="0.25">
      <c r="A22" s="311"/>
      <c r="B22" s="20">
        <v>46168</v>
      </c>
      <c r="C22" s="14" t="s">
        <v>332</v>
      </c>
      <c r="D22" s="27"/>
      <c r="F22" s="35"/>
      <c r="J22" s="31"/>
      <c r="K22" s="13"/>
      <c r="L22" s="35"/>
      <c r="N22" s="35"/>
      <c r="O22" s="35"/>
      <c r="P22" s="35"/>
      <c r="Q22" s="14"/>
      <c r="R22" s="27"/>
      <c r="V22" s="31">
        <v>40</v>
      </c>
      <c r="W22" s="13"/>
      <c r="AB22" s="228"/>
      <c r="AC22" s="13"/>
      <c r="AD22" s="31"/>
      <c r="AE22" s="15"/>
    </row>
    <row r="23" spans="1:31" ht="16.5" customHeight="1" x14ac:dyDescent="0.25">
      <c r="A23" s="311"/>
      <c r="B23" s="20">
        <v>46169</v>
      </c>
      <c r="C23" s="14" t="s">
        <v>1045</v>
      </c>
      <c r="D23" s="27">
        <v>500</v>
      </c>
      <c r="F23" s="35"/>
      <c r="J23" s="31"/>
      <c r="K23" s="13"/>
      <c r="L23" s="35"/>
      <c r="N23" s="35"/>
      <c r="O23" s="35"/>
      <c r="P23" s="35"/>
      <c r="Q23" s="14"/>
      <c r="R23" s="27"/>
      <c r="V23" s="31"/>
      <c r="W23" s="13"/>
      <c r="AB23" s="228"/>
      <c r="AC23" s="13"/>
      <c r="AD23" s="31"/>
      <c r="AE23" s="15"/>
    </row>
    <row r="24" spans="1:31" ht="16.5" customHeight="1" x14ac:dyDescent="0.25">
      <c r="A24" s="311"/>
      <c r="B24" s="20">
        <v>46169</v>
      </c>
      <c r="C24" s="14" t="s">
        <v>1046</v>
      </c>
      <c r="D24" s="27"/>
      <c r="F24" s="35"/>
      <c r="J24" s="31"/>
      <c r="K24" s="13"/>
      <c r="L24" s="35"/>
      <c r="N24" s="35"/>
      <c r="O24" s="35"/>
      <c r="P24" s="35"/>
      <c r="Q24" s="14">
        <v>1000</v>
      </c>
      <c r="R24" s="27"/>
      <c r="V24" s="31"/>
      <c r="W24" s="13"/>
      <c r="AB24" s="228"/>
      <c r="AC24" s="13"/>
      <c r="AD24" s="31"/>
      <c r="AE24" s="15"/>
    </row>
    <row r="25" spans="1:31" ht="16.5" customHeight="1" x14ac:dyDescent="0.25">
      <c r="A25" s="311"/>
      <c r="B25" s="20">
        <v>46169</v>
      </c>
      <c r="C25" s="14" t="s">
        <v>550</v>
      </c>
      <c r="D25" s="27"/>
      <c r="F25" s="35"/>
      <c r="J25" s="31"/>
      <c r="K25" s="13"/>
      <c r="L25" s="35"/>
      <c r="N25" s="35"/>
      <c r="O25" s="35"/>
      <c r="P25" s="35"/>
      <c r="Q25" s="14"/>
      <c r="R25" s="27"/>
      <c r="V25" s="31"/>
      <c r="W25" s="13">
        <v>250</v>
      </c>
      <c r="AB25" s="228"/>
      <c r="AC25" s="13"/>
      <c r="AD25" s="31"/>
      <c r="AE25" s="15"/>
    </row>
    <row r="26" spans="1:31" ht="16.5" customHeight="1" x14ac:dyDescent="0.25">
      <c r="A26" s="311"/>
      <c r="B26" s="20">
        <v>46169</v>
      </c>
      <c r="C26" s="14" t="s">
        <v>1047</v>
      </c>
      <c r="D26" s="27"/>
      <c r="F26" s="35"/>
      <c r="J26" s="31"/>
      <c r="K26" s="13"/>
      <c r="L26" s="35"/>
      <c r="N26" s="35"/>
      <c r="O26" s="35"/>
      <c r="P26" s="35"/>
      <c r="Q26" s="14"/>
      <c r="R26" s="27"/>
      <c r="V26" s="31"/>
      <c r="W26" s="13">
        <v>270</v>
      </c>
      <c r="AB26" s="228"/>
      <c r="AC26" s="13"/>
      <c r="AD26" s="31"/>
      <c r="AE26" s="15"/>
    </row>
    <row r="27" spans="1:31" ht="16.5" customHeight="1" x14ac:dyDescent="0.25">
      <c r="A27" s="311"/>
      <c r="B27" s="160">
        <v>46170</v>
      </c>
      <c r="C27" s="14" t="s">
        <v>1061</v>
      </c>
      <c r="D27" s="27"/>
      <c r="F27" s="35"/>
      <c r="J27" s="31"/>
      <c r="K27" s="13"/>
      <c r="L27" s="35"/>
      <c r="N27" s="35"/>
      <c r="O27" s="35"/>
      <c r="P27" s="35"/>
      <c r="Q27" s="14"/>
      <c r="R27" s="27"/>
      <c r="V27" s="31"/>
      <c r="W27" s="13">
        <v>450</v>
      </c>
      <c r="AB27" s="228"/>
      <c r="AC27" s="13"/>
      <c r="AD27" s="31"/>
      <c r="AE27" s="15"/>
    </row>
    <row r="28" spans="1:31" ht="16.5" customHeight="1" x14ac:dyDescent="0.25">
      <c r="A28" s="311"/>
      <c r="B28" s="160">
        <v>46171</v>
      </c>
      <c r="C28" s="14" t="s">
        <v>302</v>
      </c>
      <c r="D28" s="27"/>
      <c r="F28" s="35"/>
      <c r="I28">
        <v>2000</v>
      </c>
      <c r="J28" s="31"/>
      <c r="K28" s="13"/>
      <c r="L28" s="35"/>
      <c r="N28" s="35"/>
      <c r="O28" s="35"/>
      <c r="P28" s="35"/>
      <c r="Q28" s="14"/>
      <c r="R28" s="27"/>
      <c r="V28" s="31"/>
      <c r="W28" s="13"/>
      <c r="AB28" s="228"/>
      <c r="AC28" s="13"/>
      <c r="AD28" s="31"/>
      <c r="AE28" s="15"/>
    </row>
    <row r="29" spans="1:31" ht="16.5" customHeight="1" x14ac:dyDescent="0.25">
      <c r="A29" s="311"/>
      <c r="B29" s="160">
        <v>46171</v>
      </c>
      <c r="C29" s="14" t="s">
        <v>745</v>
      </c>
      <c r="D29" s="27"/>
      <c r="F29" s="35"/>
      <c r="J29" s="31"/>
      <c r="K29" s="13"/>
      <c r="L29" s="35"/>
      <c r="N29" s="35"/>
      <c r="O29" s="35"/>
      <c r="P29" s="35"/>
      <c r="Q29" s="14">
        <v>500</v>
      </c>
      <c r="R29" s="27"/>
      <c r="V29" s="31"/>
      <c r="W29" s="13"/>
      <c r="AB29" s="228"/>
      <c r="AC29" s="13"/>
      <c r="AD29" s="31"/>
      <c r="AE29" s="15"/>
    </row>
    <row r="30" spans="1:31" ht="16.5" customHeight="1" x14ac:dyDescent="0.25">
      <c r="A30" s="311"/>
      <c r="B30" s="160">
        <v>46171</v>
      </c>
      <c r="C30" s="14" t="s">
        <v>1065</v>
      </c>
      <c r="D30" s="27"/>
      <c r="F30" s="35"/>
      <c r="J30" s="31"/>
      <c r="K30" s="13"/>
      <c r="L30" s="35"/>
      <c r="N30" s="35"/>
      <c r="O30" s="35"/>
      <c r="P30" s="35">
        <v>30</v>
      </c>
      <c r="Q30" s="14"/>
      <c r="R30" s="27"/>
      <c r="V30" s="31"/>
      <c r="W30" s="13"/>
      <c r="AB30" s="228"/>
      <c r="AC30" s="13"/>
      <c r="AD30" s="31"/>
      <c r="AE30" s="15"/>
    </row>
    <row r="31" spans="1:31" ht="16.5" customHeight="1" x14ac:dyDescent="0.25">
      <c r="A31" s="311"/>
      <c r="B31" s="160">
        <v>46171</v>
      </c>
      <c r="C31" s="14" t="s">
        <v>435</v>
      </c>
      <c r="D31" s="27"/>
      <c r="F31" s="35"/>
      <c r="J31" s="31"/>
      <c r="K31" s="13"/>
      <c r="L31" s="35"/>
      <c r="N31" s="35"/>
      <c r="O31" s="35"/>
      <c r="P31" s="35"/>
      <c r="Q31" s="14"/>
      <c r="R31" s="27"/>
      <c r="V31" s="31"/>
      <c r="W31" s="13"/>
      <c r="AB31" s="228"/>
      <c r="AC31" s="13"/>
      <c r="AD31" s="31">
        <v>250</v>
      </c>
      <c r="AE31" s="15"/>
    </row>
    <row r="32" spans="1:31" ht="16.5" customHeight="1" x14ac:dyDescent="0.25">
      <c r="A32" s="311"/>
      <c r="B32" s="160">
        <v>46171</v>
      </c>
      <c r="C32" s="14" t="s">
        <v>795</v>
      </c>
      <c r="D32" s="27"/>
      <c r="F32" s="35"/>
      <c r="J32" s="31"/>
      <c r="K32" s="13"/>
      <c r="L32" s="35"/>
      <c r="N32" s="35"/>
      <c r="O32" s="35"/>
      <c r="P32" s="35"/>
      <c r="Q32" s="14"/>
      <c r="R32" s="27"/>
      <c r="U32">
        <v>370</v>
      </c>
      <c r="V32" s="31"/>
      <c r="W32" s="13"/>
      <c r="AB32" s="228"/>
      <c r="AC32" s="13"/>
      <c r="AD32" s="31"/>
      <c r="AE32" s="15"/>
    </row>
    <row r="33" spans="1:240" ht="16.5" customHeight="1" x14ac:dyDescent="0.25">
      <c r="A33" s="311"/>
      <c r="B33" s="160">
        <v>46171</v>
      </c>
      <c r="C33" s="14" t="s">
        <v>1071</v>
      </c>
      <c r="D33" s="27"/>
      <c r="F33" s="35"/>
      <c r="J33" s="31"/>
      <c r="K33" s="13"/>
      <c r="L33" s="35"/>
      <c r="N33" s="35"/>
      <c r="O33" s="35"/>
      <c r="P33" s="35"/>
      <c r="Q33" s="14"/>
      <c r="R33" s="27"/>
      <c r="V33" s="31"/>
      <c r="W33" s="13">
        <v>100</v>
      </c>
      <c r="AB33" s="228"/>
      <c r="AC33" s="13"/>
      <c r="AD33" s="31"/>
      <c r="AE33" s="15"/>
    </row>
    <row r="34" spans="1:240" ht="16.5" customHeight="1" x14ac:dyDescent="0.25">
      <c r="A34" s="311"/>
      <c r="B34" s="160">
        <v>46172</v>
      </c>
      <c r="C34" s="14" t="s">
        <v>550</v>
      </c>
      <c r="D34" s="27"/>
      <c r="F34" s="35"/>
      <c r="J34" s="31"/>
      <c r="K34" s="13"/>
      <c r="L34" s="35"/>
      <c r="N34" s="35"/>
      <c r="O34" s="35"/>
      <c r="P34" s="35"/>
      <c r="Q34" s="14"/>
      <c r="R34" s="27"/>
      <c r="V34" s="31"/>
      <c r="W34" s="13">
        <v>50</v>
      </c>
      <c r="AB34" s="228"/>
      <c r="AC34" s="13"/>
      <c r="AD34" s="31"/>
      <c r="AE34" s="15"/>
    </row>
    <row r="35" spans="1:240" ht="16.5" customHeight="1" x14ac:dyDescent="0.25">
      <c r="A35" s="311"/>
      <c r="B35" s="160">
        <v>46172</v>
      </c>
      <c r="C35" s="14" t="s">
        <v>1082</v>
      </c>
      <c r="D35" s="27"/>
      <c r="F35" s="35"/>
      <c r="J35" s="31"/>
      <c r="K35" s="13"/>
      <c r="L35" s="35"/>
      <c r="N35" s="35"/>
      <c r="O35" s="35"/>
      <c r="P35" s="35"/>
      <c r="Q35" s="14"/>
      <c r="R35" s="27"/>
      <c r="V35" s="31"/>
      <c r="W35" s="13"/>
      <c r="AB35" s="228"/>
      <c r="AC35" s="13">
        <v>50</v>
      </c>
      <c r="AD35" s="31"/>
      <c r="AE35" s="15"/>
    </row>
    <row r="36" spans="1:240" x14ac:dyDescent="0.25">
      <c r="A36" s="311"/>
      <c r="B36" s="160"/>
      <c r="C36" s="14"/>
      <c r="D36" s="27"/>
      <c r="F36" s="35"/>
      <c r="J36" s="31"/>
      <c r="K36" s="13"/>
      <c r="L36" s="35"/>
      <c r="N36" s="35"/>
      <c r="O36" s="35"/>
      <c r="P36" s="35"/>
      <c r="Q36" s="14"/>
      <c r="R36" s="27"/>
      <c r="V36" s="31"/>
      <c r="W36" s="13"/>
      <c r="AB36" s="228"/>
      <c r="AC36" s="13"/>
      <c r="AD36" s="31"/>
      <c r="AE36" s="15"/>
    </row>
    <row r="37" spans="1:240" s="52" customFormat="1" x14ac:dyDescent="0.25">
      <c r="A37" s="311"/>
      <c r="B37" s="114"/>
      <c r="C37" s="105" t="s">
        <v>137</v>
      </c>
      <c r="D37" s="83"/>
      <c r="J37" s="105"/>
      <c r="K37" s="83"/>
      <c r="Q37" s="105"/>
      <c r="R37" s="83"/>
      <c r="V37" s="105"/>
      <c r="W37" s="83"/>
      <c r="AB37" s="229"/>
      <c r="AC37" s="83"/>
      <c r="AD37" s="105"/>
      <c r="AE37" s="115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</row>
    <row r="38" spans="1:240" x14ac:dyDescent="0.25">
      <c r="A38" s="311"/>
      <c r="B38" s="20"/>
      <c r="C38" s="14"/>
      <c r="D38" s="27"/>
      <c r="F38" s="35"/>
      <c r="J38" s="31"/>
      <c r="K38" s="13"/>
      <c r="L38" s="35"/>
      <c r="N38" s="35"/>
      <c r="O38" s="35"/>
      <c r="P38" s="35"/>
      <c r="Q38" s="14"/>
      <c r="R38" s="27"/>
      <c r="V38" s="31"/>
      <c r="W38" s="13"/>
      <c r="AB38" s="228"/>
      <c r="AC38" s="13"/>
      <c r="AD38" s="31"/>
      <c r="AE38" s="15"/>
    </row>
    <row r="39" spans="1:240" ht="15.75" thickBot="1" x14ac:dyDescent="0.3">
      <c r="A39" s="312"/>
      <c r="B39" s="13"/>
      <c r="C39" s="14"/>
      <c r="D39" s="27"/>
      <c r="F39" s="35"/>
      <c r="J39" s="31"/>
      <c r="K39" s="13"/>
      <c r="L39" s="35"/>
      <c r="N39" s="35"/>
      <c r="O39" s="35"/>
      <c r="P39" s="35"/>
      <c r="Q39" s="14"/>
      <c r="R39" s="27"/>
      <c r="V39" s="31"/>
      <c r="W39" s="13"/>
      <c r="AB39" s="228"/>
      <c r="AC39" s="13"/>
      <c r="AD39" s="31"/>
      <c r="AE39" s="15"/>
      <c r="AI39">
        <f>0.3*400</f>
        <v>120</v>
      </c>
    </row>
    <row r="40" spans="1:240" ht="21.75" thickBot="1" x14ac:dyDescent="0.3">
      <c r="A40" s="21" t="s">
        <v>23</v>
      </c>
      <c r="B40" s="22"/>
      <c r="C40" s="23"/>
      <c r="D40" s="29">
        <f t="shared" ref="D40:AE40" si="0">SUM(D4:D15)-SUM(D16:D39)</f>
        <v>6350</v>
      </c>
      <c r="E40" s="22">
        <f t="shared" si="0"/>
        <v>2</v>
      </c>
      <c r="F40" s="37">
        <f t="shared" si="0"/>
        <v>1261</v>
      </c>
      <c r="G40" s="24">
        <f t="shared" si="0"/>
        <v>140</v>
      </c>
      <c r="H40" s="24">
        <f t="shared" si="0"/>
        <v>52</v>
      </c>
      <c r="I40" s="24">
        <f t="shared" si="0"/>
        <v>7908</v>
      </c>
      <c r="J40" s="33">
        <f t="shared" si="0"/>
        <v>0</v>
      </c>
      <c r="K40" s="22">
        <f t="shared" si="0"/>
        <v>10</v>
      </c>
      <c r="L40" s="37">
        <f t="shared" si="0"/>
        <v>10746</v>
      </c>
      <c r="M40" s="24">
        <f t="shared" si="0"/>
        <v>181</v>
      </c>
      <c r="N40" s="37">
        <f t="shared" si="0"/>
        <v>2161</v>
      </c>
      <c r="O40" s="37">
        <f t="shared" si="0"/>
        <v>47</v>
      </c>
      <c r="P40" s="37">
        <f t="shared" si="0"/>
        <v>7586</v>
      </c>
      <c r="Q40" s="23">
        <f t="shared" si="0"/>
        <v>3485</v>
      </c>
      <c r="R40" s="29">
        <f t="shared" si="0"/>
        <v>402</v>
      </c>
      <c r="S40" s="29">
        <f t="shared" si="0"/>
        <v>0</v>
      </c>
      <c r="T40" s="29">
        <f t="shared" si="0"/>
        <v>670</v>
      </c>
      <c r="U40" s="107">
        <f t="shared" si="0"/>
        <v>1530</v>
      </c>
      <c r="V40" s="33">
        <f t="shared" si="0"/>
        <v>434</v>
      </c>
      <c r="W40" s="22">
        <f t="shared" si="0"/>
        <v>1303</v>
      </c>
      <c r="X40" s="22">
        <f t="shared" si="0"/>
        <v>0</v>
      </c>
      <c r="Y40" s="22">
        <f t="shared" si="0"/>
        <v>0</v>
      </c>
      <c r="Z40" s="22">
        <f t="shared" si="0"/>
        <v>0</v>
      </c>
      <c r="AA40" s="22">
        <f t="shared" si="0"/>
        <v>500</v>
      </c>
      <c r="AB40" s="230">
        <f t="shared" si="0"/>
        <v>530</v>
      </c>
      <c r="AC40" s="22">
        <f t="shared" si="0"/>
        <v>1758</v>
      </c>
      <c r="AD40" s="33">
        <f t="shared" si="0"/>
        <v>1870</v>
      </c>
      <c r="AE40" s="33">
        <f t="shared" si="0"/>
        <v>250</v>
      </c>
    </row>
    <row r="42" spans="1:240" x14ac:dyDescent="0.25">
      <c r="C42" t="s">
        <v>176</v>
      </c>
      <c r="D42">
        <v>0.6</v>
      </c>
      <c r="E42">
        <v>0.55000000000000004</v>
      </c>
      <c r="F42">
        <v>0.71</v>
      </c>
      <c r="G42">
        <v>0.65</v>
      </c>
      <c r="H42">
        <v>0.65</v>
      </c>
      <c r="I42">
        <v>0.66</v>
      </c>
      <c r="J42">
        <v>0.74</v>
      </c>
      <c r="K42">
        <v>0.84</v>
      </c>
      <c r="L42">
        <v>0.86</v>
      </c>
      <c r="M42" s="50">
        <f>0.95+0.1</f>
        <v>1.05</v>
      </c>
      <c r="N42">
        <v>1.02</v>
      </c>
      <c r="O42">
        <v>0.82</v>
      </c>
      <c r="P42">
        <v>0.92</v>
      </c>
      <c r="Q42">
        <v>0.82</v>
      </c>
      <c r="R42">
        <v>2.75</v>
      </c>
      <c r="S42">
        <v>2.6</v>
      </c>
      <c r="T42">
        <v>2.8</v>
      </c>
      <c r="U42">
        <v>2.6</v>
      </c>
      <c r="V42">
        <v>2.4500000000000002</v>
      </c>
      <c r="W42">
        <v>2.7</v>
      </c>
      <c r="X42">
        <v>2.5499999999999998</v>
      </c>
      <c r="Y42">
        <v>2.9</v>
      </c>
      <c r="Z42">
        <v>2.85</v>
      </c>
      <c r="AA42">
        <v>2.5499999999999998</v>
      </c>
      <c r="AB42">
        <v>3.1</v>
      </c>
      <c r="AC42">
        <v>0.6</v>
      </c>
      <c r="AD42">
        <v>0.47</v>
      </c>
      <c r="AE42" s="109">
        <v>1.9</v>
      </c>
    </row>
    <row r="43" spans="1:240" x14ac:dyDescent="0.25">
      <c r="D43">
        <f>+D40*D42</f>
        <v>3810</v>
      </c>
      <c r="E43">
        <f>+E40*E42</f>
        <v>1.1000000000000001</v>
      </c>
      <c r="F43">
        <f t="shared" ref="F43:AE43" si="1">+F40*F42</f>
        <v>895.31</v>
      </c>
      <c r="G43">
        <f t="shared" si="1"/>
        <v>91</v>
      </c>
      <c r="H43">
        <f t="shared" si="1"/>
        <v>33.800000000000004</v>
      </c>
      <c r="I43">
        <f t="shared" si="1"/>
        <v>5219.2800000000007</v>
      </c>
      <c r="J43">
        <f t="shared" si="1"/>
        <v>0</v>
      </c>
      <c r="K43">
        <f t="shared" si="1"/>
        <v>8.4</v>
      </c>
      <c r="L43">
        <f t="shared" si="1"/>
        <v>9241.56</v>
      </c>
      <c r="M43">
        <f t="shared" si="1"/>
        <v>190.05</v>
      </c>
      <c r="N43">
        <f t="shared" si="1"/>
        <v>2204.2200000000003</v>
      </c>
      <c r="O43">
        <f>O40*O42</f>
        <v>38.54</v>
      </c>
      <c r="P43">
        <f t="shared" si="1"/>
        <v>6979.12</v>
      </c>
      <c r="Q43">
        <f>+Q40*Q42</f>
        <v>2857.7</v>
      </c>
      <c r="R43">
        <f t="shared" si="1"/>
        <v>1105.5</v>
      </c>
      <c r="S43">
        <f t="shared" si="1"/>
        <v>0</v>
      </c>
      <c r="T43">
        <f t="shared" si="1"/>
        <v>1875.9999999999998</v>
      </c>
      <c r="U43">
        <f t="shared" si="1"/>
        <v>3978</v>
      </c>
      <c r="V43">
        <f t="shared" si="1"/>
        <v>1063.3000000000002</v>
      </c>
      <c r="W43">
        <f t="shared" si="1"/>
        <v>3518.1000000000004</v>
      </c>
      <c r="X43">
        <f t="shared" si="1"/>
        <v>0</v>
      </c>
      <c r="Y43">
        <f>+Y40*Y42</f>
        <v>0</v>
      </c>
      <c r="Z43">
        <f>Z40*Z42</f>
        <v>0</v>
      </c>
      <c r="AA43">
        <f>AA40*AA42</f>
        <v>1275</v>
      </c>
      <c r="AB43">
        <f t="shared" si="1"/>
        <v>1643</v>
      </c>
      <c r="AC43">
        <f t="shared" si="1"/>
        <v>1054.8</v>
      </c>
      <c r="AD43">
        <f t="shared" si="1"/>
        <v>878.9</v>
      </c>
      <c r="AE43">
        <f t="shared" si="1"/>
        <v>475</v>
      </c>
      <c r="AF43" s="52">
        <f>SUM(D43:AE43)</f>
        <v>48437.680000000008</v>
      </c>
    </row>
    <row r="44" spans="1:240" x14ac:dyDescent="0.25"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103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spans="1:240" x14ac:dyDescent="0.25"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103"/>
      <c r="V45" s="39"/>
      <c r="W45" s="39"/>
      <c r="X45" s="39"/>
      <c r="Z45" s="39"/>
      <c r="AA45" s="39"/>
      <c r="AB45" s="39"/>
      <c r="AC45" s="39"/>
      <c r="AD45" s="39"/>
      <c r="AE45" s="39"/>
    </row>
    <row r="46" spans="1:240" x14ac:dyDescent="0.25">
      <c r="C46" s="39"/>
      <c r="D46" s="39"/>
      <c r="E46" s="39"/>
      <c r="F46" s="39"/>
      <c r="G46" s="39"/>
      <c r="H46" s="39"/>
      <c r="I46" s="39"/>
    </row>
    <row r="47" spans="1:240" x14ac:dyDescent="0.25">
      <c r="C47" s="39"/>
      <c r="D47" s="39"/>
      <c r="E47" s="39"/>
      <c r="F47" s="39"/>
      <c r="G47" s="39"/>
      <c r="H47" s="39"/>
      <c r="I47" s="39"/>
    </row>
    <row r="48" spans="1:240" x14ac:dyDescent="0.25">
      <c r="C48" s="39"/>
      <c r="D48" s="39"/>
      <c r="E48" s="39"/>
      <c r="F48" s="39"/>
      <c r="G48" s="39"/>
      <c r="H48" s="39"/>
      <c r="I48" s="39"/>
    </row>
    <row r="49" spans="3:29" x14ac:dyDescent="0.25">
      <c r="C49" s="39"/>
      <c r="D49" s="39"/>
      <c r="E49" s="39"/>
      <c r="F49" s="39"/>
      <c r="G49" s="39"/>
      <c r="H49" s="39"/>
      <c r="I49" s="39"/>
      <c r="L49">
        <v>10000</v>
      </c>
    </row>
    <row r="50" spans="3:29" x14ac:dyDescent="0.25">
      <c r="C50" s="105" t="s">
        <v>137</v>
      </c>
      <c r="L50">
        <v>6500</v>
      </c>
    </row>
    <row r="51" spans="3:29" x14ac:dyDescent="0.25">
      <c r="C51" t="s">
        <v>915</v>
      </c>
      <c r="D51">
        <v>10</v>
      </c>
      <c r="L51">
        <v>200</v>
      </c>
      <c r="AC51">
        <f>470+150</f>
        <v>620</v>
      </c>
    </row>
    <row r="52" spans="3:29" x14ac:dyDescent="0.25">
      <c r="L52">
        <v>45</v>
      </c>
    </row>
    <row r="53" spans="3:29" x14ac:dyDescent="0.25">
      <c r="L53">
        <v>12</v>
      </c>
    </row>
    <row r="54" spans="3:29" x14ac:dyDescent="0.25">
      <c r="L54">
        <v>14</v>
      </c>
    </row>
    <row r="55" spans="3:29" x14ac:dyDescent="0.25">
      <c r="L55">
        <v>0.9</v>
      </c>
    </row>
    <row r="56" spans="3:29" x14ac:dyDescent="0.25">
      <c r="L56">
        <v>11</v>
      </c>
    </row>
    <row r="57" spans="3:29" x14ac:dyDescent="0.25">
      <c r="L57">
        <f>SUM(L49:L56)</f>
        <v>16782.900000000001</v>
      </c>
    </row>
    <row r="60" spans="3:29" x14ac:dyDescent="0.25">
      <c r="Z60">
        <v>2</v>
      </c>
      <c r="AA60" t="s">
        <v>958</v>
      </c>
    </row>
    <row r="61" spans="3:29" x14ac:dyDescent="0.25">
      <c r="Z61">
        <v>2</v>
      </c>
      <c r="AA61" t="s">
        <v>959</v>
      </c>
    </row>
    <row r="69" spans="3:38" ht="30" customHeight="1" x14ac:dyDescent="0.25"/>
    <row r="72" spans="3:38" x14ac:dyDescent="0.25">
      <c r="C72" s="98" t="s">
        <v>118</v>
      </c>
      <c r="D72">
        <f>5050+180</f>
        <v>5230</v>
      </c>
      <c r="E72">
        <v>140</v>
      </c>
      <c r="F72">
        <f>-310+70+80</f>
        <v>-160</v>
      </c>
      <c r="G72">
        <f>8000+1340-200</f>
        <v>9140</v>
      </c>
    </row>
    <row r="73" spans="3:38" x14ac:dyDescent="0.25">
      <c r="C73" t="s">
        <v>119</v>
      </c>
      <c r="D73">
        <v>6500</v>
      </c>
      <c r="E73">
        <v>6500</v>
      </c>
      <c r="F73">
        <v>6500</v>
      </c>
      <c r="G73">
        <v>6500</v>
      </c>
    </row>
    <row r="74" spans="3:38" x14ac:dyDescent="0.25">
      <c r="C74" t="s">
        <v>120</v>
      </c>
      <c r="D74">
        <v>33280</v>
      </c>
      <c r="E74">
        <v>33280</v>
      </c>
      <c r="F74">
        <f>38060-1480</f>
        <v>36580</v>
      </c>
      <c r="G74">
        <v>27560</v>
      </c>
    </row>
    <row r="75" spans="3:38" x14ac:dyDescent="0.25">
      <c r="C75" t="s">
        <v>123</v>
      </c>
      <c r="D75">
        <v>2960</v>
      </c>
      <c r="E75">
        <v>2960</v>
      </c>
      <c r="F75">
        <f>1150</f>
        <v>1150</v>
      </c>
      <c r="G75">
        <v>1980</v>
      </c>
      <c r="AK75" t="s">
        <v>150</v>
      </c>
      <c r="AL75" t="s">
        <v>151</v>
      </c>
    </row>
    <row r="76" spans="3:38" x14ac:dyDescent="0.25">
      <c r="C76" t="s">
        <v>122</v>
      </c>
      <c r="D76">
        <v>1300</v>
      </c>
      <c r="E76">
        <v>1300</v>
      </c>
      <c r="F76">
        <v>1300</v>
      </c>
      <c r="G76">
        <v>1300</v>
      </c>
      <c r="AK76" t="s">
        <v>152</v>
      </c>
    </row>
    <row r="77" spans="3:38" x14ac:dyDescent="0.25">
      <c r="C77" t="s">
        <v>127</v>
      </c>
      <c r="D77">
        <v>-9815</v>
      </c>
      <c r="E77">
        <v>-4815</v>
      </c>
      <c r="F77">
        <v>-4815</v>
      </c>
      <c r="G77">
        <v>-4815</v>
      </c>
    </row>
    <row r="78" spans="3:38" x14ac:dyDescent="0.25">
      <c r="C78" t="s">
        <v>128</v>
      </c>
      <c r="AK78" t="s">
        <v>153</v>
      </c>
    </row>
    <row r="80" spans="3:38" x14ac:dyDescent="0.25">
      <c r="D80">
        <f>SUM(D72:D79)</f>
        <v>39455</v>
      </c>
      <c r="E80">
        <f>SUM(E72:E77)</f>
        <v>39365</v>
      </c>
      <c r="F80">
        <f>SUM(F72:F77)</f>
        <v>40555</v>
      </c>
      <c r="G80">
        <f>SUM(G72:G77)</f>
        <v>41665</v>
      </c>
    </row>
    <row r="81" spans="3:37" x14ac:dyDescent="0.25">
      <c r="C81" t="s">
        <v>124</v>
      </c>
      <c r="D81">
        <v>100</v>
      </c>
      <c r="E81">
        <v>100</v>
      </c>
      <c r="F81">
        <v>100</v>
      </c>
      <c r="G81">
        <v>100</v>
      </c>
      <c r="AK81">
        <v>24005</v>
      </c>
    </row>
    <row r="82" spans="3:37" x14ac:dyDescent="0.25">
      <c r="C82" t="s">
        <v>125</v>
      </c>
      <c r="D82">
        <f>+D80-D81</f>
        <v>39355</v>
      </c>
      <c r="E82">
        <f>+E80-E81</f>
        <v>39265</v>
      </c>
      <c r="F82">
        <f>+F80-F81</f>
        <v>40455</v>
      </c>
      <c r="G82">
        <f>+G80-G81</f>
        <v>41565</v>
      </c>
      <c r="AK82">
        <v>-24080</v>
      </c>
    </row>
    <row r="83" spans="3:37" x14ac:dyDescent="0.25">
      <c r="G83">
        <f>+G82-F82</f>
        <v>1110</v>
      </c>
      <c r="AK83">
        <f>SUM(AK81:AK82)</f>
        <v>-75</v>
      </c>
    </row>
  </sheetData>
  <mergeCells count="7">
    <mergeCell ref="AC2:AD2"/>
    <mergeCell ref="A4:A15"/>
    <mergeCell ref="A16:A39"/>
    <mergeCell ref="D2:J2"/>
    <mergeCell ref="K2:Q2"/>
    <mergeCell ref="R2:V2"/>
    <mergeCell ref="W2:AA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7D5-783D-403F-8BC4-7FE4EC16302C}">
  <dimension ref="D2:P5459"/>
  <sheetViews>
    <sheetView showGridLines="0" topLeftCell="E5366" zoomScale="71" zoomScaleNormal="71" workbookViewId="0">
      <selection activeCell="J5418" sqref="J5418"/>
    </sheetView>
  </sheetViews>
  <sheetFormatPr baseColWidth="10" defaultRowHeight="15" x14ac:dyDescent="0.25"/>
  <cols>
    <col min="3" max="3" width="6.140625" customWidth="1"/>
    <col min="4" max="4" width="11.42578125" hidden="1" customWidth="1"/>
    <col min="5" max="5" width="13.42578125" bestFit="1" customWidth="1"/>
    <col min="6" max="6" width="82.5703125" customWidth="1"/>
    <col min="7" max="7" width="65.85546875" customWidth="1"/>
    <col min="8" max="8" width="20.5703125" customWidth="1"/>
    <col min="9" max="9" width="16.28515625" customWidth="1"/>
    <col min="10" max="10" width="71.140625" customWidth="1"/>
    <col min="11" max="11" width="51.7109375" customWidth="1"/>
    <col min="12" max="12" width="32.7109375" customWidth="1"/>
    <col min="13" max="13" width="37" customWidth="1"/>
    <col min="14" max="14" width="15.7109375" customWidth="1"/>
    <col min="15" max="15" width="18" customWidth="1"/>
  </cols>
  <sheetData>
    <row r="2" spans="5:15" ht="18.75" x14ac:dyDescent="0.3">
      <c r="E2" s="314" t="s">
        <v>205</v>
      </c>
      <c r="F2" s="315"/>
      <c r="G2" s="315"/>
      <c r="H2" s="315"/>
      <c r="I2" s="315"/>
      <c r="J2" s="315"/>
      <c r="K2" s="315"/>
      <c r="L2" s="315"/>
      <c r="M2" s="315"/>
      <c r="N2" s="315"/>
      <c r="O2" s="328"/>
    </row>
    <row r="3" spans="5:15" x14ac:dyDescent="0.25"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</row>
    <row r="4" spans="5:15" ht="15.75" x14ac:dyDescent="0.25">
      <c r="E4" s="118" t="s">
        <v>223</v>
      </c>
      <c r="F4" s="118" t="s">
        <v>206</v>
      </c>
      <c r="G4" s="118" t="s">
        <v>207</v>
      </c>
      <c r="H4" s="118" t="s">
        <v>218</v>
      </c>
      <c r="I4" s="78"/>
      <c r="J4" s="78"/>
      <c r="K4" s="78"/>
      <c r="L4" s="120" t="s">
        <v>6</v>
      </c>
      <c r="M4" s="120" t="s">
        <v>217</v>
      </c>
      <c r="N4" s="120" t="s">
        <v>207</v>
      </c>
      <c r="O4" s="120" t="s">
        <v>218</v>
      </c>
    </row>
    <row r="5" spans="5:15" x14ac:dyDescent="0.25">
      <c r="E5" s="117">
        <v>46087</v>
      </c>
      <c r="F5" s="78" t="s">
        <v>212</v>
      </c>
      <c r="G5" s="78" t="s">
        <v>208</v>
      </c>
      <c r="H5" s="119">
        <v>13260</v>
      </c>
      <c r="I5" s="78"/>
      <c r="J5" s="78"/>
      <c r="K5" s="78"/>
      <c r="L5" s="117">
        <v>46084</v>
      </c>
      <c r="M5" s="78" t="s">
        <v>216</v>
      </c>
      <c r="N5" s="78" t="s">
        <v>219</v>
      </c>
      <c r="O5" s="119">
        <v>5680</v>
      </c>
    </row>
    <row r="6" spans="5:15" x14ac:dyDescent="0.25">
      <c r="E6" s="117">
        <v>46087</v>
      </c>
      <c r="F6" s="78" t="s">
        <v>148</v>
      </c>
      <c r="G6" s="78" t="s">
        <v>209</v>
      </c>
      <c r="H6" s="119">
        <v>6420</v>
      </c>
      <c r="I6" s="78"/>
      <c r="J6" s="78"/>
      <c r="K6" s="78"/>
      <c r="L6" s="78"/>
      <c r="M6" s="78"/>
      <c r="N6" s="78"/>
      <c r="O6" s="119"/>
    </row>
    <row r="7" spans="5:15" x14ac:dyDescent="0.25">
      <c r="E7" s="117">
        <v>46087</v>
      </c>
      <c r="F7" s="78" t="s">
        <v>213</v>
      </c>
      <c r="G7" s="78" t="s">
        <v>210</v>
      </c>
      <c r="H7" s="119">
        <v>4480</v>
      </c>
      <c r="I7" s="78"/>
      <c r="J7" s="78"/>
      <c r="K7" s="78"/>
      <c r="L7" s="117">
        <v>46087</v>
      </c>
      <c r="M7" s="78" t="s">
        <v>220</v>
      </c>
      <c r="N7" s="78" t="s">
        <v>221</v>
      </c>
      <c r="O7" s="119">
        <v>2210</v>
      </c>
    </row>
    <row r="8" spans="5:15" x14ac:dyDescent="0.25">
      <c r="E8" s="117">
        <v>46087</v>
      </c>
      <c r="F8" s="78" t="s">
        <v>214</v>
      </c>
      <c r="G8" s="78" t="s">
        <v>211</v>
      </c>
      <c r="H8" s="119">
        <v>4100</v>
      </c>
      <c r="I8" s="78"/>
      <c r="J8" s="78"/>
      <c r="K8" s="78"/>
      <c r="L8" s="117">
        <v>46037</v>
      </c>
      <c r="M8" s="78"/>
      <c r="N8" s="78" t="s">
        <v>222</v>
      </c>
      <c r="O8" s="119">
        <v>2120</v>
      </c>
    </row>
    <row r="9" spans="5:15" x14ac:dyDescent="0.25">
      <c r="E9" s="117">
        <v>46087</v>
      </c>
      <c r="F9" s="78"/>
      <c r="G9" s="78"/>
      <c r="H9" s="119"/>
      <c r="I9" s="78"/>
      <c r="J9" s="78"/>
      <c r="K9" s="78"/>
      <c r="L9" s="117">
        <v>46092</v>
      </c>
      <c r="M9" s="78" t="s">
        <v>238</v>
      </c>
      <c r="N9" s="78"/>
      <c r="O9" s="78">
        <f>4500*0.8</f>
        <v>3600</v>
      </c>
    </row>
    <row r="10" spans="5:15" x14ac:dyDescent="0.25">
      <c r="E10" s="117">
        <v>46087</v>
      </c>
      <c r="F10" s="78" t="s">
        <v>215</v>
      </c>
      <c r="G10" s="78"/>
      <c r="H10" s="119">
        <v>1255.8</v>
      </c>
      <c r="I10" s="78"/>
      <c r="J10" s="78"/>
      <c r="K10" s="78"/>
      <c r="L10" s="78"/>
      <c r="M10" s="78"/>
      <c r="N10" s="78"/>
      <c r="O10" s="78"/>
    </row>
    <row r="11" spans="5:15" x14ac:dyDescent="0.25"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</row>
    <row r="12" spans="5:15" ht="18.75" x14ac:dyDescent="0.3">
      <c r="E12" s="78"/>
      <c r="F12" s="78"/>
      <c r="G12" s="78"/>
      <c r="H12" s="122">
        <f>SUM(H5:H11)</f>
        <v>29515.8</v>
      </c>
      <c r="I12" s="78"/>
      <c r="J12" s="78"/>
      <c r="K12" s="78"/>
      <c r="L12" s="78"/>
      <c r="M12" s="126" t="s">
        <v>226</v>
      </c>
      <c r="N12" s="126"/>
      <c r="O12" s="127">
        <f>SUM(O5:O11)</f>
        <v>13610</v>
      </c>
    </row>
    <row r="15" spans="5:15" x14ac:dyDescent="0.25">
      <c r="F15" s="101" t="s">
        <v>224</v>
      </c>
      <c r="H15" s="101">
        <v>29217.91</v>
      </c>
    </row>
    <row r="18" spans="5:12" ht="18.75" x14ac:dyDescent="0.3">
      <c r="G18" s="99" t="s">
        <v>225</v>
      </c>
      <c r="H18" s="125">
        <f>SUM(H12+H15)</f>
        <v>58733.71</v>
      </c>
    </row>
    <row r="22" spans="5:12" ht="15.75" x14ac:dyDescent="0.25">
      <c r="J22" s="128" t="s">
        <v>227</v>
      </c>
      <c r="L22" s="124">
        <f>H18-O12</f>
        <v>45123.71</v>
      </c>
    </row>
    <row r="23" spans="5:12" ht="15.75" x14ac:dyDescent="0.25">
      <c r="L23" s="89"/>
    </row>
    <row r="24" spans="5:12" ht="15.75" x14ac:dyDescent="0.25">
      <c r="J24" s="128" t="s">
        <v>228</v>
      </c>
      <c r="L24" s="124">
        <v>3050.7</v>
      </c>
    </row>
    <row r="25" spans="5:12" ht="15.75" x14ac:dyDescent="0.25">
      <c r="J25" s="135">
        <v>46092</v>
      </c>
      <c r="L25" s="121">
        <v>7706.59</v>
      </c>
    </row>
    <row r="26" spans="5:12" ht="15.75" x14ac:dyDescent="0.25">
      <c r="J26" s="135"/>
      <c r="L26" s="121"/>
    </row>
    <row r="27" spans="5:12" ht="15.75" x14ac:dyDescent="0.25">
      <c r="F27" s="130" t="s">
        <v>235</v>
      </c>
      <c r="G27" s="131">
        <v>3050.7</v>
      </c>
      <c r="J27" s="135"/>
      <c r="L27" s="121"/>
    </row>
    <row r="29" spans="5:12" ht="18.75" x14ac:dyDescent="0.3">
      <c r="E29" s="129">
        <v>46092</v>
      </c>
      <c r="F29" t="s">
        <v>239</v>
      </c>
      <c r="G29" s="121">
        <v>7706.59</v>
      </c>
      <c r="L29" s="125">
        <f>SUM(L22:L28)</f>
        <v>55881</v>
      </c>
    </row>
    <row r="31" spans="5:12" ht="15.75" x14ac:dyDescent="0.25">
      <c r="E31" s="129">
        <v>46092</v>
      </c>
      <c r="F31" s="132" t="s">
        <v>236</v>
      </c>
      <c r="G31" s="133">
        <f>SUM(G27:G30)</f>
        <v>10757.29</v>
      </c>
      <c r="L31" s="121"/>
    </row>
    <row r="33" spans="5:15" x14ac:dyDescent="0.25">
      <c r="O33" s="121"/>
    </row>
    <row r="44" spans="5:15" ht="18.75" x14ac:dyDescent="0.3">
      <c r="E44" s="314" t="s">
        <v>205</v>
      </c>
      <c r="F44" s="315"/>
      <c r="G44" s="315"/>
      <c r="H44" s="315"/>
      <c r="I44" s="315"/>
      <c r="J44" s="315"/>
      <c r="K44" s="315"/>
      <c r="L44" s="315"/>
      <c r="M44" s="315"/>
    </row>
    <row r="45" spans="5:15" x14ac:dyDescent="0.25">
      <c r="E45" s="78"/>
      <c r="F45" s="78"/>
      <c r="G45" s="78"/>
      <c r="H45" s="78"/>
      <c r="I45" s="78"/>
      <c r="J45" s="78"/>
      <c r="K45" s="78"/>
      <c r="L45" s="78"/>
      <c r="M45" s="78"/>
    </row>
    <row r="46" spans="5:15" ht="15.75" x14ac:dyDescent="0.25">
      <c r="E46" s="118" t="s">
        <v>223</v>
      </c>
      <c r="F46" s="118" t="s">
        <v>206</v>
      </c>
      <c r="G46" s="118" t="s">
        <v>207</v>
      </c>
      <c r="H46" s="118" t="s">
        <v>218</v>
      </c>
      <c r="I46" s="78"/>
      <c r="J46" s="120" t="s">
        <v>6</v>
      </c>
      <c r="K46" s="120" t="s">
        <v>217</v>
      </c>
      <c r="L46" s="120" t="s">
        <v>207</v>
      </c>
      <c r="M46" s="120" t="s">
        <v>218</v>
      </c>
    </row>
    <row r="47" spans="5:15" x14ac:dyDescent="0.25">
      <c r="E47" s="117">
        <v>46087</v>
      </c>
      <c r="F47" s="78" t="s">
        <v>212</v>
      </c>
      <c r="G47" s="78" t="s">
        <v>208</v>
      </c>
      <c r="H47" s="119">
        <v>13260</v>
      </c>
      <c r="I47" s="78"/>
      <c r="J47" s="117">
        <v>46084</v>
      </c>
      <c r="K47" s="78" t="s">
        <v>216</v>
      </c>
      <c r="L47" s="78" t="s">
        <v>219</v>
      </c>
      <c r="M47" s="119">
        <v>5680</v>
      </c>
    </row>
    <row r="48" spans="5:15" x14ac:dyDescent="0.25">
      <c r="E48" s="117">
        <v>46087</v>
      </c>
      <c r="F48" s="78" t="s">
        <v>148</v>
      </c>
      <c r="G48" s="78" t="s">
        <v>209</v>
      </c>
      <c r="H48" s="119">
        <v>6420</v>
      </c>
      <c r="I48" s="78"/>
      <c r="J48" s="117">
        <v>46087</v>
      </c>
      <c r="K48" s="78" t="s">
        <v>220</v>
      </c>
      <c r="L48" s="78" t="s">
        <v>221</v>
      </c>
      <c r="M48" s="119">
        <v>2210</v>
      </c>
    </row>
    <row r="49" spans="5:13" x14ac:dyDescent="0.25">
      <c r="E49" s="117">
        <v>46087</v>
      </c>
      <c r="F49" s="78" t="s">
        <v>213</v>
      </c>
      <c r="G49" s="78" t="s">
        <v>210</v>
      </c>
      <c r="H49" s="119">
        <v>4480</v>
      </c>
      <c r="I49" s="78"/>
      <c r="J49" s="117">
        <v>46037</v>
      </c>
      <c r="K49" s="78"/>
      <c r="L49" s="78" t="s">
        <v>222</v>
      </c>
      <c r="M49" s="119">
        <v>2120</v>
      </c>
    </row>
    <row r="50" spans="5:13" x14ac:dyDescent="0.25">
      <c r="E50" s="117">
        <v>46087</v>
      </c>
      <c r="F50" s="78" t="s">
        <v>214</v>
      </c>
      <c r="G50" s="78" t="s">
        <v>211</v>
      </c>
      <c r="H50" s="119">
        <v>4100</v>
      </c>
      <c r="I50" s="78"/>
      <c r="J50" s="117">
        <v>46093</v>
      </c>
      <c r="K50" s="78" t="s">
        <v>248</v>
      </c>
      <c r="L50" s="78" t="s">
        <v>247</v>
      </c>
      <c r="M50" s="119">
        <f>5000*0.6</f>
        <v>3000</v>
      </c>
    </row>
    <row r="51" spans="5:13" x14ac:dyDescent="0.25">
      <c r="E51" s="117">
        <v>46087</v>
      </c>
      <c r="F51" s="78" t="s">
        <v>215</v>
      </c>
      <c r="G51" s="78"/>
      <c r="H51" s="119">
        <v>1255.8</v>
      </c>
      <c r="I51" s="78"/>
      <c r="J51" s="78"/>
      <c r="K51" s="78"/>
      <c r="L51" s="78"/>
      <c r="M51" s="78"/>
    </row>
    <row r="52" spans="5:13" ht="18.75" x14ac:dyDescent="0.3">
      <c r="E52" s="78"/>
      <c r="F52" s="78"/>
      <c r="G52" s="78"/>
      <c r="H52" s="78"/>
      <c r="I52" s="78"/>
      <c r="J52" s="78"/>
      <c r="K52" s="126" t="s">
        <v>226</v>
      </c>
      <c r="L52" s="126"/>
      <c r="M52" s="127">
        <f>SUM(M47:M51)</f>
        <v>13010</v>
      </c>
    </row>
    <row r="53" spans="5:13" x14ac:dyDescent="0.25">
      <c r="E53" s="78"/>
      <c r="F53" s="78"/>
      <c r="G53" s="78"/>
      <c r="H53" s="122">
        <f>SUM(H47:H52)</f>
        <v>29515.8</v>
      </c>
      <c r="I53" s="78"/>
    </row>
    <row r="56" spans="5:13" x14ac:dyDescent="0.25">
      <c r="G56" s="101" t="s">
        <v>224</v>
      </c>
      <c r="H56" s="101">
        <v>28147.41</v>
      </c>
    </row>
    <row r="59" spans="5:13" ht="18.75" x14ac:dyDescent="0.3">
      <c r="G59" s="99" t="s">
        <v>225</v>
      </c>
      <c r="H59" s="125">
        <f>SUM(H53+H56)</f>
        <v>57663.21</v>
      </c>
    </row>
    <row r="62" spans="5:13" ht="15.75" x14ac:dyDescent="0.25">
      <c r="J62" s="316" t="s">
        <v>227</v>
      </c>
      <c r="K62" s="317"/>
      <c r="L62" s="140">
        <f>H59-M52</f>
        <v>44653.21</v>
      </c>
    </row>
    <row r="63" spans="5:13" ht="15.75" x14ac:dyDescent="0.25">
      <c r="L63" s="89"/>
    </row>
    <row r="64" spans="5:13" ht="15.75" x14ac:dyDescent="0.25">
      <c r="J64" s="128" t="s">
        <v>243</v>
      </c>
      <c r="L64" s="124">
        <v>3050.7</v>
      </c>
    </row>
    <row r="65" spans="5:15" ht="15.75" x14ac:dyDescent="0.25">
      <c r="J65" s="135">
        <v>46092</v>
      </c>
      <c r="L65" s="121">
        <v>7706.59</v>
      </c>
    </row>
    <row r="66" spans="5:15" ht="15.75" x14ac:dyDescent="0.25">
      <c r="J66" s="142" t="s">
        <v>242</v>
      </c>
      <c r="L66" s="144">
        <v>-3600</v>
      </c>
    </row>
    <row r="67" spans="5:15" ht="15.75" x14ac:dyDescent="0.25">
      <c r="J67" s="135">
        <v>46093</v>
      </c>
      <c r="L67" s="121">
        <v>4704</v>
      </c>
    </row>
    <row r="68" spans="5:15" ht="15.75" x14ac:dyDescent="0.25">
      <c r="F68" s="130" t="s">
        <v>235</v>
      </c>
      <c r="G68" s="131">
        <v>3050.7</v>
      </c>
    </row>
    <row r="69" spans="5:15" ht="18.75" x14ac:dyDescent="0.3">
      <c r="J69" s="136" t="s">
        <v>240</v>
      </c>
      <c r="K69" s="52"/>
      <c r="L69" s="137">
        <f>SUM(L62:L68)</f>
        <v>56514.5</v>
      </c>
    </row>
    <row r="70" spans="5:15" x14ac:dyDescent="0.25">
      <c r="E70" s="141">
        <v>46092</v>
      </c>
      <c r="F70" t="s">
        <v>239</v>
      </c>
      <c r="G70" s="121">
        <v>7706.59</v>
      </c>
    </row>
    <row r="71" spans="5:15" x14ac:dyDescent="0.25">
      <c r="E71" s="141">
        <v>46093</v>
      </c>
      <c r="F71" s="139" t="s">
        <v>241</v>
      </c>
      <c r="G71" s="138">
        <v>-3600</v>
      </c>
      <c r="K71" t="s">
        <v>76</v>
      </c>
      <c r="L71" s="121">
        <v>55881</v>
      </c>
    </row>
    <row r="72" spans="5:15" x14ac:dyDescent="0.25">
      <c r="E72" s="141">
        <v>46093</v>
      </c>
      <c r="F72" t="s">
        <v>239</v>
      </c>
      <c r="G72" s="121">
        <v>4704</v>
      </c>
    </row>
    <row r="73" spans="5:15" x14ac:dyDescent="0.25">
      <c r="F73" t="s">
        <v>250</v>
      </c>
      <c r="G73" s="121">
        <v>-300</v>
      </c>
      <c r="L73" s="143">
        <f>L69-L71</f>
        <v>633.5</v>
      </c>
    </row>
    <row r="75" spans="5:15" ht="15.75" x14ac:dyDescent="0.25">
      <c r="F75" s="132" t="s">
        <v>236</v>
      </c>
      <c r="G75" s="133">
        <f>SUM(G68:G74)</f>
        <v>11561.29</v>
      </c>
      <c r="O75" s="121"/>
    </row>
    <row r="85" spans="5:13" ht="18.75" x14ac:dyDescent="0.3">
      <c r="E85" s="314" t="s">
        <v>205</v>
      </c>
      <c r="F85" s="315"/>
      <c r="G85" s="315"/>
      <c r="H85" s="315"/>
      <c r="I85" s="315"/>
      <c r="J85" s="315"/>
      <c r="K85" s="315"/>
      <c r="L85" s="315"/>
      <c r="M85" s="315"/>
    </row>
    <row r="86" spans="5:13" x14ac:dyDescent="0.25">
      <c r="E86" s="78"/>
      <c r="F86" s="78"/>
      <c r="G86" s="78"/>
      <c r="H86" s="78"/>
      <c r="I86" s="78"/>
      <c r="J86" s="78"/>
      <c r="K86" s="78"/>
      <c r="L86" s="78"/>
      <c r="M86" s="78"/>
    </row>
    <row r="87" spans="5:13" ht="15.75" x14ac:dyDescent="0.25">
      <c r="E87" s="118" t="s">
        <v>223</v>
      </c>
      <c r="F87" s="118" t="s">
        <v>206</v>
      </c>
      <c r="G87" s="118" t="s">
        <v>207</v>
      </c>
      <c r="H87" s="118" t="s">
        <v>218</v>
      </c>
      <c r="I87" s="78"/>
      <c r="J87" s="120" t="s">
        <v>6</v>
      </c>
      <c r="K87" s="120" t="s">
        <v>217</v>
      </c>
      <c r="L87" s="120" t="s">
        <v>207</v>
      </c>
      <c r="M87" s="120" t="s">
        <v>218</v>
      </c>
    </row>
    <row r="88" spans="5:13" x14ac:dyDescent="0.25">
      <c r="E88" s="117">
        <v>46087</v>
      </c>
      <c r="F88" s="78" t="s">
        <v>212</v>
      </c>
      <c r="G88" s="78" t="s">
        <v>208</v>
      </c>
      <c r="H88" s="119">
        <v>13260</v>
      </c>
      <c r="I88" s="78"/>
      <c r="J88" s="117">
        <v>46084</v>
      </c>
      <c r="K88" s="78" t="s">
        <v>216</v>
      </c>
      <c r="L88" s="78" t="s">
        <v>219</v>
      </c>
      <c r="M88" s="119">
        <v>5680</v>
      </c>
    </row>
    <row r="89" spans="5:13" x14ac:dyDescent="0.25">
      <c r="E89" s="117">
        <v>46087</v>
      </c>
      <c r="F89" s="78" t="s">
        <v>148</v>
      </c>
      <c r="G89" s="78" t="s">
        <v>209</v>
      </c>
      <c r="H89" s="119">
        <v>6420</v>
      </c>
      <c r="I89" s="78"/>
      <c r="J89" s="117">
        <v>46087</v>
      </c>
      <c r="K89" s="78" t="s">
        <v>220</v>
      </c>
      <c r="L89" s="78" t="s">
        <v>221</v>
      </c>
      <c r="M89" s="119">
        <v>2210</v>
      </c>
    </row>
    <row r="90" spans="5:13" x14ac:dyDescent="0.25">
      <c r="E90" s="117">
        <v>46087</v>
      </c>
      <c r="F90" s="78" t="s">
        <v>213</v>
      </c>
      <c r="G90" s="78" t="s">
        <v>254</v>
      </c>
      <c r="H90" s="119">
        <v>2500</v>
      </c>
      <c r="I90" s="78"/>
      <c r="J90" s="117">
        <v>46037</v>
      </c>
      <c r="K90" s="78"/>
      <c r="L90" s="78" t="s">
        <v>222</v>
      </c>
      <c r="M90" s="119">
        <v>2120</v>
      </c>
    </row>
    <row r="91" spans="5:13" x14ac:dyDescent="0.25">
      <c r="E91" s="117">
        <v>46087</v>
      </c>
      <c r="F91" s="78" t="s">
        <v>214</v>
      </c>
      <c r="G91" s="78" t="s">
        <v>211</v>
      </c>
      <c r="H91" s="119">
        <v>4100</v>
      </c>
      <c r="I91" s="78"/>
      <c r="J91" s="117">
        <v>46093</v>
      </c>
      <c r="K91" s="78" t="s">
        <v>248</v>
      </c>
      <c r="L91" s="78" t="s">
        <v>247</v>
      </c>
      <c r="M91" s="119">
        <f>5000*0.6</f>
        <v>3000</v>
      </c>
    </row>
    <row r="92" spans="5:13" x14ac:dyDescent="0.25">
      <c r="E92" s="117">
        <v>46087</v>
      </c>
      <c r="F92" s="78" t="s">
        <v>215</v>
      </c>
      <c r="G92" s="78"/>
      <c r="H92" s="119">
        <v>1255.8</v>
      </c>
      <c r="I92" s="78"/>
      <c r="J92" s="117">
        <v>46094</v>
      </c>
      <c r="K92" s="78" t="s">
        <v>255</v>
      </c>
      <c r="L92" s="78" t="s">
        <v>257</v>
      </c>
      <c r="M92" s="119">
        <v>2300</v>
      </c>
    </row>
    <row r="93" spans="5:13" x14ac:dyDescent="0.25">
      <c r="E93" s="78"/>
      <c r="F93" s="78"/>
      <c r="G93" s="78"/>
      <c r="H93" s="78"/>
      <c r="I93" s="78"/>
      <c r="J93" s="117">
        <v>46094</v>
      </c>
      <c r="K93" s="78" t="s">
        <v>256</v>
      </c>
      <c r="L93" s="78" t="s">
        <v>257</v>
      </c>
      <c r="M93" s="119">
        <v>2200</v>
      </c>
    </row>
    <row r="94" spans="5:13" x14ac:dyDescent="0.25">
      <c r="E94" s="78"/>
      <c r="F94" s="78"/>
      <c r="G94" s="78"/>
      <c r="H94" s="122">
        <f>SUM(H88:H93)</f>
        <v>27535.8</v>
      </c>
      <c r="I94" s="78"/>
      <c r="J94" s="78"/>
      <c r="K94" s="78"/>
      <c r="L94" s="78"/>
      <c r="M94" s="78"/>
    </row>
    <row r="95" spans="5:13" ht="18.75" x14ac:dyDescent="0.3">
      <c r="J95" s="78"/>
      <c r="K95" s="126" t="s">
        <v>226</v>
      </c>
      <c r="L95" s="126"/>
      <c r="M95" s="127">
        <f>SUM(M88:M94)</f>
        <v>17510</v>
      </c>
    </row>
    <row r="97" spans="5:12" x14ac:dyDescent="0.25">
      <c r="G97" s="101" t="s">
        <v>224</v>
      </c>
      <c r="H97" s="101">
        <v>28153.41</v>
      </c>
    </row>
    <row r="100" spans="5:12" ht="18.75" x14ac:dyDescent="0.3">
      <c r="G100" s="99" t="s">
        <v>225</v>
      </c>
      <c r="H100" s="125">
        <f>SUM(H94+H97)</f>
        <v>55689.21</v>
      </c>
    </row>
    <row r="104" spans="5:12" x14ac:dyDescent="0.25">
      <c r="E104" s="121"/>
    </row>
    <row r="105" spans="5:12" ht="15.75" x14ac:dyDescent="0.25">
      <c r="J105" s="316" t="s">
        <v>227</v>
      </c>
      <c r="K105" s="317"/>
      <c r="L105" s="140">
        <f>H100-M95</f>
        <v>38179.21</v>
      </c>
    </row>
    <row r="106" spans="5:12" ht="15.75" x14ac:dyDescent="0.25">
      <c r="L106" s="89"/>
    </row>
    <row r="107" spans="5:12" ht="15.75" x14ac:dyDescent="0.25">
      <c r="J107" s="128" t="s">
        <v>243</v>
      </c>
      <c r="L107" s="124">
        <v>19088.79</v>
      </c>
    </row>
    <row r="108" spans="5:12" ht="15.75" x14ac:dyDescent="0.25">
      <c r="J108" s="135"/>
      <c r="L108" s="121"/>
    </row>
    <row r="109" spans="5:12" ht="15.75" x14ac:dyDescent="0.25">
      <c r="F109" s="130" t="s">
        <v>235</v>
      </c>
      <c r="G109" s="131">
        <v>3050.7</v>
      </c>
      <c r="J109" s="135"/>
      <c r="K109" s="148"/>
      <c r="L109" s="144"/>
    </row>
    <row r="110" spans="5:12" ht="15.75" x14ac:dyDescent="0.25">
      <c r="J110" s="135"/>
      <c r="L110" s="121"/>
    </row>
    <row r="111" spans="5:12" ht="15.75" x14ac:dyDescent="0.25">
      <c r="E111" s="141">
        <v>46092</v>
      </c>
      <c r="F111" t="s">
        <v>239</v>
      </c>
      <c r="G111" s="121">
        <v>7706.59</v>
      </c>
      <c r="J111" s="135"/>
      <c r="L111" s="121"/>
    </row>
    <row r="112" spans="5:12" ht="15.75" x14ac:dyDescent="0.25">
      <c r="E112" s="141">
        <v>46093</v>
      </c>
      <c r="F112" s="139" t="s">
        <v>241</v>
      </c>
      <c r="G112" s="138">
        <v>-3600</v>
      </c>
      <c r="J112" s="135"/>
      <c r="L112" s="121"/>
    </row>
    <row r="113" spans="5:13" ht="15.75" x14ac:dyDescent="0.25">
      <c r="E113" s="141">
        <v>46093</v>
      </c>
      <c r="F113" t="s">
        <v>239</v>
      </c>
      <c r="G113" s="121">
        <v>4704</v>
      </c>
      <c r="J113" s="135"/>
      <c r="L113" s="121"/>
    </row>
    <row r="114" spans="5:13" x14ac:dyDescent="0.25">
      <c r="E114" s="141">
        <v>46093</v>
      </c>
      <c r="F114" t="s">
        <v>250</v>
      </c>
      <c r="G114" s="121">
        <v>-300</v>
      </c>
    </row>
    <row r="115" spans="5:13" ht="18.75" x14ac:dyDescent="0.3">
      <c r="E115" s="135">
        <v>46094</v>
      </c>
      <c r="F115" t="s">
        <v>258</v>
      </c>
      <c r="G115" s="121">
        <v>1980</v>
      </c>
      <c r="J115" s="136" t="s">
        <v>240</v>
      </c>
      <c r="K115" s="52"/>
      <c r="L115" s="137">
        <f>SUM(L105:L114)</f>
        <v>57268</v>
      </c>
    </row>
    <row r="116" spans="5:13" x14ac:dyDescent="0.25">
      <c r="F116" t="s">
        <v>239</v>
      </c>
      <c r="G116" s="121">
        <v>5547.5</v>
      </c>
    </row>
    <row r="117" spans="5:13" x14ac:dyDescent="0.25">
      <c r="G117" s="121"/>
      <c r="K117" t="s">
        <v>76</v>
      </c>
      <c r="L117" s="121">
        <v>56514.5</v>
      </c>
    </row>
    <row r="119" spans="5:13" ht="15.75" x14ac:dyDescent="0.25">
      <c r="F119" s="132" t="s">
        <v>236</v>
      </c>
      <c r="G119" s="133">
        <f>SUM(G109:G118)</f>
        <v>19088.79</v>
      </c>
      <c r="L119" s="143">
        <f>L115-L117</f>
        <v>753.5</v>
      </c>
    </row>
    <row r="125" spans="5:13" x14ac:dyDescent="0.25">
      <c r="E125" cm="1">
        <f t="array" aca="1" ref="E125" ca="1">E125:N167=E125:M168</f>
        <v>0</v>
      </c>
    </row>
    <row r="127" spans="5:13" ht="18.75" x14ac:dyDescent="0.3">
      <c r="E127" s="314" t="s">
        <v>205</v>
      </c>
      <c r="F127" s="315"/>
      <c r="G127" s="315"/>
      <c r="H127" s="315"/>
      <c r="I127" s="315"/>
      <c r="J127" s="315"/>
      <c r="K127" s="315"/>
      <c r="L127" s="315"/>
      <c r="M127" s="315"/>
    </row>
    <row r="128" spans="5:13" x14ac:dyDescent="0.25">
      <c r="E128" s="78"/>
      <c r="F128" s="78"/>
      <c r="G128" s="78"/>
      <c r="H128" s="78"/>
      <c r="I128" s="78"/>
      <c r="J128" s="78"/>
      <c r="K128" s="78"/>
      <c r="L128" s="78"/>
      <c r="M128" s="78"/>
    </row>
    <row r="129" spans="5:13" ht="15.75" x14ac:dyDescent="0.25">
      <c r="E129" s="118" t="s">
        <v>223</v>
      </c>
      <c r="F129" s="118" t="s">
        <v>206</v>
      </c>
      <c r="G129" s="118" t="s">
        <v>207</v>
      </c>
      <c r="H129" s="118" t="s">
        <v>218</v>
      </c>
      <c r="I129" s="78"/>
      <c r="J129" s="120" t="s">
        <v>6</v>
      </c>
      <c r="K129" s="120" t="s">
        <v>217</v>
      </c>
      <c r="L129" s="120" t="s">
        <v>207</v>
      </c>
      <c r="M129" s="120" t="s">
        <v>218</v>
      </c>
    </row>
    <row r="130" spans="5:13" x14ac:dyDescent="0.25">
      <c r="E130" s="117">
        <v>46087</v>
      </c>
      <c r="F130" s="78" t="s">
        <v>212</v>
      </c>
      <c r="G130" s="78" t="s">
        <v>208</v>
      </c>
      <c r="H130" s="119">
        <v>13260</v>
      </c>
      <c r="I130" s="78"/>
      <c r="J130" s="117">
        <v>46084</v>
      </c>
      <c r="K130" s="78" t="s">
        <v>216</v>
      </c>
      <c r="L130" s="78" t="s">
        <v>219</v>
      </c>
      <c r="M130" s="119">
        <v>5680</v>
      </c>
    </row>
    <row r="131" spans="5:13" x14ac:dyDescent="0.25">
      <c r="E131" s="117">
        <v>46087</v>
      </c>
      <c r="F131" s="78" t="s">
        <v>148</v>
      </c>
      <c r="G131" s="78" t="s">
        <v>209</v>
      </c>
      <c r="H131" s="119">
        <v>6420</v>
      </c>
      <c r="I131" s="78"/>
      <c r="J131" s="117">
        <v>46037</v>
      </c>
      <c r="K131" s="149" t="s">
        <v>66</v>
      </c>
      <c r="L131" s="78" t="s">
        <v>222</v>
      </c>
      <c r="M131" s="119">
        <v>2120</v>
      </c>
    </row>
    <row r="132" spans="5:13" x14ac:dyDescent="0.25">
      <c r="E132" s="117">
        <v>46087</v>
      </c>
      <c r="F132" s="78" t="s">
        <v>213</v>
      </c>
      <c r="G132" s="78" t="s">
        <v>254</v>
      </c>
      <c r="H132" s="119">
        <v>2500</v>
      </c>
      <c r="I132" s="78"/>
      <c r="J132" s="117">
        <v>46093</v>
      </c>
      <c r="K132" s="78" t="s">
        <v>248</v>
      </c>
      <c r="L132" s="78" t="s">
        <v>247</v>
      </c>
      <c r="M132" s="119">
        <f>5000*0.6</f>
        <v>3000</v>
      </c>
    </row>
    <row r="133" spans="5:13" x14ac:dyDescent="0.25">
      <c r="E133" s="117">
        <v>46087</v>
      </c>
      <c r="F133" s="78" t="s">
        <v>214</v>
      </c>
      <c r="G133" s="155" t="s">
        <v>211</v>
      </c>
      <c r="H133" s="156">
        <v>4000</v>
      </c>
      <c r="I133" s="78"/>
      <c r="J133" s="117">
        <v>46094</v>
      </c>
      <c r="K133" s="78" t="s">
        <v>255</v>
      </c>
      <c r="L133" s="78" t="s">
        <v>257</v>
      </c>
      <c r="M133" s="119">
        <v>2300</v>
      </c>
    </row>
    <row r="134" spans="5:13" x14ac:dyDescent="0.25">
      <c r="E134" s="117">
        <v>46087</v>
      </c>
      <c r="F134" s="78" t="s">
        <v>215</v>
      </c>
      <c r="G134" s="78"/>
      <c r="H134" s="119">
        <v>1255.8</v>
      </c>
      <c r="I134" s="78"/>
      <c r="J134" s="117">
        <v>46094</v>
      </c>
      <c r="K134" s="78" t="s">
        <v>256</v>
      </c>
      <c r="L134" s="78" t="s">
        <v>257</v>
      </c>
      <c r="M134" s="119">
        <v>2200</v>
      </c>
    </row>
    <row r="135" spans="5:13" x14ac:dyDescent="0.25">
      <c r="E135" s="117"/>
      <c r="F135" s="78"/>
      <c r="G135" s="78" t="s">
        <v>287</v>
      </c>
      <c r="H135" s="119">
        <v>8731.16</v>
      </c>
      <c r="I135" s="78"/>
      <c r="J135" s="117">
        <v>46095</v>
      </c>
      <c r="K135" s="78" t="s">
        <v>280</v>
      </c>
      <c r="L135" s="78" t="s">
        <v>281</v>
      </c>
      <c r="M135" s="119">
        <v>1840</v>
      </c>
    </row>
    <row r="136" spans="5:13" x14ac:dyDescent="0.25">
      <c r="E136" s="117"/>
      <c r="F136" s="78"/>
      <c r="G136" s="78"/>
      <c r="H136" s="119"/>
      <c r="I136" s="78"/>
      <c r="J136" s="117"/>
      <c r="K136" s="78"/>
      <c r="L136" s="78"/>
      <c r="M136" s="119"/>
    </row>
    <row r="137" spans="5:13" x14ac:dyDescent="0.25">
      <c r="E137" s="78"/>
      <c r="F137" s="78"/>
      <c r="G137" s="78"/>
      <c r="H137" s="78"/>
      <c r="I137" s="78"/>
      <c r="J137" s="78"/>
      <c r="K137" s="78"/>
      <c r="L137" s="78"/>
      <c r="M137" s="78"/>
    </row>
    <row r="138" spans="5:13" ht="18.75" x14ac:dyDescent="0.3">
      <c r="E138" s="78"/>
      <c r="F138" s="78"/>
      <c r="G138" s="78"/>
      <c r="H138" s="122">
        <f>SUM(H130:H137)</f>
        <v>36166.959999999999</v>
      </c>
      <c r="J138" s="78"/>
      <c r="K138" s="126" t="s">
        <v>226</v>
      </c>
      <c r="L138" s="126"/>
      <c r="M138" s="127">
        <f>SUM(M130:M137)</f>
        <v>17140</v>
      </c>
    </row>
    <row r="141" spans="5:13" x14ac:dyDescent="0.25">
      <c r="G141" s="101" t="s">
        <v>224</v>
      </c>
      <c r="H141" s="101">
        <v>22348.23</v>
      </c>
    </row>
    <row r="144" spans="5:13" ht="18.75" x14ac:dyDescent="0.3">
      <c r="G144" s="99" t="s">
        <v>225</v>
      </c>
      <c r="H144" s="125">
        <f>SUM(H138+H141)</f>
        <v>58515.19</v>
      </c>
    </row>
    <row r="148" spans="5:13" ht="15.75" x14ac:dyDescent="0.25">
      <c r="E148" s="121"/>
      <c r="J148" s="316" t="s">
        <v>227</v>
      </c>
      <c r="K148" s="317"/>
      <c r="L148" s="140">
        <f>H144-M138</f>
        <v>41375.19</v>
      </c>
    </row>
    <row r="149" spans="5:13" ht="15.75" x14ac:dyDescent="0.25">
      <c r="L149" s="89"/>
    </row>
    <row r="150" spans="5:13" ht="15.75" x14ac:dyDescent="0.25">
      <c r="J150" s="128" t="s">
        <v>285</v>
      </c>
      <c r="L150" s="124">
        <v>15818.79</v>
      </c>
    </row>
    <row r="152" spans="5:13" ht="18.75" x14ac:dyDescent="0.3">
      <c r="K152" s="158" t="s">
        <v>286</v>
      </c>
      <c r="L152" s="159">
        <f>SUM(L148:L150)</f>
        <v>57193.98</v>
      </c>
    </row>
    <row r="153" spans="5:13" ht="15.75" x14ac:dyDescent="0.25">
      <c r="F153" s="130" t="s">
        <v>235</v>
      </c>
      <c r="G153" s="131">
        <v>3050.7</v>
      </c>
      <c r="L153" s="157">
        <v>-57268</v>
      </c>
      <c r="M153" t="s">
        <v>76</v>
      </c>
    </row>
    <row r="155" spans="5:13" ht="18.75" x14ac:dyDescent="0.3">
      <c r="E155" s="141">
        <v>46092</v>
      </c>
      <c r="F155" t="s">
        <v>239</v>
      </c>
      <c r="G155" s="121">
        <v>7706.59</v>
      </c>
      <c r="L155" s="154">
        <f>SUM(L152:L154)</f>
        <v>-74.019999999996799</v>
      </c>
    </row>
    <row r="156" spans="5:13" x14ac:dyDescent="0.25">
      <c r="E156" s="152">
        <v>46093</v>
      </c>
      <c r="F156" s="150" t="s">
        <v>241</v>
      </c>
      <c r="G156" s="151">
        <v>-3600</v>
      </c>
    </row>
    <row r="157" spans="5:13" x14ac:dyDescent="0.25">
      <c r="E157" s="141">
        <v>46093</v>
      </c>
      <c r="F157" t="s">
        <v>239</v>
      </c>
      <c r="G157" s="121">
        <v>4704</v>
      </c>
    </row>
    <row r="158" spans="5:13" x14ac:dyDescent="0.25">
      <c r="E158" s="141">
        <v>46093</v>
      </c>
      <c r="F158" t="s">
        <v>250</v>
      </c>
      <c r="G158" s="121">
        <v>-300</v>
      </c>
    </row>
    <row r="159" spans="5:13" ht="15.75" x14ac:dyDescent="0.25">
      <c r="E159" s="135">
        <v>46094</v>
      </c>
      <c r="F159" t="s">
        <v>258</v>
      </c>
      <c r="G159" s="121">
        <v>1980</v>
      </c>
    </row>
    <row r="160" spans="5:13" ht="15.75" x14ac:dyDescent="0.25">
      <c r="E160" s="135">
        <v>46094</v>
      </c>
      <c r="F160" t="s">
        <v>239</v>
      </c>
      <c r="G160" s="121">
        <v>5547.5</v>
      </c>
    </row>
    <row r="161" spans="5:14" ht="15.75" x14ac:dyDescent="0.25">
      <c r="E161" s="142">
        <v>46095</v>
      </c>
      <c r="F161" s="150" t="s">
        <v>271</v>
      </c>
      <c r="G161" s="151">
        <v>-2210</v>
      </c>
    </row>
    <row r="162" spans="5:14" ht="15.75" x14ac:dyDescent="0.25">
      <c r="E162" s="142">
        <v>46095</v>
      </c>
      <c r="F162" s="150" t="s">
        <v>272</v>
      </c>
      <c r="G162" s="151">
        <v>-300</v>
      </c>
    </row>
    <row r="163" spans="5:14" ht="15.75" x14ac:dyDescent="0.25">
      <c r="E163" s="153">
        <v>46095</v>
      </c>
      <c r="F163" s="71" t="s">
        <v>273</v>
      </c>
      <c r="G163" s="121">
        <v>250</v>
      </c>
    </row>
    <row r="164" spans="5:14" ht="15.75" x14ac:dyDescent="0.25">
      <c r="E164" s="153">
        <v>46095</v>
      </c>
      <c r="F164" s="71" t="s">
        <v>274</v>
      </c>
      <c r="G164" s="121">
        <v>100</v>
      </c>
    </row>
    <row r="165" spans="5:14" ht="15.75" x14ac:dyDescent="0.25">
      <c r="E165" s="153">
        <v>46095</v>
      </c>
      <c r="F165" s="71" t="s">
        <v>275</v>
      </c>
      <c r="G165" s="121">
        <v>190</v>
      </c>
      <c r="N165" s="121"/>
    </row>
    <row r="166" spans="5:14" ht="15.75" x14ac:dyDescent="0.25">
      <c r="E166" s="153">
        <v>46095</v>
      </c>
      <c r="F166" s="71" t="s">
        <v>276</v>
      </c>
      <c r="G166" s="121">
        <v>20</v>
      </c>
    </row>
    <row r="167" spans="5:14" ht="15.75" x14ac:dyDescent="0.25">
      <c r="E167" s="142">
        <v>46095</v>
      </c>
      <c r="F167" s="150" t="s">
        <v>277</v>
      </c>
      <c r="G167" s="151">
        <v>-440</v>
      </c>
    </row>
    <row r="168" spans="5:14" ht="15.75" x14ac:dyDescent="0.25">
      <c r="E168" s="142">
        <v>46095</v>
      </c>
      <c r="F168" s="150" t="s">
        <v>278</v>
      </c>
      <c r="G168" s="151">
        <v>-320</v>
      </c>
      <c r="J168" s="121"/>
    </row>
    <row r="169" spans="5:14" x14ac:dyDescent="0.25">
      <c r="F169" s="139" t="s">
        <v>282</v>
      </c>
      <c r="G169" s="138">
        <v>-50</v>
      </c>
    </row>
    <row r="170" spans="5:14" x14ac:dyDescent="0.25">
      <c r="F170" s="139" t="s">
        <v>284</v>
      </c>
      <c r="G170" s="138">
        <v>-610</v>
      </c>
    </row>
    <row r="171" spans="5:14" x14ac:dyDescent="0.25">
      <c r="F171" s="71" t="s">
        <v>283</v>
      </c>
      <c r="G171" s="121">
        <v>100</v>
      </c>
    </row>
    <row r="173" spans="5:14" ht="15.75" x14ac:dyDescent="0.25">
      <c r="F173" s="132" t="s">
        <v>236</v>
      </c>
      <c r="G173" s="133">
        <f>SUM(G153:G172)</f>
        <v>15818.79</v>
      </c>
    </row>
    <row r="187" spans="5:13" ht="18.75" x14ac:dyDescent="0.3">
      <c r="E187" s="314" t="s">
        <v>205</v>
      </c>
      <c r="F187" s="315"/>
      <c r="G187" s="315"/>
      <c r="H187" s="315"/>
      <c r="I187" s="315"/>
      <c r="J187" s="315"/>
      <c r="K187" s="315"/>
      <c r="L187" s="315"/>
      <c r="M187" s="315"/>
    </row>
    <row r="188" spans="5:13" x14ac:dyDescent="0.25">
      <c r="E188" s="78"/>
      <c r="F188" s="78"/>
      <c r="G188" s="78"/>
      <c r="H188" s="78"/>
      <c r="I188" s="78"/>
      <c r="J188" s="78"/>
      <c r="K188" s="78"/>
      <c r="L188" s="78"/>
      <c r="M188" s="78"/>
    </row>
    <row r="189" spans="5:13" ht="15.75" x14ac:dyDescent="0.25">
      <c r="E189" s="118" t="s">
        <v>223</v>
      </c>
      <c r="F189" s="118" t="s">
        <v>206</v>
      </c>
      <c r="G189" s="118" t="s">
        <v>207</v>
      </c>
      <c r="H189" s="118" t="s">
        <v>218</v>
      </c>
      <c r="I189" s="78"/>
      <c r="J189" s="120" t="s">
        <v>6</v>
      </c>
      <c r="K189" s="120" t="s">
        <v>217</v>
      </c>
      <c r="L189" s="120" t="s">
        <v>207</v>
      </c>
      <c r="M189" s="120" t="s">
        <v>218</v>
      </c>
    </row>
    <row r="190" spans="5:13" x14ac:dyDescent="0.25">
      <c r="E190" s="117">
        <v>46087</v>
      </c>
      <c r="F190" s="78" t="s">
        <v>212</v>
      </c>
      <c r="G190" s="78" t="s">
        <v>208</v>
      </c>
      <c r="H190" s="119">
        <v>13260</v>
      </c>
      <c r="I190" s="78"/>
      <c r="J190" s="117">
        <v>46084</v>
      </c>
      <c r="K190" s="78" t="s">
        <v>216</v>
      </c>
      <c r="L190" s="78" t="s">
        <v>219</v>
      </c>
      <c r="M190" s="119">
        <v>5680</v>
      </c>
    </row>
    <row r="191" spans="5:13" x14ac:dyDescent="0.25">
      <c r="E191" s="117">
        <v>46087</v>
      </c>
      <c r="F191" s="78" t="s">
        <v>148</v>
      </c>
      <c r="G191" s="78" t="s">
        <v>209</v>
      </c>
      <c r="H191" s="119">
        <v>6420</v>
      </c>
      <c r="I191" s="78"/>
      <c r="J191" s="117">
        <v>46037</v>
      </c>
      <c r="K191" s="149" t="s">
        <v>66</v>
      </c>
      <c r="L191" s="78" t="s">
        <v>222</v>
      </c>
      <c r="M191" s="119">
        <v>2120</v>
      </c>
    </row>
    <row r="192" spans="5:13" x14ac:dyDescent="0.25">
      <c r="E192" s="117">
        <v>46087</v>
      </c>
      <c r="F192" s="78" t="s">
        <v>213</v>
      </c>
      <c r="G192" s="78" t="s">
        <v>254</v>
      </c>
      <c r="H192" s="119">
        <v>2500</v>
      </c>
      <c r="I192" s="78"/>
      <c r="J192" s="117">
        <v>46093</v>
      </c>
      <c r="K192" s="78" t="s">
        <v>248</v>
      </c>
      <c r="L192" s="78" t="s">
        <v>247</v>
      </c>
      <c r="M192" s="119">
        <f>5000*0.6</f>
        <v>3000</v>
      </c>
    </row>
    <row r="193" spans="5:13" x14ac:dyDescent="0.25">
      <c r="E193" s="117">
        <v>46087</v>
      </c>
      <c r="F193" s="78" t="s">
        <v>214</v>
      </c>
      <c r="G193" s="155" t="s">
        <v>211</v>
      </c>
      <c r="H193" s="156">
        <v>4000</v>
      </c>
      <c r="I193" s="78"/>
      <c r="J193" s="117">
        <v>46094</v>
      </c>
      <c r="K193" s="78" t="s">
        <v>255</v>
      </c>
      <c r="L193" s="78" t="s">
        <v>257</v>
      </c>
      <c r="M193" s="119">
        <v>2300</v>
      </c>
    </row>
    <row r="194" spans="5:13" x14ac:dyDescent="0.25">
      <c r="E194" s="117">
        <v>46087</v>
      </c>
      <c r="F194" s="78" t="s">
        <v>215</v>
      </c>
      <c r="G194" s="78"/>
      <c r="H194" s="119">
        <v>1255.8</v>
      </c>
      <c r="I194" s="78"/>
      <c r="J194" s="117">
        <v>46094</v>
      </c>
      <c r="K194" s="78" t="s">
        <v>256</v>
      </c>
      <c r="L194" s="78" t="s">
        <v>257</v>
      </c>
      <c r="M194" s="119">
        <v>2200</v>
      </c>
    </row>
    <row r="195" spans="5:13" x14ac:dyDescent="0.25">
      <c r="E195" s="117">
        <v>46095</v>
      </c>
      <c r="F195" s="78"/>
      <c r="G195" s="78" t="s">
        <v>287</v>
      </c>
      <c r="H195" s="119">
        <v>8731.16</v>
      </c>
      <c r="I195" s="78"/>
      <c r="J195" s="117">
        <v>46095</v>
      </c>
      <c r="K195" s="78" t="s">
        <v>280</v>
      </c>
      <c r="L195" s="78" t="s">
        <v>281</v>
      </c>
      <c r="M195" s="119">
        <v>1840</v>
      </c>
    </row>
    <row r="196" spans="5:13" x14ac:dyDescent="0.25">
      <c r="E196" s="117"/>
      <c r="F196" s="78"/>
      <c r="G196" s="78"/>
      <c r="H196" s="119"/>
      <c r="I196" s="78"/>
      <c r="J196" s="117">
        <v>46097</v>
      </c>
      <c r="K196" s="78" t="s">
        <v>280</v>
      </c>
      <c r="L196" s="78" t="s">
        <v>281</v>
      </c>
      <c r="M196" s="119">
        <v>1840</v>
      </c>
    </row>
    <row r="197" spans="5:13" x14ac:dyDescent="0.25">
      <c r="E197" s="78"/>
      <c r="F197" s="78"/>
      <c r="G197" s="78"/>
      <c r="H197" s="78"/>
      <c r="I197" s="78"/>
      <c r="J197" s="78"/>
      <c r="K197" s="78"/>
      <c r="L197" s="78"/>
      <c r="M197" s="78"/>
    </row>
    <row r="198" spans="5:13" ht="18.75" x14ac:dyDescent="0.3">
      <c r="E198" s="78"/>
      <c r="F198" s="78"/>
      <c r="G198" s="78"/>
      <c r="H198" s="122">
        <f>SUM(H190:H197)</f>
        <v>36166.959999999999</v>
      </c>
      <c r="J198" s="78"/>
      <c r="K198" s="126" t="s">
        <v>226</v>
      </c>
      <c r="L198" s="126"/>
      <c r="M198" s="127">
        <f>SUM(M190:M197)</f>
        <v>18980</v>
      </c>
    </row>
    <row r="201" spans="5:13" x14ac:dyDescent="0.25">
      <c r="G201" s="101" t="s">
        <v>224</v>
      </c>
      <c r="H201" s="101">
        <v>25305.21</v>
      </c>
    </row>
    <row r="204" spans="5:13" ht="18.75" x14ac:dyDescent="0.3">
      <c r="G204" s="99" t="s">
        <v>225</v>
      </c>
      <c r="H204" s="125">
        <f>SUM(H198+H201)</f>
        <v>61472.17</v>
      </c>
    </row>
    <row r="208" spans="5:13" ht="15.75" x14ac:dyDescent="0.25">
      <c r="E208" s="121"/>
      <c r="J208" s="316" t="s">
        <v>227</v>
      </c>
      <c r="K208" s="317"/>
      <c r="L208" s="140">
        <f>H204-M198</f>
        <v>42492.17</v>
      </c>
    </row>
    <row r="209" spans="5:15" ht="15.75" x14ac:dyDescent="0.25">
      <c r="L209" s="89"/>
      <c r="O209" s="121"/>
    </row>
    <row r="210" spans="5:15" ht="15.75" x14ac:dyDescent="0.25">
      <c r="J210" s="128" t="s">
        <v>285</v>
      </c>
      <c r="L210" s="124">
        <f>G221</f>
        <v>15971.39</v>
      </c>
      <c r="O210" s="121"/>
    </row>
    <row r="212" spans="5:15" ht="18.75" x14ac:dyDescent="0.3">
      <c r="K212" s="158" t="s">
        <v>286</v>
      </c>
      <c r="L212" s="137">
        <f>SUM(L208:L210)</f>
        <v>58463.56</v>
      </c>
    </row>
    <row r="213" spans="5:15" ht="15.75" x14ac:dyDescent="0.25">
      <c r="F213" s="130" t="s">
        <v>235</v>
      </c>
      <c r="G213" s="131">
        <v>15818.79</v>
      </c>
      <c r="L213" s="157">
        <v>-57193.98</v>
      </c>
      <c r="M213" s="39" t="s">
        <v>76</v>
      </c>
      <c r="O213" s="121"/>
    </row>
    <row r="215" spans="5:15" ht="18.75" x14ac:dyDescent="0.3">
      <c r="L215" s="154">
        <f>SUM(L212:L214)</f>
        <v>1269.5799999999945</v>
      </c>
    </row>
    <row r="216" spans="5:15" x14ac:dyDescent="0.25">
      <c r="E216" s="91">
        <v>46097</v>
      </c>
      <c r="F216" t="s">
        <v>294</v>
      </c>
      <c r="G216" s="121">
        <v>3552.6</v>
      </c>
    </row>
    <row r="217" spans="5:15" x14ac:dyDescent="0.25">
      <c r="E217" s="161">
        <v>46097</v>
      </c>
      <c r="F217" s="150" t="s">
        <v>293</v>
      </c>
      <c r="G217" s="151">
        <v>-3465</v>
      </c>
    </row>
    <row r="218" spans="5:15" x14ac:dyDescent="0.25">
      <c r="E218" s="91">
        <v>46097</v>
      </c>
      <c r="F218" t="s">
        <v>292</v>
      </c>
      <c r="G218" s="121">
        <v>65</v>
      </c>
    </row>
    <row r="219" spans="5:15" x14ac:dyDescent="0.25">
      <c r="G219" s="121"/>
    </row>
    <row r="220" spans="5:15" x14ac:dyDescent="0.25">
      <c r="G220" s="121"/>
    </row>
    <row r="221" spans="5:15" ht="15.75" x14ac:dyDescent="0.25">
      <c r="F221" s="132" t="s">
        <v>236</v>
      </c>
      <c r="G221" s="133">
        <f>SUM(G213:G220)</f>
        <v>15971.39</v>
      </c>
    </row>
    <row r="233" spans="5:13" ht="18.75" x14ac:dyDescent="0.3">
      <c r="E233" s="314" t="s">
        <v>205</v>
      </c>
      <c r="F233" s="315"/>
      <c r="G233" s="315"/>
      <c r="H233" s="315"/>
      <c r="I233" s="315"/>
      <c r="J233" s="315"/>
      <c r="K233" s="315"/>
      <c r="L233" s="315"/>
      <c r="M233" s="315"/>
    </row>
    <row r="234" spans="5:13" x14ac:dyDescent="0.25">
      <c r="E234" s="78"/>
      <c r="F234" s="78"/>
      <c r="G234" s="78"/>
      <c r="H234" s="78"/>
      <c r="I234" s="78"/>
      <c r="J234" s="78"/>
      <c r="K234" s="78"/>
      <c r="L234" s="78"/>
      <c r="M234" s="78"/>
    </row>
    <row r="235" spans="5:13" ht="15.75" x14ac:dyDescent="0.25">
      <c r="E235" s="118" t="s">
        <v>223</v>
      </c>
      <c r="F235" s="118" t="s">
        <v>206</v>
      </c>
      <c r="G235" s="118" t="s">
        <v>207</v>
      </c>
      <c r="H235" s="118" t="s">
        <v>218</v>
      </c>
      <c r="I235" s="78"/>
      <c r="J235" s="120" t="s">
        <v>6</v>
      </c>
      <c r="K235" s="120" t="s">
        <v>217</v>
      </c>
      <c r="L235" s="120" t="s">
        <v>207</v>
      </c>
      <c r="M235" s="120" t="s">
        <v>218</v>
      </c>
    </row>
    <row r="236" spans="5:13" x14ac:dyDescent="0.25">
      <c r="E236" s="117">
        <v>46087</v>
      </c>
      <c r="F236" s="78" t="s">
        <v>212</v>
      </c>
      <c r="G236" s="78" t="s">
        <v>208</v>
      </c>
      <c r="H236" s="119">
        <v>13260</v>
      </c>
      <c r="I236" s="78"/>
      <c r="J236" s="117">
        <v>46084</v>
      </c>
      <c r="K236" s="78" t="s">
        <v>216</v>
      </c>
      <c r="L236" s="78" t="s">
        <v>219</v>
      </c>
      <c r="M236" s="119">
        <v>5680</v>
      </c>
    </row>
    <row r="237" spans="5:13" x14ac:dyDescent="0.25">
      <c r="E237" s="117">
        <v>46087</v>
      </c>
      <c r="F237" s="78" t="s">
        <v>148</v>
      </c>
      <c r="G237" s="78" t="s">
        <v>209</v>
      </c>
      <c r="H237" s="119">
        <v>6420</v>
      </c>
      <c r="I237" s="78"/>
      <c r="J237" s="117">
        <v>46037</v>
      </c>
      <c r="K237" s="149" t="s">
        <v>66</v>
      </c>
      <c r="L237" s="78" t="s">
        <v>222</v>
      </c>
      <c r="M237" s="119">
        <v>2120</v>
      </c>
    </row>
    <row r="238" spans="5:13" x14ac:dyDescent="0.25">
      <c r="E238" s="117">
        <v>46087</v>
      </c>
      <c r="F238" s="78" t="s">
        <v>213</v>
      </c>
      <c r="G238" s="78" t="s">
        <v>254</v>
      </c>
      <c r="H238" s="119">
        <v>2500</v>
      </c>
      <c r="I238" s="78"/>
      <c r="J238" s="117">
        <v>46093</v>
      </c>
      <c r="K238" s="78" t="s">
        <v>248</v>
      </c>
      <c r="L238" s="78" t="s">
        <v>247</v>
      </c>
      <c r="M238" s="119">
        <f>5000*0.6</f>
        <v>3000</v>
      </c>
    </row>
    <row r="239" spans="5:13" x14ac:dyDescent="0.25">
      <c r="E239" s="117">
        <v>46087</v>
      </c>
      <c r="F239" s="78" t="s">
        <v>214</v>
      </c>
      <c r="G239" s="155" t="s">
        <v>211</v>
      </c>
      <c r="H239" s="156">
        <v>4000</v>
      </c>
      <c r="I239" s="78"/>
      <c r="J239" s="117">
        <v>46094</v>
      </c>
      <c r="K239" s="78" t="s">
        <v>255</v>
      </c>
      <c r="L239" s="78" t="s">
        <v>257</v>
      </c>
      <c r="M239" s="119">
        <v>2300</v>
      </c>
    </row>
    <row r="240" spans="5:13" x14ac:dyDescent="0.25">
      <c r="E240" s="117">
        <v>46087</v>
      </c>
      <c r="F240" s="78" t="s">
        <v>215</v>
      </c>
      <c r="G240" s="78"/>
      <c r="H240" s="119">
        <v>1255.8</v>
      </c>
      <c r="I240" s="78"/>
      <c r="J240" s="117">
        <v>46094</v>
      </c>
      <c r="K240" s="78" t="s">
        <v>256</v>
      </c>
      <c r="L240" s="78" t="s">
        <v>257</v>
      </c>
      <c r="M240" s="119">
        <v>2200</v>
      </c>
    </row>
    <row r="241" spans="5:13" x14ac:dyDescent="0.25">
      <c r="E241" s="117">
        <v>46095</v>
      </c>
      <c r="F241" s="78"/>
      <c r="G241" s="78" t="s">
        <v>287</v>
      </c>
      <c r="H241" s="119">
        <v>8731.16</v>
      </c>
      <c r="I241" s="78"/>
      <c r="J241" s="117">
        <v>46095</v>
      </c>
      <c r="K241" s="78" t="s">
        <v>280</v>
      </c>
      <c r="L241" s="78" t="s">
        <v>281</v>
      </c>
      <c r="M241" s="119">
        <v>1840</v>
      </c>
    </row>
    <row r="242" spans="5:13" x14ac:dyDescent="0.25">
      <c r="E242" s="117"/>
      <c r="F242" s="78"/>
      <c r="G242" s="78"/>
      <c r="H242" s="119"/>
      <c r="I242" s="78"/>
      <c r="J242" s="117">
        <v>46097</v>
      </c>
      <c r="K242" s="78" t="s">
        <v>280</v>
      </c>
      <c r="L242" s="78" t="s">
        <v>281</v>
      </c>
      <c r="M242" s="119">
        <v>1840</v>
      </c>
    </row>
    <row r="243" spans="5:13" x14ac:dyDescent="0.25">
      <c r="E243" s="78"/>
      <c r="F243" s="78"/>
      <c r="G243" s="78"/>
      <c r="H243" s="78"/>
      <c r="I243" s="78"/>
      <c r="J243" s="117"/>
      <c r="K243" s="78"/>
      <c r="L243" s="78"/>
      <c r="M243" s="119"/>
    </row>
    <row r="244" spans="5:13" x14ac:dyDescent="0.25">
      <c r="E244" s="78"/>
      <c r="F244" s="78"/>
      <c r="G244" s="78"/>
      <c r="H244" s="122">
        <f>SUM(H236:H243)</f>
        <v>36166.959999999999</v>
      </c>
      <c r="J244" s="78"/>
      <c r="K244" s="78"/>
      <c r="L244" s="78"/>
      <c r="M244" s="78"/>
    </row>
    <row r="245" spans="5:13" ht="18.75" x14ac:dyDescent="0.3">
      <c r="J245" s="78"/>
      <c r="K245" s="126" t="s">
        <v>226</v>
      </c>
      <c r="L245" s="126"/>
      <c r="M245" s="127">
        <f>SUM(M236:M244)</f>
        <v>18980</v>
      </c>
    </row>
    <row r="247" spans="5:13" x14ac:dyDescent="0.25">
      <c r="G247" s="101" t="s">
        <v>224</v>
      </c>
      <c r="H247" s="101">
        <v>34025.21</v>
      </c>
    </row>
    <row r="250" spans="5:13" ht="18.75" x14ac:dyDescent="0.3">
      <c r="G250" s="99" t="s">
        <v>225</v>
      </c>
      <c r="H250" s="125">
        <f>SUM(H244+H247)</f>
        <v>70192.17</v>
      </c>
    </row>
    <row r="254" spans="5:13" x14ac:dyDescent="0.25">
      <c r="E254" s="121"/>
    </row>
    <row r="255" spans="5:13" ht="15.75" x14ac:dyDescent="0.25">
      <c r="J255" s="316" t="s">
        <v>227</v>
      </c>
      <c r="K255" s="317"/>
      <c r="L255" s="140">
        <f>H250-M245</f>
        <v>51212.17</v>
      </c>
    </row>
    <row r="256" spans="5:13" ht="15.75" x14ac:dyDescent="0.25">
      <c r="L256" s="89"/>
    </row>
    <row r="257" spans="5:13" ht="15.75" x14ac:dyDescent="0.25">
      <c r="J257" s="128" t="s">
        <v>285</v>
      </c>
      <c r="L257" s="124">
        <f>G270</f>
        <v>8231.39</v>
      </c>
    </row>
    <row r="259" spans="5:13" ht="18.75" x14ac:dyDescent="0.3">
      <c r="F259" s="130" t="s">
        <v>235</v>
      </c>
      <c r="G259" s="131">
        <v>15818.79</v>
      </c>
      <c r="K259" s="158" t="s">
        <v>286</v>
      </c>
      <c r="L259" s="137">
        <f>SUM(L255:L257)</f>
        <v>59443.56</v>
      </c>
    </row>
    <row r="260" spans="5:13" x14ac:dyDescent="0.25">
      <c r="L260" s="157">
        <v>58463.56</v>
      </c>
      <c r="M260" s="39" t="s">
        <v>76</v>
      </c>
    </row>
    <row r="262" spans="5:13" ht="18.75" x14ac:dyDescent="0.3">
      <c r="E262" s="91">
        <v>46097</v>
      </c>
      <c r="F262" t="s">
        <v>294</v>
      </c>
      <c r="G262" s="121">
        <v>3552.6</v>
      </c>
      <c r="L262" s="154">
        <f>L259-L260</f>
        <v>980</v>
      </c>
    </row>
    <row r="263" spans="5:13" x14ac:dyDescent="0.25">
      <c r="E263" s="161">
        <v>46097</v>
      </c>
      <c r="F263" s="150" t="s">
        <v>293</v>
      </c>
      <c r="G263" s="151">
        <v>-3465</v>
      </c>
    </row>
    <row r="264" spans="5:13" x14ac:dyDescent="0.25">
      <c r="E264" s="91">
        <v>46097</v>
      </c>
      <c r="F264" t="s">
        <v>292</v>
      </c>
      <c r="G264" s="121">
        <v>65</v>
      </c>
    </row>
    <row r="265" spans="5:13" x14ac:dyDescent="0.25">
      <c r="E265" s="161">
        <v>46098</v>
      </c>
      <c r="F265" s="150" t="s">
        <v>300</v>
      </c>
      <c r="G265" s="151">
        <v>-3465</v>
      </c>
    </row>
    <row r="266" spans="5:13" x14ac:dyDescent="0.25">
      <c r="E266" s="161">
        <v>46098</v>
      </c>
      <c r="F266" s="150" t="s">
        <v>301</v>
      </c>
      <c r="G266" s="151">
        <v>-4275</v>
      </c>
    </row>
    <row r="267" spans="5:13" x14ac:dyDescent="0.25">
      <c r="G267" s="121"/>
    </row>
    <row r="268" spans="5:13" x14ac:dyDescent="0.25">
      <c r="G268" s="121"/>
    </row>
    <row r="269" spans="5:13" x14ac:dyDescent="0.25">
      <c r="G269" s="121"/>
    </row>
    <row r="270" spans="5:13" ht="15.75" x14ac:dyDescent="0.25">
      <c r="F270" s="132" t="s">
        <v>236</v>
      </c>
      <c r="G270" s="133">
        <f>SUM(G259:G269)</f>
        <v>8231.39</v>
      </c>
    </row>
    <row r="279" spans="5:13" ht="18.75" x14ac:dyDescent="0.3">
      <c r="E279" s="314" t="s">
        <v>205</v>
      </c>
      <c r="F279" s="315"/>
      <c r="G279" s="315"/>
      <c r="H279" s="315"/>
      <c r="I279" s="315"/>
      <c r="J279" s="315"/>
      <c r="K279" s="315"/>
      <c r="L279" s="315"/>
      <c r="M279" s="315"/>
    </row>
    <row r="280" spans="5:13" x14ac:dyDescent="0.25">
      <c r="E280" s="78"/>
      <c r="F280" s="78"/>
      <c r="G280" s="78"/>
      <c r="H280" s="78"/>
      <c r="I280" s="78"/>
      <c r="J280" s="78"/>
      <c r="K280" s="78"/>
      <c r="L280" s="78"/>
      <c r="M280" s="78"/>
    </row>
    <row r="281" spans="5:13" ht="15.75" x14ac:dyDescent="0.25">
      <c r="E281" s="118" t="s">
        <v>223</v>
      </c>
      <c r="F281" s="118" t="s">
        <v>206</v>
      </c>
      <c r="G281" s="118" t="s">
        <v>207</v>
      </c>
      <c r="H281" s="118" t="s">
        <v>218</v>
      </c>
      <c r="I281" s="78"/>
      <c r="J281" s="120" t="s">
        <v>6</v>
      </c>
      <c r="K281" s="120" t="s">
        <v>217</v>
      </c>
      <c r="L281" s="120" t="s">
        <v>207</v>
      </c>
      <c r="M281" s="120" t="s">
        <v>218</v>
      </c>
    </row>
    <row r="282" spans="5:13" x14ac:dyDescent="0.25">
      <c r="E282" s="117">
        <v>46087</v>
      </c>
      <c r="F282" s="78" t="s">
        <v>212</v>
      </c>
      <c r="G282" s="78" t="s">
        <v>208</v>
      </c>
      <c r="H282" s="119">
        <v>13260</v>
      </c>
      <c r="I282" s="78"/>
      <c r="J282" s="117">
        <v>46084</v>
      </c>
      <c r="K282" s="78" t="s">
        <v>216</v>
      </c>
      <c r="L282" s="78" t="s">
        <v>219</v>
      </c>
      <c r="M282" s="119">
        <v>5680</v>
      </c>
    </row>
    <row r="283" spans="5:13" x14ac:dyDescent="0.25">
      <c r="E283" s="117">
        <v>46087</v>
      </c>
      <c r="F283" s="78" t="s">
        <v>148</v>
      </c>
      <c r="G283" s="78" t="s">
        <v>209</v>
      </c>
      <c r="H283" s="119">
        <v>6420</v>
      </c>
      <c r="I283" s="78"/>
      <c r="J283" s="117">
        <v>46037</v>
      </c>
      <c r="K283" s="149" t="s">
        <v>66</v>
      </c>
      <c r="L283" s="78" t="s">
        <v>222</v>
      </c>
      <c r="M283" s="119">
        <v>2120</v>
      </c>
    </row>
    <row r="284" spans="5:13" x14ac:dyDescent="0.25">
      <c r="E284" s="117">
        <v>46087</v>
      </c>
      <c r="F284" s="78" t="s">
        <v>213</v>
      </c>
      <c r="G284" s="78" t="s">
        <v>254</v>
      </c>
      <c r="H284" s="119">
        <v>2500</v>
      </c>
      <c r="I284" s="78"/>
      <c r="J284" s="117">
        <v>46093</v>
      </c>
      <c r="K284" s="78" t="s">
        <v>248</v>
      </c>
      <c r="L284" s="78" t="s">
        <v>247</v>
      </c>
      <c r="M284" s="119">
        <f>5000*0.6</f>
        <v>3000</v>
      </c>
    </row>
    <row r="285" spans="5:13" x14ac:dyDescent="0.25">
      <c r="E285" s="117">
        <v>46087</v>
      </c>
      <c r="F285" s="78" t="s">
        <v>214</v>
      </c>
      <c r="G285" s="155" t="s">
        <v>211</v>
      </c>
      <c r="H285" s="156">
        <v>4000</v>
      </c>
      <c r="I285" s="78"/>
      <c r="J285" s="117">
        <v>46094</v>
      </c>
      <c r="K285" s="78" t="s">
        <v>255</v>
      </c>
      <c r="L285" s="78" t="s">
        <v>257</v>
      </c>
      <c r="M285" s="119">
        <v>2300</v>
      </c>
    </row>
    <row r="286" spans="5:13" x14ac:dyDescent="0.25">
      <c r="E286" s="117">
        <v>46087</v>
      </c>
      <c r="F286" s="78" t="s">
        <v>215</v>
      </c>
      <c r="G286" s="78"/>
      <c r="H286" s="119">
        <v>1255.8</v>
      </c>
      <c r="I286" s="78"/>
      <c r="J286" s="117">
        <v>46094</v>
      </c>
      <c r="K286" s="78" t="s">
        <v>256</v>
      </c>
      <c r="L286" s="78" t="s">
        <v>257</v>
      </c>
      <c r="M286" s="119">
        <v>2200</v>
      </c>
    </row>
    <row r="287" spans="5:13" x14ac:dyDescent="0.25">
      <c r="E287" s="117">
        <v>46095</v>
      </c>
      <c r="F287" s="78"/>
      <c r="G287" s="78" t="s">
        <v>287</v>
      </c>
      <c r="H287" s="119">
        <v>8731.16</v>
      </c>
      <c r="I287" s="78"/>
      <c r="J287" s="117">
        <v>46095</v>
      </c>
      <c r="K287" s="78" t="s">
        <v>280</v>
      </c>
      <c r="L287" s="78" t="s">
        <v>281</v>
      </c>
      <c r="M287" s="119">
        <v>1840</v>
      </c>
    </row>
    <row r="288" spans="5:13" x14ac:dyDescent="0.25">
      <c r="E288" s="117">
        <v>46099</v>
      </c>
      <c r="F288" s="78"/>
      <c r="G288" s="78"/>
      <c r="H288" s="119">
        <v>14826.3</v>
      </c>
      <c r="I288" s="78"/>
      <c r="J288" s="117">
        <v>46097</v>
      </c>
      <c r="K288" s="78" t="s">
        <v>280</v>
      </c>
      <c r="L288" s="78" t="s">
        <v>281</v>
      </c>
      <c r="M288" s="119">
        <v>1840</v>
      </c>
    </row>
    <row r="289" spans="5:13" x14ac:dyDescent="0.25">
      <c r="E289" s="78"/>
      <c r="F289" s="78"/>
      <c r="G289" s="78"/>
      <c r="H289" s="78"/>
      <c r="I289" s="78"/>
      <c r="J289" s="117">
        <v>46099</v>
      </c>
      <c r="K289" s="78" t="s">
        <v>312</v>
      </c>
      <c r="L289" s="78"/>
      <c r="M289" s="119">
        <v>3290</v>
      </c>
    </row>
    <row r="290" spans="5:13" x14ac:dyDescent="0.25">
      <c r="E290" s="78"/>
      <c r="F290" s="78"/>
      <c r="G290" s="78"/>
      <c r="H290" s="122">
        <f>SUM(H282:H289)</f>
        <v>50993.259999999995</v>
      </c>
      <c r="J290" s="117"/>
      <c r="K290" s="78"/>
      <c r="L290" s="78"/>
      <c r="M290" s="119"/>
    </row>
    <row r="291" spans="5:13" x14ac:dyDescent="0.25">
      <c r="J291" s="78"/>
      <c r="K291" s="78"/>
      <c r="L291" s="78"/>
      <c r="M291" s="78"/>
    </row>
    <row r="292" spans="5:13" ht="18.75" x14ac:dyDescent="0.3">
      <c r="J292" s="78"/>
      <c r="K292" s="126" t="s">
        <v>226</v>
      </c>
      <c r="L292" s="126"/>
      <c r="M292" s="127">
        <f>SUM(M282:M291)</f>
        <v>22270</v>
      </c>
    </row>
    <row r="293" spans="5:13" x14ac:dyDescent="0.25">
      <c r="G293" s="101" t="s">
        <v>224</v>
      </c>
      <c r="H293" s="101">
        <v>28215.71</v>
      </c>
    </row>
    <row r="296" spans="5:13" ht="18.75" x14ac:dyDescent="0.3">
      <c r="G296" s="99" t="s">
        <v>225</v>
      </c>
      <c r="H296" s="125">
        <f>SUM(H290+H293)</f>
        <v>79208.97</v>
      </c>
    </row>
    <row r="300" spans="5:13" x14ac:dyDescent="0.25">
      <c r="E300" s="121"/>
    </row>
    <row r="302" spans="5:13" ht="15.75" x14ac:dyDescent="0.25">
      <c r="J302" s="316" t="s">
        <v>227</v>
      </c>
      <c r="K302" s="317"/>
      <c r="L302" s="140">
        <f>H296-M292</f>
        <v>56938.97</v>
      </c>
    </row>
    <row r="303" spans="5:13" ht="15.75" x14ac:dyDescent="0.25">
      <c r="L303" s="89"/>
    </row>
    <row r="304" spans="5:13" ht="15.75" x14ac:dyDescent="0.25">
      <c r="J304" s="128" t="s">
        <v>285</v>
      </c>
      <c r="L304" s="124">
        <f>G316</f>
        <v>4896.3899999999994</v>
      </c>
    </row>
    <row r="305" spans="5:13" ht="15.75" x14ac:dyDescent="0.25">
      <c r="F305" s="130" t="s">
        <v>235</v>
      </c>
      <c r="G305" s="131">
        <v>15818.79</v>
      </c>
    </row>
    <row r="306" spans="5:13" ht="18.75" x14ac:dyDescent="0.3">
      <c r="K306" s="158" t="s">
        <v>286</v>
      </c>
      <c r="L306" s="137">
        <f>SUM(L302:L304)</f>
        <v>61835.360000000001</v>
      </c>
    </row>
    <row r="307" spans="5:13" x14ac:dyDescent="0.25">
      <c r="L307" s="157">
        <v>59443.56</v>
      </c>
      <c r="M307" s="39" t="s">
        <v>76</v>
      </c>
    </row>
    <row r="308" spans="5:13" x14ac:dyDescent="0.25">
      <c r="E308" s="91">
        <v>46097</v>
      </c>
      <c r="F308" t="s">
        <v>294</v>
      </c>
      <c r="G308" s="121">
        <v>3552.6</v>
      </c>
    </row>
    <row r="309" spans="5:13" ht="18.75" x14ac:dyDescent="0.3">
      <c r="E309" s="161">
        <v>46097</v>
      </c>
      <c r="F309" s="150" t="s">
        <v>293</v>
      </c>
      <c r="G309" s="151">
        <v>-3465</v>
      </c>
      <c r="L309" s="154">
        <f>L306-L307</f>
        <v>2391.8000000000029</v>
      </c>
    </row>
    <row r="310" spans="5:13" x14ac:dyDescent="0.25">
      <c r="E310" s="91">
        <v>46097</v>
      </c>
      <c r="F310" t="s">
        <v>292</v>
      </c>
      <c r="G310" s="121">
        <v>65</v>
      </c>
    </row>
    <row r="311" spans="5:13" x14ac:dyDescent="0.25">
      <c r="E311" s="161">
        <v>46098</v>
      </c>
      <c r="F311" s="150" t="s">
        <v>300</v>
      </c>
      <c r="G311" s="151">
        <v>-3465</v>
      </c>
    </row>
    <row r="312" spans="5:13" x14ac:dyDescent="0.25">
      <c r="E312" s="161">
        <v>46098</v>
      </c>
      <c r="F312" s="150" t="s">
        <v>301</v>
      </c>
      <c r="G312" s="151">
        <v>-4275</v>
      </c>
    </row>
    <row r="313" spans="5:13" x14ac:dyDescent="0.25">
      <c r="E313" s="161">
        <v>46099</v>
      </c>
      <c r="F313" s="150" t="s">
        <v>300</v>
      </c>
      <c r="G313" s="121">
        <v>-3325</v>
      </c>
    </row>
    <row r="314" spans="5:13" x14ac:dyDescent="0.25">
      <c r="F314" s="150" t="s">
        <v>310</v>
      </c>
      <c r="G314" s="121">
        <v>-10</v>
      </c>
    </row>
    <row r="315" spans="5:13" x14ac:dyDescent="0.25">
      <c r="G315" s="121"/>
    </row>
    <row r="316" spans="5:13" ht="15.75" x14ac:dyDescent="0.25">
      <c r="F316" s="132" t="s">
        <v>236</v>
      </c>
      <c r="G316" s="133">
        <f>SUM(G305:G315)</f>
        <v>4896.3899999999994</v>
      </c>
    </row>
    <row r="330" spans="5:13" ht="18.75" x14ac:dyDescent="0.3">
      <c r="E330" s="314" t="s">
        <v>205</v>
      </c>
      <c r="F330" s="315"/>
      <c r="G330" s="315"/>
      <c r="H330" s="315"/>
      <c r="I330" s="315"/>
      <c r="J330" s="315"/>
      <c r="K330" s="315"/>
      <c r="L330" s="315"/>
      <c r="M330" s="315"/>
    </row>
    <row r="331" spans="5:13" x14ac:dyDescent="0.25">
      <c r="E331" s="78"/>
      <c r="F331" s="78"/>
      <c r="G331" s="78"/>
      <c r="H331" s="78"/>
      <c r="I331" s="78"/>
      <c r="J331" s="78"/>
      <c r="K331" s="78"/>
      <c r="L331" s="78"/>
      <c r="M331" s="78"/>
    </row>
    <row r="332" spans="5:13" ht="15.75" x14ac:dyDescent="0.25">
      <c r="E332" s="118" t="s">
        <v>223</v>
      </c>
      <c r="F332" s="118" t="s">
        <v>206</v>
      </c>
      <c r="G332" s="118" t="s">
        <v>207</v>
      </c>
      <c r="H332" s="118" t="s">
        <v>218</v>
      </c>
      <c r="I332" s="78"/>
      <c r="J332" s="120" t="s">
        <v>6</v>
      </c>
      <c r="K332" s="120" t="s">
        <v>217</v>
      </c>
      <c r="L332" s="120" t="s">
        <v>207</v>
      </c>
      <c r="M332" s="120" t="s">
        <v>218</v>
      </c>
    </row>
    <row r="333" spans="5:13" x14ac:dyDescent="0.25">
      <c r="E333" s="117">
        <v>46087</v>
      </c>
      <c r="F333" s="78" t="s">
        <v>212</v>
      </c>
      <c r="G333" s="78" t="s">
        <v>208</v>
      </c>
      <c r="H333" s="119">
        <v>13260</v>
      </c>
      <c r="I333" s="78"/>
      <c r="J333" s="117">
        <v>46084</v>
      </c>
      <c r="K333" s="78" t="s">
        <v>216</v>
      </c>
      <c r="L333" s="78" t="s">
        <v>219</v>
      </c>
      <c r="M333" s="119">
        <v>5680</v>
      </c>
    </row>
    <row r="334" spans="5:13" x14ac:dyDescent="0.25">
      <c r="E334" s="117">
        <v>46087</v>
      </c>
      <c r="F334" s="78" t="s">
        <v>148</v>
      </c>
      <c r="G334" s="78" t="s">
        <v>209</v>
      </c>
      <c r="H334" s="119">
        <v>6420</v>
      </c>
      <c r="I334" s="78"/>
      <c r="J334" s="117">
        <v>46037</v>
      </c>
      <c r="K334" s="149" t="s">
        <v>66</v>
      </c>
      <c r="L334" s="78" t="s">
        <v>222</v>
      </c>
      <c r="M334" s="119">
        <v>2120</v>
      </c>
    </row>
    <row r="335" spans="5:13" x14ac:dyDescent="0.25">
      <c r="E335" s="117">
        <v>46087</v>
      </c>
      <c r="F335" s="78" t="s">
        <v>213</v>
      </c>
      <c r="G335" s="78" t="s">
        <v>254</v>
      </c>
      <c r="H335" s="119">
        <v>2500</v>
      </c>
      <c r="I335" s="78"/>
      <c r="J335" s="117">
        <v>46095</v>
      </c>
      <c r="K335" s="78" t="s">
        <v>280</v>
      </c>
      <c r="L335" s="78" t="s">
        <v>281</v>
      </c>
      <c r="M335" s="119">
        <v>1840</v>
      </c>
    </row>
    <row r="336" spans="5:13" x14ac:dyDescent="0.25">
      <c r="E336" s="117">
        <v>46087</v>
      </c>
      <c r="F336" s="78" t="s">
        <v>214</v>
      </c>
      <c r="G336" s="155" t="s">
        <v>211</v>
      </c>
      <c r="H336" s="156">
        <v>4000</v>
      </c>
      <c r="I336" s="78"/>
      <c r="J336" s="117">
        <v>46097</v>
      </c>
      <c r="K336" s="78" t="s">
        <v>280</v>
      </c>
      <c r="L336" s="78" t="s">
        <v>281</v>
      </c>
      <c r="M336" s="119">
        <v>1840</v>
      </c>
    </row>
    <row r="337" spans="5:13" x14ac:dyDescent="0.25">
      <c r="E337" s="117">
        <v>46087</v>
      </c>
      <c r="F337" s="78" t="s">
        <v>215</v>
      </c>
      <c r="G337" s="78"/>
      <c r="H337" s="119">
        <v>1255.8</v>
      </c>
      <c r="I337" s="78"/>
      <c r="J337" s="117">
        <v>46099</v>
      </c>
      <c r="K337" s="78" t="s">
        <v>312</v>
      </c>
      <c r="L337" s="78" t="s">
        <v>318</v>
      </c>
      <c r="M337" s="119">
        <v>3290</v>
      </c>
    </row>
    <row r="338" spans="5:13" x14ac:dyDescent="0.25">
      <c r="E338" s="117"/>
      <c r="F338" s="78"/>
      <c r="G338" s="78"/>
      <c r="H338" s="119"/>
      <c r="I338" s="78"/>
      <c r="J338" s="117">
        <v>46100</v>
      </c>
      <c r="K338" s="78" t="s">
        <v>325</v>
      </c>
      <c r="L338" s="78" t="s">
        <v>66</v>
      </c>
      <c r="M338" s="119">
        <v>17205</v>
      </c>
    </row>
    <row r="339" spans="5:13" x14ac:dyDescent="0.25">
      <c r="E339" s="117">
        <v>46099</v>
      </c>
      <c r="F339" s="78"/>
      <c r="G339" s="78" t="s">
        <v>93</v>
      </c>
      <c r="H339" s="119">
        <v>14826.3</v>
      </c>
      <c r="I339" s="78"/>
      <c r="J339" s="117"/>
      <c r="K339" s="78"/>
      <c r="L339" s="78"/>
      <c r="M339" s="119"/>
    </row>
    <row r="340" spans="5:13" x14ac:dyDescent="0.25">
      <c r="E340" s="117">
        <v>46100</v>
      </c>
      <c r="F340" s="78"/>
      <c r="G340" s="78" t="s">
        <v>93</v>
      </c>
      <c r="H340" s="119">
        <v>3962.23</v>
      </c>
      <c r="I340" s="78"/>
      <c r="J340" s="117"/>
      <c r="K340" s="78"/>
      <c r="L340" s="78"/>
      <c r="M340" s="119"/>
    </row>
    <row r="341" spans="5:13" x14ac:dyDescent="0.25">
      <c r="E341" s="78"/>
      <c r="F341" s="78"/>
      <c r="G341" s="78"/>
      <c r="H341" s="78"/>
      <c r="J341" s="78"/>
      <c r="K341" s="78"/>
      <c r="L341" s="78"/>
      <c r="M341" s="78"/>
    </row>
    <row r="342" spans="5:13" ht="18.75" x14ac:dyDescent="0.3">
      <c r="E342" s="78"/>
      <c r="F342" s="78"/>
      <c r="G342" s="78"/>
      <c r="H342" s="122">
        <f>SUM(H333:H341)</f>
        <v>46224.33</v>
      </c>
      <c r="J342" s="78"/>
      <c r="K342" s="126" t="s">
        <v>226</v>
      </c>
      <c r="L342" s="126"/>
      <c r="M342" s="127">
        <f>SUM(M333:M341)</f>
        <v>31975</v>
      </c>
    </row>
    <row r="345" spans="5:13" x14ac:dyDescent="0.25">
      <c r="G345" s="101" t="s">
        <v>224</v>
      </c>
      <c r="H345" s="101">
        <v>42647.78</v>
      </c>
    </row>
    <row r="348" spans="5:13" ht="18.75" x14ac:dyDescent="0.3">
      <c r="G348" s="99" t="s">
        <v>225</v>
      </c>
      <c r="H348" s="125">
        <f>SUM(H342+H345)</f>
        <v>88872.11</v>
      </c>
    </row>
    <row r="352" spans="5:13" ht="15.75" x14ac:dyDescent="0.25">
      <c r="E352" s="121"/>
      <c r="J352" s="316" t="s">
        <v>227</v>
      </c>
      <c r="K352" s="317"/>
      <c r="L352" s="140">
        <f>H348-M342</f>
        <v>56897.11</v>
      </c>
    </row>
    <row r="353" spans="5:13" ht="15.75" x14ac:dyDescent="0.25">
      <c r="L353" s="89"/>
    </row>
    <row r="354" spans="5:13" ht="15.75" x14ac:dyDescent="0.25">
      <c r="J354" s="128" t="s">
        <v>285</v>
      </c>
      <c r="L354" s="124">
        <f>G374</f>
        <v>6127.5499999999993</v>
      </c>
    </row>
    <row r="356" spans="5:13" ht="18.75" x14ac:dyDescent="0.3">
      <c r="K356" s="158" t="s">
        <v>286</v>
      </c>
      <c r="L356" s="137">
        <f>SUM(L352:L354)</f>
        <v>63024.66</v>
      </c>
    </row>
    <row r="357" spans="5:13" ht="15.75" x14ac:dyDescent="0.25">
      <c r="F357" s="130" t="s">
        <v>235</v>
      </c>
      <c r="G357" s="131">
        <v>15818.79</v>
      </c>
      <c r="L357" s="157">
        <v>61835.360000000001</v>
      </c>
      <c r="M357" s="39" t="s">
        <v>76</v>
      </c>
    </row>
    <row r="359" spans="5:13" ht="18.75" x14ac:dyDescent="0.3">
      <c r="L359" s="154">
        <f>L356-L357</f>
        <v>1189.3000000000029</v>
      </c>
    </row>
    <row r="360" spans="5:13" x14ac:dyDescent="0.25">
      <c r="E360" s="91">
        <v>46097</v>
      </c>
      <c r="F360" t="s">
        <v>294</v>
      </c>
      <c r="G360" s="121">
        <v>3552.6</v>
      </c>
    </row>
    <row r="361" spans="5:13" x14ac:dyDescent="0.25">
      <c r="E361" s="161">
        <v>46097</v>
      </c>
      <c r="F361" s="150" t="s">
        <v>293</v>
      </c>
      <c r="G361" s="151">
        <v>-3465</v>
      </c>
    </row>
    <row r="362" spans="5:13" x14ac:dyDescent="0.25">
      <c r="E362" s="91">
        <v>46097</v>
      </c>
      <c r="F362" t="s">
        <v>292</v>
      </c>
      <c r="G362" s="121">
        <v>65</v>
      </c>
    </row>
    <row r="363" spans="5:13" x14ac:dyDescent="0.25">
      <c r="E363" s="161">
        <v>46098</v>
      </c>
      <c r="F363" s="150" t="s">
        <v>300</v>
      </c>
      <c r="G363" s="151">
        <v>-3465</v>
      </c>
    </row>
    <row r="364" spans="5:13" x14ac:dyDescent="0.25">
      <c r="E364" s="161">
        <v>46098</v>
      </c>
      <c r="F364" s="150" t="s">
        <v>301</v>
      </c>
      <c r="G364" s="151">
        <v>-4275</v>
      </c>
    </row>
    <row r="365" spans="5:13" x14ac:dyDescent="0.25">
      <c r="E365" s="161">
        <v>46099</v>
      </c>
      <c r="F365" s="150" t="s">
        <v>300</v>
      </c>
      <c r="G365" s="121">
        <v>-3325</v>
      </c>
    </row>
    <row r="366" spans="5:13" x14ac:dyDescent="0.25">
      <c r="E366" s="161">
        <v>46099</v>
      </c>
      <c r="F366" s="150" t="s">
        <v>310</v>
      </c>
      <c r="G366" s="121">
        <v>-10</v>
      </c>
    </row>
    <row r="367" spans="5:13" x14ac:dyDescent="0.25">
      <c r="E367" s="162">
        <v>46100</v>
      </c>
      <c r="F367" s="163" t="s">
        <v>313</v>
      </c>
      <c r="G367" s="157">
        <v>8731.16</v>
      </c>
    </row>
    <row r="368" spans="5:13" x14ac:dyDescent="0.25">
      <c r="E368" s="161">
        <v>46100</v>
      </c>
      <c r="F368" s="150" t="s">
        <v>315</v>
      </c>
      <c r="G368" s="151">
        <v>-2300</v>
      </c>
    </row>
    <row r="369" spans="5:7" x14ac:dyDescent="0.25">
      <c r="E369" s="161">
        <v>46100</v>
      </c>
      <c r="F369" s="150" t="s">
        <v>316</v>
      </c>
      <c r="G369" s="151">
        <v>-2200</v>
      </c>
    </row>
    <row r="370" spans="5:7" x14ac:dyDescent="0.25">
      <c r="E370" s="161">
        <v>46100</v>
      </c>
      <c r="F370" s="150" t="s">
        <v>317</v>
      </c>
      <c r="G370" s="151">
        <v>-3000</v>
      </c>
    </row>
    <row r="371" spans="5:7" x14ac:dyDescent="0.25">
      <c r="F371" s="150"/>
      <c r="G371" s="151"/>
    </row>
    <row r="374" spans="5:7" ht="15.75" x14ac:dyDescent="0.25">
      <c r="F374" s="132" t="s">
        <v>236</v>
      </c>
      <c r="G374" s="133">
        <f>SUM(G357:G371)</f>
        <v>6127.5499999999993</v>
      </c>
    </row>
    <row r="385" spans="5:13" ht="18.75" x14ac:dyDescent="0.3">
      <c r="E385" s="314" t="s">
        <v>205</v>
      </c>
      <c r="F385" s="315"/>
      <c r="G385" s="315"/>
      <c r="H385" s="315"/>
      <c r="I385" s="315"/>
      <c r="J385" s="315"/>
      <c r="K385" s="315"/>
      <c r="L385" s="315"/>
      <c r="M385" s="315"/>
    </row>
    <row r="386" spans="5:13" x14ac:dyDescent="0.25">
      <c r="E386" s="78"/>
      <c r="F386" s="78"/>
      <c r="G386" s="78"/>
      <c r="H386" s="78"/>
      <c r="I386" s="78"/>
      <c r="J386" s="78"/>
      <c r="K386" s="78"/>
      <c r="L386" s="78"/>
      <c r="M386" s="78"/>
    </row>
    <row r="387" spans="5:13" ht="15.75" x14ac:dyDescent="0.25">
      <c r="E387" s="118" t="s">
        <v>223</v>
      </c>
      <c r="F387" s="118" t="s">
        <v>206</v>
      </c>
      <c r="G387" s="118" t="s">
        <v>207</v>
      </c>
      <c r="H387" s="118" t="s">
        <v>218</v>
      </c>
      <c r="I387" s="78"/>
      <c r="J387" s="120" t="s">
        <v>6</v>
      </c>
      <c r="K387" s="120" t="s">
        <v>217</v>
      </c>
      <c r="L387" s="120" t="s">
        <v>207</v>
      </c>
      <c r="M387" s="120" t="s">
        <v>218</v>
      </c>
    </row>
    <row r="388" spans="5:13" x14ac:dyDescent="0.25">
      <c r="E388" s="117">
        <v>46087</v>
      </c>
      <c r="F388" s="78" t="s">
        <v>212</v>
      </c>
      <c r="G388" s="78" t="s">
        <v>330</v>
      </c>
      <c r="H388" s="119">
        <v>11220</v>
      </c>
      <c r="I388" s="78"/>
      <c r="J388" s="117">
        <v>46084</v>
      </c>
      <c r="K388" s="78" t="s">
        <v>216</v>
      </c>
      <c r="L388" s="78" t="s">
        <v>219</v>
      </c>
      <c r="M388" s="119">
        <v>5680</v>
      </c>
    </row>
    <row r="389" spans="5:13" x14ac:dyDescent="0.25">
      <c r="E389" s="117">
        <v>46087</v>
      </c>
      <c r="F389" s="78" t="s">
        <v>148</v>
      </c>
      <c r="G389" s="78" t="s">
        <v>209</v>
      </c>
      <c r="H389" s="119">
        <v>6420</v>
      </c>
      <c r="I389" s="78"/>
      <c r="J389" s="117">
        <v>46037</v>
      </c>
      <c r="K389" s="149" t="s">
        <v>66</v>
      </c>
      <c r="L389" s="78" t="s">
        <v>222</v>
      </c>
      <c r="M389" s="119">
        <v>2120</v>
      </c>
    </row>
    <row r="390" spans="5:13" x14ac:dyDescent="0.25">
      <c r="E390" s="117">
        <v>46087</v>
      </c>
      <c r="F390" s="78" t="s">
        <v>213</v>
      </c>
      <c r="G390" s="78" t="s">
        <v>254</v>
      </c>
      <c r="H390" s="119">
        <v>2500</v>
      </c>
      <c r="I390" s="78"/>
      <c r="J390" s="117">
        <v>46095</v>
      </c>
      <c r="K390" s="78" t="s">
        <v>280</v>
      </c>
      <c r="L390" s="78" t="s">
        <v>281</v>
      </c>
      <c r="M390" s="119">
        <v>1840</v>
      </c>
    </row>
    <row r="391" spans="5:13" x14ac:dyDescent="0.25">
      <c r="E391" s="117">
        <v>46087</v>
      </c>
      <c r="F391" s="78" t="s">
        <v>214</v>
      </c>
      <c r="G391" s="155" t="s">
        <v>211</v>
      </c>
      <c r="H391" s="156">
        <v>4000</v>
      </c>
      <c r="I391" s="78"/>
      <c r="J391" s="117">
        <v>46097</v>
      </c>
      <c r="K391" s="78" t="s">
        <v>280</v>
      </c>
      <c r="L391" s="78" t="s">
        <v>281</v>
      </c>
      <c r="M391" s="119">
        <v>1840</v>
      </c>
    </row>
    <row r="392" spans="5:13" x14ac:dyDescent="0.25">
      <c r="E392" s="117">
        <v>46087</v>
      </c>
      <c r="F392" s="78" t="s">
        <v>215</v>
      </c>
      <c r="G392" s="78"/>
      <c r="H392" s="119">
        <v>1255.8</v>
      </c>
      <c r="I392" s="78"/>
      <c r="J392" s="117">
        <v>46099</v>
      </c>
      <c r="K392" s="78" t="s">
        <v>312</v>
      </c>
      <c r="L392" s="78" t="s">
        <v>318</v>
      </c>
      <c r="M392" s="119">
        <v>3290</v>
      </c>
    </row>
    <row r="393" spans="5:13" x14ac:dyDescent="0.25">
      <c r="E393" s="117"/>
      <c r="F393" s="78"/>
      <c r="G393" s="78"/>
      <c r="H393" s="119"/>
      <c r="I393" s="78"/>
      <c r="J393" s="117">
        <v>46100</v>
      </c>
      <c r="K393" s="78" t="s">
        <v>327</v>
      </c>
      <c r="L393" s="78" t="s">
        <v>66</v>
      </c>
      <c r="M393" s="119">
        <v>5205</v>
      </c>
    </row>
    <row r="394" spans="5:13" x14ac:dyDescent="0.25">
      <c r="E394" s="117">
        <v>46099</v>
      </c>
      <c r="F394" s="78"/>
      <c r="G394" s="78" t="s">
        <v>93</v>
      </c>
      <c r="H394" s="119">
        <v>14826.3</v>
      </c>
      <c r="I394" s="78"/>
      <c r="J394" s="117">
        <v>46101</v>
      </c>
      <c r="K394" s="78" t="s">
        <v>329</v>
      </c>
      <c r="L394" s="78"/>
      <c r="M394" s="119">
        <v>7500</v>
      </c>
    </row>
    <row r="395" spans="5:13" x14ac:dyDescent="0.25">
      <c r="E395" s="117">
        <v>46100</v>
      </c>
      <c r="F395" s="78"/>
      <c r="G395" s="78" t="s">
        <v>93</v>
      </c>
      <c r="H395" s="119">
        <v>3962.23</v>
      </c>
      <c r="I395" s="78"/>
      <c r="J395" s="117">
        <v>46101</v>
      </c>
      <c r="K395" s="78" t="s">
        <v>280</v>
      </c>
      <c r="L395" s="78" t="s">
        <v>216</v>
      </c>
      <c r="M395" s="119">
        <v>1840</v>
      </c>
    </row>
    <row r="396" spans="5:13" x14ac:dyDescent="0.25">
      <c r="E396" s="117">
        <v>46101</v>
      </c>
      <c r="F396" s="78"/>
      <c r="G396" s="78" t="s">
        <v>93</v>
      </c>
      <c r="H396" s="119">
        <v>735.66</v>
      </c>
      <c r="J396" s="117"/>
      <c r="K396" s="78"/>
      <c r="L396" s="78"/>
      <c r="M396" s="119"/>
    </row>
    <row r="397" spans="5:13" x14ac:dyDescent="0.25">
      <c r="E397" s="78"/>
      <c r="F397" s="78"/>
      <c r="G397" s="78"/>
      <c r="H397" s="78"/>
      <c r="J397" s="78"/>
      <c r="K397" s="78"/>
      <c r="L397" s="78"/>
      <c r="M397" s="78"/>
    </row>
    <row r="398" spans="5:13" ht="18.75" x14ac:dyDescent="0.3">
      <c r="E398" s="78"/>
      <c r="F398" s="78"/>
      <c r="G398" s="78"/>
      <c r="H398" s="122">
        <f>SUM(H388:H397)</f>
        <v>44919.990000000005</v>
      </c>
      <c r="J398" s="78"/>
      <c r="K398" s="126" t="s">
        <v>226</v>
      </c>
      <c r="L398" s="126"/>
      <c r="M398" s="127">
        <f>SUM(M388:M397)</f>
        <v>29315</v>
      </c>
    </row>
    <row r="401" spans="5:13" x14ac:dyDescent="0.25">
      <c r="G401" s="101" t="s">
        <v>224</v>
      </c>
      <c r="H401" s="101">
        <v>46672.9</v>
      </c>
    </row>
    <row r="404" spans="5:13" ht="18.75" x14ac:dyDescent="0.3">
      <c r="G404" s="99" t="s">
        <v>225</v>
      </c>
      <c r="H404" s="125">
        <f>SUM(H398+H401)</f>
        <v>91592.890000000014</v>
      </c>
    </row>
    <row r="405" spans="5:13" x14ac:dyDescent="0.25">
      <c r="E405" s="121"/>
    </row>
    <row r="408" spans="5:13" ht="15.75" x14ac:dyDescent="0.25">
      <c r="E408" s="121"/>
      <c r="J408" s="316" t="s">
        <v>227</v>
      </c>
      <c r="K408" s="317"/>
      <c r="L408" s="140">
        <f>H404-M398</f>
        <v>62277.890000000014</v>
      </c>
    </row>
    <row r="409" spans="5:13" ht="15.75" x14ac:dyDescent="0.25">
      <c r="L409" s="89"/>
    </row>
    <row r="410" spans="5:13" ht="15.75" x14ac:dyDescent="0.25">
      <c r="J410" s="128" t="s">
        <v>285</v>
      </c>
      <c r="L410" s="124">
        <f>G437</f>
        <v>822.54999999999927</v>
      </c>
    </row>
    <row r="412" spans="5:13" ht="18.75" x14ac:dyDescent="0.3">
      <c r="K412" s="158" t="s">
        <v>286</v>
      </c>
      <c r="L412" s="137">
        <f>L408+L410</f>
        <v>63100.440000000017</v>
      </c>
    </row>
    <row r="413" spans="5:13" ht="15.75" x14ac:dyDescent="0.25">
      <c r="F413" s="130" t="s">
        <v>235</v>
      </c>
      <c r="G413" s="131">
        <v>15818.79</v>
      </c>
      <c r="L413" s="157">
        <v>63024.66</v>
      </c>
      <c r="M413" s="39" t="s">
        <v>76</v>
      </c>
    </row>
    <row r="415" spans="5:13" ht="18.75" x14ac:dyDescent="0.3">
      <c r="L415" s="154">
        <f>L412-L413</f>
        <v>75.780000000013388</v>
      </c>
    </row>
    <row r="416" spans="5:13" x14ac:dyDescent="0.25">
      <c r="E416" s="91">
        <v>46097</v>
      </c>
      <c r="F416" t="s">
        <v>294</v>
      </c>
      <c r="G416" s="121">
        <v>3552.6</v>
      </c>
    </row>
    <row r="417" spans="5:12" x14ac:dyDescent="0.25">
      <c r="E417" s="161">
        <v>46097</v>
      </c>
      <c r="F417" s="150" t="s">
        <v>293</v>
      </c>
      <c r="G417" s="151">
        <v>-3465</v>
      </c>
    </row>
    <row r="418" spans="5:12" x14ac:dyDescent="0.25">
      <c r="E418" s="91">
        <v>46097</v>
      </c>
      <c r="F418" t="s">
        <v>292</v>
      </c>
      <c r="G418" s="121">
        <v>65</v>
      </c>
    </row>
    <row r="419" spans="5:12" x14ac:dyDescent="0.25">
      <c r="E419" s="161">
        <v>46098</v>
      </c>
      <c r="F419" s="150" t="s">
        <v>300</v>
      </c>
      <c r="G419" s="151">
        <v>-3465</v>
      </c>
    </row>
    <row r="420" spans="5:12" x14ac:dyDescent="0.25">
      <c r="E420" s="161">
        <v>46098</v>
      </c>
      <c r="F420" s="150" t="s">
        <v>301</v>
      </c>
      <c r="G420" s="151">
        <v>-4275</v>
      </c>
    </row>
    <row r="421" spans="5:12" x14ac:dyDescent="0.25">
      <c r="E421" s="161">
        <v>46099</v>
      </c>
      <c r="F421" s="150" t="s">
        <v>300</v>
      </c>
      <c r="G421" s="121">
        <v>-3325</v>
      </c>
    </row>
    <row r="422" spans="5:12" x14ac:dyDescent="0.25">
      <c r="E422" s="161">
        <v>46099</v>
      </c>
      <c r="F422" s="150" t="s">
        <v>310</v>
      </c>
      <c r="G422" s="121">
        <v>-10</v>
      </c>
    </row>
    <row r="423" spans="5:12" x14ac:dyDescent="0.25">
      <c r="E423" s="162">
        <v>46100</v>
      </c>
      <c r="F423" s="163" t="s">
        <v>313</v>
      </c>
      <c r="G423" s="157">
        <v>8731.16</v>
      </c>
    </row>
    <row r="424" spans="5:12" x14ac:dyDescent="0.25">
      <c r="E424" s="161">
        <v>46100</v>
      </c>
      <c r="F424" s="150" t="s">
        <v>315</v>
      </c>
      <c r="G424" s="151">
        <v>-2300</v>
      </c>
    </row>
    <row r="425" spans="5:12" x14ac:dyDescent="0.25">
      <c r="E425" s="161">
        <v>46100</v>
      </c>
      <c r="F425" s="150" t="s">
        <v>316</v>
      </c>
      <c r="G425" s="151">
        <v>-2200</v>
      </c>
    </row>
    <row r="426" spans="5:12" x14ac:dyDescent="0.25">
      <c r="E426" s="161">
        <v>46100</v>
      </c>
      <c r="F426" s="150" t="s">
        <v>317</v>
      </c>
      <c r="G426" s="151">
        <v>-3000</v>
      </c>
      <c r="L426" s="121"/>
    </row>
    <row r="427" spans="5:12" x14ac:dyDescent="0.25">
      <c r="E427" s="91">
        <v>46101</v>
      </c>
      <c r="F427" s="163" t="s">
        <v>326</v>
      </c>
      <c r="G427" s="164">
        <v>7500</v>
      </c>
    </row>
    <row r="428" spans="5:12" x14ac:dyDescent="0.25">
      <c r="E428" s="91">
        <v>46101</v>
      </c>
      <c r="F428" s="150" t="s">
        <v>328</v>
      </c>
      <c r="G428" s="151">
        <v>-12000</v>
      </c>
    </row>
    <row r="429" spans="5:12" x14ac:dyDescent="0.25">
      <c r="E429" s="91">
        <v>46101</v>
      </c>
      <c r="F429" s="150" t="s">
        <v>335</v>
      </c>
      <c r="G429" s="151">
        <v>-400</v>
      </c>
    </row>
    <row r="430" spans="5:12" x14ac:dyDescent="0.25">
      <c r="E430" s="91">
        <v>46101</v>
      </c>
      <c r="F430" s="150" t="s">
        <v>272</v>
      </c>
      <c r="G430" s="151">
        <v>-300</v>
      </c>
    </row>
    <row r="431" spans="5:12" x14ac:dyDescent="0.25">
      <c r="E431" s="91">
        <v>46101</v>
      </c>
      <c r="F431" s="150" t="s">
        <v>334</v>
      </c>
      <c r="G431" s="151">
        <v>-280</v>
      </c>
    </row>
    <row r="432" spans="5:12" x14ac:dyDescent="0.25">
      <c r="E432" s="165">
        <v>46101</v>
      </c>
      <c r="F432" s="39" t="s">
        <v>333</v>
      </c>
      <c r="G432" s="164">
        <v>175</v>
      </c>
    </row>
    <row r="433" spans="5:14" x14ac:dyDescent="0.25">
      <c r="E433" s="165"/>
      <c r="F433" s="39"/>
      <c r="G433" s="164"/>
    </row>
    <row r="434" spans="5:14" x14ac:dyDescent="0.25">
      <c r="E434" s="165"/>
      <c r="F434" s="39"/>
      <c r="G434" s="164"/>
    </row>
    <row r="435" spans="5:14" x14ac:dyDescent="0.25">
      <c r="E435" s="165"/>
      <c r="F435" s="39"/>
      <c r="G435" s="164"/>
    </row>
    <row r="437" spans="5:14" ht="15.75" x14ac:dyDescent="0.25">
      <c r="F437" s="132" t="s">
        <v>236</v>
      </c>
      <c r="G437" s="133">
        <f>SUM(G413:G432)</f>
        <v>822.54999999999927</v>
      </c>
    </row>
    <row r="441" spans="5:14" x14ac:dyDescent="0.25">
      <c r="N441">
        <f>1600+3000</f>
        <v>4600</v>
      </c>
    </row>
    <row r="450" spans="5:13" ht="18.75" x14ac:dyDescent="0.3">
      <c r="E450" s="314" t="s">
        <v>205</v>
      </c>
      <c r="F450" s="315"/>
      <c r="G450" s="315"/>
      <c r="H450" s="315"/>
      <c r="I450" s="315"/>
      <c r="J450" s="315"/>
      <c r="K450" s="315"/>
      <c r="L450" s="315"/>
      <c r="M450" s="315"/>
    </row>
    <row r="451" spans="5:13" x14ac:dyDescent="0.25">
      <c r="E451" s="78"/>
      <c r="F451" s="78"/>
      <c r="G451" s="78"/>
      <c r="H451" s="78"/>
      <c r="I451" s="78"/>
      <c r="J451" s="78"/>
      <c r="K451" s="78"/>
      <c r="L451" s="78"/>
      <c r="M451" s="78"/>
    </row>
    <row r="452" spans="5:13" ht="15.75" x14ac:dyDescent="0.25">
      <c r="E452" s="118" t="s">
        <v>223</v>
      </c>
      <c r="F452" s="118" t="s">
        <v>206</v>
      </c>
      <c r="G452" s="118" t="s">
        <v>207</v>
      </c>
      <c r="H452" s="118" t="s">
        <v>218</v>
      </c>
      <c r="I452" s="78"/>
      <c r="J452" s="120" t="s">
        <v>6</v>
      </c>
      <c r="K452" s="120" t="s">
        <v>217</v>
      </c>
      <c r="L452" s="120" t="s">
        <v>207</v>
      </c>
      <c r="M452" s="120" t="s">
        <v>218</v>
      </c>
    </row>
    <row r="453" spans="5:13" x14ac:dyDescent="0.25">
      <c r="E453" s="117">
        <v>46087</v>
      </c>
      <c r="F453" s="78" t="s">
        <v>212</v>
      </c>
      <c r="G453" s="78" t="s">
        <v>330</v>
      </c>
      <c r="H453" s="119">
        <f>680*16.5</f>
        <v>11220</v>
      </c>
      <c r="I453" s="78"/>
      <c r="J453" s="117"/>
      <c r="K453" s="78"/>
      <c r="L453" s="78"/>
      <c r="M453" s="119"/>
    </row>
    <row r="454" spans="5:13" x14ac:dyDescent="0.25">
      <c r="E454" s="117">
        <v>46087</v>
      </c>
      <c r="F454" s="78" t="s">
        <v>148</v>
      </c>
      <c r="G454" s="78" t="s">
        <v>209</v>
      </c>
      <c r="H454" s="119">
        <v>6420</v>
      </c>
      <c r="I454" s="78"/>
      <c r="J454" s="117">
        <v>46037</v>
      </c>
      <c r="K454" s="149" t="s">
        <v>66</v>
      </c>
      <c r="L454" s="78" t="s">
        <v>222</v>
      </c>
      <c r="M454" s="119">
        <v>2120</v>
      </c>
    </row>
    <row r="455" spans="5:13" x14ac:dyDescent="0.25">
      <c r="E455" s="117">
        <v>46087</v>
      </c>
      <c r="F455" s="78" t="s">
        <v>213</v>
      </c>
      <c r="G455" s="78" t="s">
        <v>254</v>
      </c>
      <c r="H455" s="119">
        <v>2500</v>
      </c>
      <c r="I455" s="78"/>
      <c r="J455" s="117">
        <v>46099</v>
      </c>
      <c r="K455" s="78" t="s">
        <v>312</v>
      </c>
      <c r="L455" s="78" t="s">
        <v>318</v>
      </c>
      <c r="M455" s="119">
        <v>3290</v>
      </c>
    </row>
    <row r="456" spans="5:13" x14ac:dyDescent="0.25">
      <c r="E456" s="117">
        <v>46087</v>
      </c>
      <c r="F456" s="78" t="s">
        <v>214</v>
      </c>
      <c r="G456" s="155" t="s">
        <v>211</v>
      </c>
      <c r="H456" s="156">
        <v>3900</v>
      </c>
      <c r="I456" s="119"/>
      <c r="J456" s="117">
        <v>46100</v>
      </c>
      <c r="K456" s="78" t="s">
        <v>327</v>
      </c>
      <c r="L456" s="78" t="s">
        <v>66</v>
      </c>
      <c r="M456" s="119">
        <v>5205</v>
      </c>
    </row>
    <row r="457" spans="5:13" x14ac:dyDescent="0.25">
      <c r="E457" s="117">
        <v>46087</v>
      </c>
      <c r="F457" s="78"/>
      <c r="G457" s="78"/>
      <c r="H457" s="119"/>
      <c r="I457" s="119"/>
      <c r="J457" s="117">
        <v>46101</v>
      </c>
      <c r="K457" s="78"/>
      <c r="L457" s="78"/>
      <c r="M457" s="119"/>
    </row>
    <row r="458" spans="5:13" x14ac:dyDescent="0.25">
      <c r="E458" s="117"/>
      <c r="F458" s="78"/>
      <c r="G458" s="78"/>
      <c r="H458" s="119"/>
      <c r="I458" s="78"/>
      <c r="J458" s="117">
        <v>46102</v>
      </c>
      <c r="K458" s="78" t="s">
        <v>341</v>
      </c>
      <c r="L458" s="78" t="s">
        <v>82</v>
      </c>
      <c r="M458" s="119">
        <v>2350</v>
      </c>
    </row>
    <row r="459" spans="5:13" x14ac:dyDescent="0.25">
      <c r="E459" s="117">
        <v>46102</v>
      </c>
      <c r="F459" s="78" t="s">
        <v>340</v>
      </c>
      <c r="G459" s="78" t="s">
        <v>93</v>
      </c>
      <c r="H459" s="119">
        <f>8566.69-5680+1255.8</f>
        <v>4142.4900000000007</v>
      </c>
      <c r="I459" s="78"/>
      <c r="J459" s="78"/>
      <c r="K459" s="78" t="s">
        <v>342</v>
      </c>
      <c r="L459" s="78" t="s">
        <v>257</v>
      </c>
      <c r="M459" s="78">
        <v>2450</v>
      </c>
    </row>
    <row r="460" spans="5:13" x14ac:dyDescent="0.25">
      <c r="E460" s="117"/>
      <c r="F460" s="78"/>
      <c r="G460" s="78"/>
      <c r="H460" s="119"/>
      <c r="I460" s="78"/>
      <c r="J460" s="78"/>
      <c r="K460" s="78"/>
      <c r="L460" s="78"/>
      <c r="M460" s="78"/>
    </row>
    <row r="461" spans="5:13" x14ac:dyDescent="0.25">
      <c r="E461" s="117"/>
      <c r="F461" s="78"/>
      <c r="G461" s="78" t="s">
        <v>337</v>
      </c>
      <c r="H461" s="119">
        <v>175</v>
      </c>
      <c r="J461" s="78"/>
      <c r="K461" s="78"/>
      <c r="L461" s="78"/>
      <c r="M461" s="78"/>
    </row>
    <row r="462" spans="5:13" ht="18.75" x14ac:dyDescent="0.3">
      <c r="E462" s="78"/>
      <c r="F462" s="78"/>
      <c r="G462" s="78"/>
      <c r="H462" s="78"/>
      <c r="J462" s="78"/>
      <c r="K462" s="126" t="s">
        <v>226</v>
      </c>
      <c r="L462" s="126"/>
      <c r="M462" s="127">
        <f>SUM(M453:M461)</f>
        <v>15415</v>
      </c>
    </row>
    <row r="463" spans="5:13" x14ac:dyDescent="0.25">
      <c r="E463" s="78"/>
      <c r="F463" s="78"/>
      <c r="G463" s="78"/>
      <c r="H463" s="122">
        <f>SUM(H453:H462)</f>
        <v>28357.49</v>
      </c>
    </row>
    <row r="466" spans="5:13" x14ac:dyDescent="0.25">
      <c r="G466" s="101" t="s">
        <v>224</v>
      </c>
      <c r="H466" s="101">
        <v>50186.5</v>
      </c>
    </row>
    <row r="469" spans="5:13" ht="18.75" x14ac:dyDescent="0.3">
      <c r="G469" s="99" t="s">
        <v>225</v>
      </c>
      <c r="H469" s="125">
        <f>SUM(H463+H466)</f>
        <v>78543.990000000005</v>
      </c>
    </row>
    <row r="470" spans="5:13" x14ac:dyDescent="0.25">
      <c r="E470" s="121"/>
    </row>
    <row r="472" spans="5:13" ht="15.75" x14ac:dyDescent="0.25">
      <c r="J472" s="316" t="s">
        <v>227</v>
      </c>
      <c r="K472" s="317"/>
      <c r="L472" s="140">
        <f>H469-M462</f>
        <v>63128.990000000005</v>
      </c>
    </row>
    <row r="473" spans="5:13" ht="15.75" x14ac:dyDescent="0.25">
      <c r="E473" s="121"/>
      <c r="L473" s="89"/>
    </row>
    <row r="474" spans="5:13" ht="15.75" x14ac:dyDescent="0.25">
      <c r="J474" s="128" t="s">
        <v>285</v>
      </c>
      <c r="L474" s="124">
        <f>G504</f>
        <v>52.549999999999272</v>
      </c>
    </row>
    <row r="476" spans="5:13" ht="18.75" x14ac:dyDescent="0.3">
      <c r="K476" s="158" t="s">
        <v>286</v>
      </c>
      <c r="L476" s="137">
        <f>SUM(L472:L474)</f>
        <v>63181.540000000008</v>
      </c>
    </row>
    <row r="477" spans="5:13" x14ac:dyDescent="0.25">
      <c r="L477" s="157">
        <v>63100.44</v>
      </c>
      <c r="M477" s="39" t="s">
        <v>76</v>
      </c>
    </row>
    <row r="478" spans="5:13" ht="15.75" x14ac:dyDescent="0.25">
      <c r="F478" s="130" t="s">
        <v>235</v>
      </c>
      <c r="G478" s="131">
        <v>15818.79</v>
      </c>
    </row>
    <row r="479" spans="5:13" ht="18.75" x14ac:dyDescent="0.3">
      <c r="L479" s="154">
        <f>L476-L477</f>
        <v>81.100000000005821</v>
      </c>
    </row>
    <row r="481" spans="5:15" x14ac:dyDescent="0.25">
      <c r="E481" s="91">
        <v>46097</v>
      </c>
      <c r="F481" t="s">
        <v>294</v>
      </c>
      <c r="G481" s="121">
        <v>3552.6</v>
      </c>
    </row>
    <row r="482" spans="5:15" x14ac:dyDescent="0.25">
      <c r="E482" s="161">
        <v>46097</v>
      </c>
      <c r="F482" s="150" t="s">
        <v>293</v>
      </c>
      <c r="G482" s="151">
        <v>-3465</v>
      </c>
    </row>
    <row r="483" spans="5:15" x14ac:dyDescent="0.25">
      <c r="E483" s="91">
        <v>46097</v>
      </c>
      <c r="F483" t="s">
        <v>292</v>
      </c>
      <c r="G483" s="121">
        <v>65</v>
      </c>
    </row>
    <row r="484" spans="5:15" x14ac:dyDescent="0.25">
      <c r="E484" s="161">
        <v>46098</v>
      </c>
      <c r="F484" s="150" t="s">
        <v>300</v>
      </c>
      <c r="G484" s="151">
        <v>-3465</v>
      </c>
    </row>
    <row r="485" spans="5:15" x14ac:dyDescent="0.25">
      <c r="E485" s="161">
        <v>46098</v>
      </c>
      <c r="F485" s="150" t="s">
        <v>301</v>
      </c>
      <c r="G485" s="151">
        <v>-4275</v>
      </c>
    </row>
    <row r="486" spans="5:15" x14ac:dyDescent="0.25">
      <c r="E486" s="161">
        <v>46099</v>
      </c>
      <c r="F486" s="150" t="s">
        <v>300</v>
      </c>
      <c r="G486" s="121">
        <v>-3325</v>
      </c>
      <c r="O486" s="121">
        <f>SUM(H458:H459)</f>
        <v>4142.4900000000007</v>
      </c>
    </row>
    <row r="487" spans="5:15" x14ac:dyDescent="0.25">
      <c r="E487" s="161">
        <v>46099</v>
      </c>
      <c r="F487" s="150" t="s">
        <v>310</v>
      </c>
      <c r="G487" s="121">
        <v>-10</v>
      </c>
    </row>
    <row r="488" spans="5:15" x14ac:dyDescent="0.25">
      <c r="E488" s="162">
        <v>46100</v>
      </c>
      <c r="F488" s="163" t="s">
        <v>313</v>
      </c>
      <c r="G488" s="157">
        <v>8731.16</v>
      </c>
    </row>
    <row r="489" spans="5:15" x14ac:dyDescent="0.25">
      <c r="E489" s="161">
        <v>46100</v>
      </c>
      <c r="F489" s="150" t="s">
        <v>315</v>
      </c>
      <c r="G489" s="151">
        <v>-2300</v>
      </c>
    </row>
    <row r="490" spans="5:15" x14ac:dyDescent="0.25">
      <c r="E490" s="161">
        <v>46100</v>
      </c>
      <c r="F490" s="150" t="s">
        <v>316</v>
      </c>
      <c r="G490" s="151">
        <v>-2200</v>
      </c>
      <c r="L490" s="121"/>
    </row>
    <row r="491" spans="5:15" x14ac:dyDescent="0.25">
      <c r="E491" s="161">
        <v>46100</v>
      </c>
      <c r="F491" s="150" t="s">
        <v>317</v>
      </c>
      <c r="G491" s="151">
        <v>-3000</v>
      </c>
    </row>
    <row r="492" spans="5:15" x14ac:dyDescent="0.25">
      <c r="E492" s="91">
        <v>46101</v>
      </c>
      <c r="F492" s="163" t="s">
        <v>326</v>
      </c>
      <c r="G492" s="164">
        <v>7500</v>
      </c>
    </row>
    <row r="493" spans="5:15" x14ac:dyDescent="0.25">
      <c r="E493" s="91">
        <v>46101</v>
      </c>
      <c r="F493" s="150" t="s">
        <v>328</v>
      </c>
      <c r="G493" s="151">
        <v>-12000</v>
      </c>
    </row>
    <row r="494" spans="5:15" x14ac:dyDescent="0.25">
      <c r="E494" s="91">
        <v>46101</v>
      </c>
      <c r="F494" s="150" t="s">
        <v>335</v>
      </c>
      <c r="G494" s="151">
        <v>-400</v>
      </c>
    </row>
    <row r="495" spans="5:15" x14ac:dyDescent="0.25">
      <c r="E495" s="91">
        <v>46101</v>
      </c>
      <c r="F495" s="150" t="s">
        <v>272</v>
      </c>
      <c r="G495" s="151">
        <v>-300</v>
      </c>
    </row>
    <row r="496" spans="5:15" x14ac:dyDescent="0.25">
      <c r="E496" s="91">
        <v>46101</v>
      </c>
      <c r="F496" s="150" t="s">
        <v>334</v>
      </c>
      <c r="G496" s="151">
        <v>-280</v>
      </c>
    </row>
    <row r="497" spans="5:7" x14ac:dyDescent="0.25">
      <c r="E497" s="165">
        <v>46101</v>
      </c>
      <c r="F497" s="39" t="s">
        <v>333</v>
      </c>
      <c r="G497" s="164">
        <v>175</v>
      </c>
    </row>
    <row r="498" spans="5:7" x14ac:dyDescent="0.25">
      <c r="E498" s="161">
        <v>46102</v>
      </c>
      <c r="F498" s="150" t="s">
        <v>284</v>
      </c>
      <c r="G498" s="151">
        <v>-540</v>
      </c>
    </row>
    <row r="499" spans="5:7" x14ac:dyDescent="0.25">
      <c r="E499" s="162">
        <v>46102</v>
      </c>
      <c r="F499" s="39" t="s">
        <v>338</v>
      </c>
      <c r="G499" s="164">
        <v>100</v>
      </c>
    </row>
    <row r="500" spans="5:7" x14ac:dyDescent="0.25">
      <c r="E500" s="161">
        <v>46102</v>
      </c>
      <c r="F500" s="150" t="s">
        <v>277</v>
      </c>
      <c r="G500" s="151">
        <v>-320</v>
      </c>
    </row>
    <row r="501" spans="5:7" x14ac:dyDescent="0.25">
      <c r="E501" s="162"/>
      <c r="F501" s="39" t="s">
        <v>339</v>
      </c>
      <c r="G501" s="164">
        <v>-10</v>
      </c>
    </row>
    <row r="502" spans="5:7" x14ac:dyDescent="0.25">
      <c r="E502" s="165"/>
      <c r="F502" s="39"/>
      <c r="G502" s="164"/>
    </row>
    <row r="504" spans="5:7" ht="15.75" x14ac:dyDescent="0.25">
      <c r="F504" s="132" t="s">
        <v>236</v>
      </c>
      <c r="G504" s="133">
        <f>SUM(G478:G502)</f>
        <v>52.549999999999272</v>
      </c>
    </row>
    <row r="515" spans="5:13" ht="18.75" x14ac:dyDescent="0.3">
      <c r="E515" s="314" t="s">
        <v>343</v>
      </c>
      <c r="F515" s="315"/>
      <c r="G515" s="315"/>
      <c r="H515" s="315"/>
      <c r="I515" s="315"/>
      <c r="J515" s="315"/>
      <c r="K515" s="315"/>
      <c r="L515" s="315"/>
      <c r="M515" s="315"/>
    </row>
    <row r="516" spans="5:13" x14ac:dyDescent="0.25">
      <c r="E516" s="78"/>
      <c r="F516" s="78"/>
      <c r="G516" s="78"/>
      <c r="H516" s="78"/>
      <c r="I516" s="78"/>
      <c r="J516" s="78"/>
      <c r="K516" s="78"/>
      <c r="L516" s="78"/>
      <c r="M516" s="78"/>
    </row>
    <row r="517" spans="5:13" ht="15.75" x14ac:dyDescent="0.25">
      <c r="E517" s="118" t="s">
        <v>223</v>
      </c>
      <c r="F517" s="118" t="s">
        <v>206</v>
      </c>
      <c r="G517" s="118" t="s">
        <v>207</v>
      </c>
      <c r="H517" s="118" t="s">
        <v>218</v>
      </c>
      <c r="I517" s="78"/>
      <c r="J517" s="120" t="s">
        <v>6</v>
      </c>
      <c r="K517" s="120" t="s">
        <v>217</v>
      </c>
      <c r="L517" s="120" t="s">
        <v>207</v>
      </c>
      <c r="M517" s="120" t="s">
        <v>218</v>
      </c>
    </row>
    <row r="518" spans="5:13" x14ac:dyDescent="0.25">
      <c r="E518" s="117">
        <v>46087</v>
      </c>
      <c r="F518" s="78" t="s">
        <v>212</v>
      </c>
      <c r="G518" s="78" t="s">
        <v>330</v>
      </c>
      <c r="H518" s="119">
        <f>680*16.5</f>
        <v>11220</v>
      </c>
      <c r="I518" s="78"/>
      <c r="J518" s="117"/>
      <c r="K518" s="78"/>
      <c r="L518" s="78"/>
      <c r="M518" s="119"/>
    </row>
    <row r="519" spans="5:13" x14ac:dyDescent="0.25">
      <c r="E519" s="117">
        <v>46087</v>
      </c>
      <c r="F519" s="78" t="s">
        <v>148</v>
      </c>
      <c r="G519" s="78" t="s">
        <v>209</v>
      </c>
      <c r="H519" s="119">
        <v>6420</v>
      </c>
      <c r="I519" s="78"/>
      <c r="J519" s="117">
        <v>46037</v>
      </c>
      <c r="K519" s="149" t="s">
        <v>66</v>
      </c>
      <c r="L519" s="78" t="s">
        <v>222</v>
      </c>
      <c r="M519" s="119">
        <v>2120</v>
      </c>
    </row>
    <row r="520" spans="5:13" x14ac:dyDescent="0.25">
      <c r="E520" s="117">
        <v>46087</v>
      </c>
      <c r="F520" s="78" t="s">
        <v>346</v>
      </c>
      <c r="G520" s="78" t="s">
        <v>254</v>
      </c>
      <c r="H520" s="119">
        <v>2500</v>
      </c>
      <c r="I520" s="78"/>
      <c r="J520" s="117">
        <v>46099</v>
      </c>
      <c r="K520" s="78" t="s">
        <v>312</v>
      </c>
      <c r="L520" s="78" t="s">
        <v>318</v>
      </c>
      <c r="M520" s="119">
        <v>3290</v>
      </c>
    </row>
    <row r="521" spans="5:13" x14ac:dyDescent="0.25">
      <c r="E521" s="117">
        <v>46087</v>
      </c>
      <c r="F521" s="78" t="s">
        <v>214</v>
      </c>
      <c r="G521" s="155" t="s">
        <v>211</v>
      </c>
      <c r="H521" s="156">
        <v>3900</v>
      </c>
      <c r="I521" s="119"/>
      <c r="J521" s="117">
        <v>46100</v>
      </c>
      <c r="K521" s="78" t="s">
        <v>327</v>
      </c>
      <c r="L521" s="78" t="s">
        <v>66</v>
      </c>
      <c r="M521" s="119">
        <v>5205</v>
      </c>
    </row>
    <row r="522" spans="5:13" x14ac:dyDescent="0.25">
      <c r="E522" s="117"/>
      <c r="F522" s="78"/>
      <c r="G522" s="78"/>
      <c r="H522" s="119"/>
      <c r="I522" s="119"/>
      <c r="J522" s="117"/>
      <c r="K522" s="78"/>
      <c r="L522" s="78"/>
      <c r="M522" s="119"/>
    </row>
    <row r="523" spans="5:13" x14ac:dyDescent="0.25">
      <c r="E523" s="117">
        <v>46104</v>
      </c>
      <c r="F523" s="78" t="s">
        <v>349</v>
      </c>
      <c r="G523" s="78" t="s">
        <v>350</v>
      </c>
      <c r="H523" s="119">
        <v>2640</v>
      </c>
      <c r="I523" s="78"/>
      <c r="J523" s="117">
        <v>46102</v>
      </c>
      <c r="K523" s="78" t="s">
        <v>341</v>
      </c>
      <c r="L523" s="78" t="s">
        <v>82</v>
      </c>
      <c r="M523" s="119">
        <v>2350</v>
      </c>
    </row>
    <row r="524" spans="5:13" x14ac:dyDescent="0.25">
      <c r="E524" s="117"/>
      <c r="F524" s="78"/>
      <c r="G524" s="78"/>
      <c r="H524" s="119"/>
      <c r="I524" s="78"/>
      <c r="J524" s="78"/>
      <c r="K524" s="78" t="s">
        <v>342</v>
      </c>
      <c r="L524" s="78" t="s">
        <v>257</v>
      </c>
      <c r="M524" s="78">
        <v>2450</v>
      </c>
    </row>
    <row r="525" spans="5:13" x14ac:dyDescent="0.25">
      <c r="E525" s="117"/>
      <c r="F525" s="78"/>
      <c r="G525" s="78"/>
      <c r="H525" s="119"/>
      <c r="I525" s="78"/>
      <c r="J525" s="78"/>
      <c r="K525" s="78" t="s">
        <v>348</v>
      </c>
      <c r="L525" s="78"/>
      <c r="M525" s="78">
        <v>1840</v>
      </c>
    </row>
    <row r="526" spans="5:13" x14ac:dyDescent="0.25">
      <c r="E526" s="117"/>
      <c r="F526" s="78"/>
      <c r="G526" s="78" t="s">
        <v>337</v>
      </c>
      <c r="H526" s="119">
        <v>175</v>
      </c>
      <c r="J526" s="78"/>
      <c r="K526" s="78"/>
      <c r="L526" s="78"/>
      <c r="M526" s="78"/>
    </row>
    <row r="527" spans="5:13" x14ac:dyDescent="0.25">
      <c r="E527" s="78"/>
      <c r="F527" s="78"/>
      <c r="G527" s="78"/>
      <c r="H527" s="78"/>
      <c r="J527" s="78"/>
      <c r="K527" s="78"/>
      <c r="L527" s="78"/>
      <c r="M527" s="78"/>
    </row>
    <row r="528" spans="5:13" ht="18.75" x14ac:dyDescent="0.3">
      <c r="E528" s="78"/>
      <c r="F528" s="78"/>
      <c r="G528" s="78"/>
      <c r="H528" s="122">
        <f>SUM(H518:H527)</f>
        <v>26855</v>
      </c>
      <c r="J528" s="78"/>
      <c r="K528" s="126" t="s">
        <v>226</v>
      </c>
      <c r="L528" s="126"/>
      <c r="M528" s="127">
        <f>SUM(M518:M527)</f>
        <v>17255</v>
      </c>
    </row>
    <row r="531" spans="5:13" x14ac:dyDescent="0.25">
      <c r="G531" s="101" t="s">
        <v>224</v>
      </c>
      <c r="H531" s="101">
        <v>45697.5</v>
      </c>
    </row>
    <row r="534" spans="5:13" ht="18.75" x14ac:dyDescent="0.3">
      <c r="G534" s="99" t="s">
        <v>225</v>
      </c>
      <c r="H534" s="125">
        <f>SUM(H528+H531)</f>
        <v>72552.5</v>
      </c>
    </row>
    <row r="535" spans="5:13" x14ac:dyDescent="0.25">
      <c r="E535" s="121"/>
    </row>
    <row r="538" spans="5:13" ht="15.75" x14ac:dyDescent="0.25">
      <c r="E538" s="121"/>
      <c r="J538" s="316" t="s">
        <v>227</v>
      </c>
      <c r="K538" s="317"/>
      <c r="L538" s="140">
        <f>H534-M528</f>
        <v>55297.5</v>
      </c>
    </row>
    <row r="539" spans="5:13" ht="15.75" x14ac:dyDescent="0.25">
      <c r="L539" s="89"/>
    </row>
    <row r="540" spans="5:13" ht="15.75" x14ac:dyDescent="0.25">
      <c r="J540" s="128" t="s">
        <v>285</v>
      </c>
      <c r="L540" s="124">
        <f>G549</f>
        <v>9028.5400000000009</v>
      </c>
    </row>
    <row r="542" spans="5:13" ht="18.75" x14ac:dyDescent="0.3">
      <c r="K542" s="158" t="s">
        <v>286</v>
      </c>
      <c r="L542" s="137">
        <f>SUM(L538:L540)</f>
        <v>64326.04</v>
      </c>
    </row>
    <row r="543" spans="5:13" ht="15.75" x14ac:dyDescent="0.25">
      <c r="F543" s="130" t="s">
        <v>235</v>
      </c>
      <c r="G543" s="131">
        <v>52.55</v>
      </c>
      <c r="L543" s="157">
        <v>63181.54</v>
      </c>
      <c r="M543" s="39" t="s">
        <v>76</v>
      </c>
    </row>
    <row r="544" spans="5:13" x14ac:dyDescent="0.25">
      <c r="F544" t="s">
        <v>344</v>
      </c>
      <c r="G544">
        <v>-50</v>
      </c>
    </row>
    <row r="545" spans="5:12" ht="18.75" x14ac:dyDescent="0.3">
      <c r="F545" t="s">
        <v>345</v>
      </c>
      <c r="G545">
        <v>4142.49</v>
      </c>
      <c r="L545" s="154">
        <f>L542-L543</f>
        <v>1144.5</v>
      </c>
    </row>
    <row r="546" spans="5:12" x14ac:dyDescent="0.25">
      <c r="E546" s="91"/>
      <c r="F546" t="s">
        <v>347</v>
      </c>
      <c r="G546" s="121">
        <v>2160</v>
      </c>
    </row>
    <row r="547" spans="5:12" x14ac:dyDescent="0.25">
      <c r="E547" s="161"/>
      <c r="F547" s="163" t="s">
        <v>357</v>
      </c>
      <c r="G547" s="164">
        <v>2723.5</v>
      </c>
    </row>
    <row r="549" spans="5:12" ht="15.75" x14ac:dyDescent="0.25">
      <c r="F549" s="132" t="s">
        <v>236</v>
      </c>
      <c r="G549" s="133">
        <f>SUM(G543:G547)</f>
        <v>9028.5400000000009</v>
      </c>
    </row>
    <row r="564" spans="5:13" ht="18.75" x14ac:dyDescent="0.3">
      <c r="E564" s="314" t="s">
        <v>358</v>
      </c>
      <c r="F564" s="315"/>
      <c r="G564" s="315"/>
      <c r="H564" s="315"/>
      <c r="I564" s="315"/>
      <c r="J564" s="315"/>
      <c r="K564" s="315"/>
      <c r="L564" s="315"/>
      <c r="M564" s="315"/>
    </row>
    <row r="565" spans="5:13" x14ac:dyDescent="0.25">
      <c r="E565" s="78"/>
      <c r="F565" s="78"/>
      <c r="G565" s="78"/>
      <c r="H565" s="78"/>
      <c r="I565" s="78"/>
      <c r="J565" s="78"/>
      <c r="K565" s="78"/>
      <c r="L565" s="78"/>
      <c r="M565" s="78"/>
    </row>
    <row r="566" spans="5:13" ht="15.75" x14ac:dyDescent="0.25">
      <c r="E566" s="118" t="s">
        <v>223</v>
      </c>
      <c r="F566" s="118" t="s">
        <v>206</v>
      </c>
      <c r="G566" s="118" t="s">
        <v>207</v>
      </c>
      <c r="H566" s="118" t="s">
        <v>218</v>
      </c>
      <c r="I566" s="78"/>
      <c r="J566" s="120" t="s">
        <v>6</v>
      </c>
      <c r="K566" s="120" t="s">
        <v>217</v>
      </c>
      <c r="L566" s="120" t="s">
        <v>207</v>
      </c>
      <c r="M566" s="120" t="s">
        <v>218</v>
      </c>
    </row>
    <row r="567" spans="5:13" x14ac:dyDescent="0.25">
      <c r="E567" s="117">
        <v>46087</v>
      </c>
      <c r="F567" s="78" t="s">
        <v>212</v>
      </c>
      <c r="G567" s="78" t="s">
        <v>330</v>
      </c>
      <c r="H567" s="119">
        <f>680*16.5</f>
        <v>11220</v>
      </c>
      <c r="I567" s="119"/>
      <c r="J567" s="117"/>
      <c r="K567" s="78"/>
      <c r="L567" s="78"/>
      <c r="M567" s="119"/>
    </row>
    <row r="568" spans="5:13" x14ac:dyDescent="0.25">
      <c r="E568" s="117">
        <v>46087</v>
      </c>
      <c r="F568" s="78" t="s">
        <v>148</v>
      </c>
      <c r="G568" s="78" t="s">
        <v>209</v>
      </c>
      <c r="H568" s="119">
        <v>6420</v>
      </c>
      <c r="I568" s="78"/>
      <c r="J568" s="117">
        <v>46037</v>
      </c>
      <c r="K568" s="149" t="s">
        <v>66</v>
      </c>
      <c r="L568" s="78" t="s">
        <v>222</v>
      </c>
      <c r="M568" s="119">
        <v>2120</v>
      </c>
    </row>
    <row r="569" spans="5:13" x14ac:dyDescent="0.25">
      <c r="E569" s="117">
        <v>46087</v>
      </c>
      <c r="F569" s="78" t="s">
        <v>346</v>
      </c>
      <c r="G569" s="78" t="s">
        <v>254</v>
      </c>
      <c r="H569" s="119">
        <v>2500</v>
      </c>
      <c r="I569" s="78"/>
      <c r="J569" s="117">
        <v>46099</v>
      </c>
      <c r="K569" s="78" t="s">
        <v>366</v>
      </c>
      <c r="L569" s="78" t="s">
        <v>318</v>
      </c>
      <c r="M569" s="119">
        <v>3290</v>
      </c>
    </row>
    <row r="570" spans="5:13" x14ac:dyDescent="0.25">
      <c r="E570" s="117">
        <v>46087</v>
      </c>
      <c r="F570" s="78" t="s">
        <v>214</v>
      </c>
      <c r="G570" s="155" t="s">
        <v>211</v>
      </c>
      <c r="H570" s="156">
        <v>3900</v>
      </c>
      <c r="I570" s="119"/>
      <c r="J570" s="117">
        <v>46100</v>
      </c>
      <c r="K570" s="78" t="s">
        <v>327</v>
      </c>
      <c r="L570" s="78" t="s">
        <v>66</v>
      </c>
      <c r="M570" s="119">
        <v>5205</v>
      </c>
    </row>
    <row r="571" spans="5:13" x14ac:dyDescent="0.25">
      <c r="E571" s="117"/>
      <c r="F571" s="78"/>
      <c r="G571" s="78"/>
      <c r="H571" s="119"/>
      <c r="I571" s="119"/>
      <c r="J571" s="117"/>
      <c r="K571" s="78"/>
      <c r="L571" s="78"/>
      <c r="M571" s="119"/>
    </row>
    <row r="572" spans="5:13" x14ac:dyDescent="0.25">
      <c r="E572" s="117">
        <v>46105</v>
      </c>
      <c r="F572" s="78" t="s">
        <v>359</v>
      </c>
      <c r="G572" s="78" t="s">
        <v>350</v>
      </c>
      <c r="H572" s="119">
        <v>2640</v>
      </c>
      <c r="I572" s="78"/>
      <c r="J572" s="117">
        <v>46102</v>
      </c>
      <c r="K572" s="78" t="s">
        <v>341</v>
      </c>
      <c r="L572" s="78" t="s">
        <v>82</v>
      </c>
      <c r="M572" s="119">
        <v>2350</v>
      </c>
    </row>
    <row r="573" spans="5:13" x14ac:dyDescent="0.25">
      <c r="E573" s="117"/>
      <c r="F573" s="78" t="s">
        <v>360</v>
      </c>
      <c r="G573" s="78"/>
      <c r="H573" s="119">
        <v>2850</v>
      </c>
      <c r="I573" s="78"/>
      <c r="J573" s="78"/>
      <c r="K573" s="78" t="s">
        <v>342</v>
      </c>
      <c r="L573" s="78" t="s">
        <v>257</v>
      </c>
      <c r="M573" s="78">
        <v>2450</v>
      </c>
    </row>
    <row r="574" spans="5:13" x14ac:dyDescent="0.25">
      <c r="E574" s="117"/>
      <c r="F574" s="78"/>
      <c r="G574" s="78"/>
      <c r="H574" s="119"/>
      <c r="I574" s="78"/>
      <c r="J574" s="78"/>
      <c r="K574" s="78" t="s">
        <v>348</v>
      </c>
      <c r="L574" s="78"/>
      <c r="M574" s="78">
        <v>1840</v>
      </c>
    </row>
    <row r="575" spans="5:13" x14ac:dyDescent="0.25">
      <c r="E575" s="117"/>
      <c r="F575" s="78"/>
      <c r="G575" s="78" t="s">
        <v>337</v>
      </c>
      <c r="H575" s="119">
        <v>175</v>
      </c>
      <c r="J575" s="78"/>
      <c r="K575" s="78"/>
      <c r="L575" s="78"/>
      <c r="M575" s="78"/>
    </row>
    <row r="576" spans="5:13" x14ac:dyDescent="0.25">
      <c r="E576" s="78"/>
      <c r="F576" s="78"/>
      <c r="G576" s="78"/>
      <c r="H576" s="78"/>
      <c r="J576" s="78"/>
      <c r="K576" s="78"/>
      <c r="L576" s="78"/>
      <c r="M576" s="78"/>
    </row>
    <row r="577" spans="5:13" ht="18.75" x14ac:dyDescent="0.3">
      <c r="E577" s="78"/>
      <c r="F577" s="78"/>
      <c r="G577" s="78"/>
      <c r="H577" s="122">
        <f>SUM(H567:H576)</f>
        <v>29705</v>
      </c>
      <c r="J577" s="78"/>
      <c r="K577" s="126" t="s">
        <v>226</v>
      </c>
      <c r="L577" s="126"/>
      <c r="M577" s="127">
        <f>SUM(M567:M576)</f>
        <v>17255</v>
      </c>
    </row>
    <row r="580" spans="5:13" x14ac:dyDescent="0.25">
      <c r="G580" s="101" t="s">
        <v>224</v>
      </c>
      <c r="H580" s="101">
        <v>37654.18</v>
      </c>
    </row>
    <row r="583" spans="5:13" ht="18.75" x14ac:dyDescent="0.3">
      <c r="G583" s="99" t="s">
        <v>225</v>
      </c>
      <c r="H583" s="125">
        <f>SUM(H577+H580)</f>
        <v>67359.179999999993</v>
      </c>
    </row>
    <row r="584" spans="5:13" x14ac:dyDescent="0.25">
      <c r="E584" s="121"/>
    </row>
    <row r="587" spans="5:13" ht="15.75" x14ac:dyDescent="0.25">
      <c r="E587" s="121"/>
      <c r="J587" s="316" t="s">
        <v>227</v>
      </c>
      <c r="K587" s="317"/>
      <c r="L587" s="140">
        <f>H583-M577</f>
        <v>50104.179999999993</v>
      </c>
    </row>
    <row r="588" spans="5:13" ht="15.75" x14ac:dyDescent="0.25">
      <c r="L588" s="89"/>
    </row>
    <row r="589" spans="5:13" ht="15.75" x14ac:dyDescent="0.25">
      <c r="J589" s="128" t="s">
        <v>285</v>
      </c>
      <c r="L589" s="124">
        <f>G601</f>
        <v>14573.52</v>
      </c>
    </row>
    <row r="591" spans="5:13" ht="18.75" x14ac:dyDescent="0.3">
      <c r="K591" s="158" t="s">
        <v>286</v>
      </c>
      <c r="L591" s="137">
        <f>SUM(L587:L589)</f>
        <v>64677.7</v>
      </c>
    </row>
    <row r="592" spans="5:13" ht="15.75" x14ac:dyDescent="0.25">
      <c r="F592" s="130" t="s">
        <v>235</v>
      </c>
      <c r="G592" s="131">
        <v>52.55</v>
      </c>
      <c r="L592" s="157">
        <v>64326.04</v>
      </c>
      <c r="M592" s="39" t="s">
        <v>76</v>
      </c>
    </row>
    <row r="593" spans="5:12" x14ac:dyDescent="0.25">
      <c r="F593" t="s">
        <v>344</v>
      </c>
      <c r="G593">
        <v>-50</v>
      </c>
    </row>
    <row r="594" spans="5:12" ht="18.75" x14ac:dyDescent="0.3">
      <c r="F594" t="s">
        <v>345</v>
      </c>
      <c r="G594">
        <v>4142.49</v>
      </c>
      <c r="L594" s="154">
        <f>L591-L592</f>
        <v>351.65999999999622</v>
      </c>
    </row>
    <row r="595" spans="5:12" x14ac:dyDescent="0.25">
      <c r="E595" s="91"/>
      <c r="F595" t="s">
        <v>347</v>
      </c>
      <c r="G595" s="121">
        <v>2160</v>
      </c>
    </row>
    <row r="596" spans="5:12" x14ac:dyDescent="0.25">
      <c r="E596" s="161"/>
      <c r="F596" s="163" t="s">
        <v>357</v>
      </c>
      <c r="G596" s="164">
        <v>2723.5</v>
      </c>
    </row>
    <row r="597" spans="5:12" x14ac:dyDescent="0.25">
      <c r="E597" s="161"/>
      <c r="F597" s="163"/>
      <c r="G597" s="164">
        <v>5544.98</v>
      </c>
    </row>
    <row r="598" spans="5:12" x14ac:dyDescent="0.25">
      <c r="E598" s="161"/>
      <c r="F598" s="163"/>
      <c r="G598" s="164"/>
    </row>
    <row r="599" spans="5:12" x14ac:dyDescent="0.25">
      <c r="E599" s="161"/>
      <c r="F599" s="163"/>
      <c r="G599" s="164"/>
    </row>
    <row r="601" spans="5:12" ht="15.75" x14ac:dyDescent="0.25">
      <c r="F601" s="132" t="s">
        <v>236</v>
      </c>
      <c r="G601" s="133">
        <f>SUM(G592:G600)</f>
        <v>14573.52</v>
      </c>
    </row>
    <row r="612" spans="5:13" ht="18.75" x14ac:dyDescent="0.3">
      <c r="E612" s="314" t="s">
        <v>367</v>
      </c>
      <c r="F612" s="315"/>
      <c r="G612" s="315"/>
      <c r="H612" s="315"/>
      <c r="I612" s="315"/>
      <c r="J612" s="315"/>
      <c r="K612" s="315"/>
      <c r="L612" s="315"/>
      <c r="M612" s="315"/>
    </row>
    <row r="613" spans="5:13" x14ac:dyDescent="0.25">
      <c r="E613" s="78"/>
      <c r="F613" s="78"/>
      <c r="G613" s="78"/>
      <c r="H613" s="78"/>
      <c r="I613" s="78"/>
      <c r="J613" s="78"/>
      <c r="K613" s="78"/>
      <c r="L613" s="78"/>
      <c r="M613" s="78"/>
    </row>
    <row r="614" spans="5:13" ht="15.75" x14ac:dyDescent="0.25">
      <c r="E614" s="118" t="s">
        <v>223</v>
      </c>
      <c r="F614" s="118" t="s">
        <v>206</v>
      </c>
      <c r="G614" s="118" t="s">
        <v>207</v>
      </c>
      <c r="H614" s="118" t="s">
        <v>218</v>
      </c>
      <c r="I614" s="78"/>
      <c r="J614" s="120" t="s">
        <v>6</v>
      </c>
      <c r="K614" s="120" t="s">
        <v>217</v>
      </c>
      <c r="L614" s="120" t="s">
        <v>207</v>
      </c>
      <c r="M614" s="120" t="s">
        <v>218</v>
      </c>
    </row>
    <row r="615" spans="5:13" x14ac:dyDescent="0.25">
      <c r="E615" s="117">
        <v>46087</v>
      </c>
      <c r="F615" s="78" t="s">
        <v>212</v>
      </c>
      <c r="G615" s="78" t="s">
        <v>372</v>
      </c>
      <c r="H615" s="119">
        <v>7140</v>
      </c>
      <c r="I615" s="119" t="s">
        <v>373</v>
      </c>
      <c r="J615" s="117"/>
      <c r="K615" s="78"/>
      <c r="L615" s="78"/>
      <c r="M615" s="119"/>
    </row>
    <row r="616" spans="5:13" x14ac:dyDescent="0.25">
      <c r="E616" s="117">
        <v>46087</v>
      </c>
      <c r="F616" s="78" t="s">
        <v>148</v>
      </c>
      <c r="G616" s="78" t="s">
        <v>209</v>
      </c>
      <c r="H616" s="119">
        <v>6420</v>
      </c>
      <c r="I616" s="78"/>
      <c r="J616" s="117">
        <v>46037</v>
      </c>
      <c r="K616" s="149" t="s">
        <v>66</v>
      </c>
      <c r="L616" s="78" t="s">
        <v>222</v>
      </c>
      <c r="M616" s="119">
        <v>2120</v>
      </c>
    </row>
    <row r="617" spans="5:13" x14ac:dyDescent="0.25">
      <c r="E617" s="117">
        <v>46087</v>
      </c>
      <c r="F617" s="78" t="s">
        <v>214</v>
      </c>
      <c r="G617" s="155" t="s">
        <v>211</v>
      </c>
      <c r="H617" s="156">
        <v>3900</v>
      </c>
      <c r="I617" s="78"/>
      <c r="J617" s="117">
        <v>46102</v>
      </c>
      <c r="K617" s="78" t="s">
        <v>341</v>
      </c>
      <c r="L617" s="78" t="s">
        <v>82</v>
      </c>
      <c r="M617" s="119">
        <v>2350</v>
      </c>
    </row>
    <row r="618" spans="5:13" x14ac:dyDescent="0.25">
      <c r="E618" s="117">
        <v>46106</v>
      </c>
      <c r="F618" s="78" t="s">
        <v>380</v>
      </c>
      <c r="G618" s="78"/>
      <c r="H618" s="119">
        <v>3350</v>
      </c>
      <c r="I618" s="119"/>
      <c r="J618" s="78"/>
      <c r="K618" s="78" t="s">
        <v>342</v>
      </c>
      <c r="L618" s="78" t="s">
        <v>257</v>
      </c>
      <c r="M618" s="119">
        <v>2450</v>
      </c>
    </row>
    <row r="619" spans="5:13" x14ac:dyDescent="0.25">
      <c r="E619" s="117">
        <v>46106</v>
      </c>
      <c r="F619" s="78" t="s">
        <v>379</v>
      </c>
      <c r="G619" s="78"/>
      <c r="H619" s="119">
        <v>1350</v>
      </c>
      <c r="I619" s="119"/>
      <c r="J619" s="117">
        <v>46104</v>
      </c>
      <c r="K619" s="78" t="s">
        <v>348</v>
      </c>
      <c r="L619" s="78" t="s">
        <v>281</v>
      </c>
      <c r="M619" s="119">
        <v>1840</v>
      </c>
    </row>
    <row r="620" spans="5:13" x14ac:dyDescent="0.25">
      <c r="E620" s="117"/>
      <c r="F620" s="78"/>
      <c r="G620" s="78"/>
      <c r="H620" s="122"/>
      <c r="I620" s="78"/>
      <c r="J620" s="117">
        <v>46106</v>
      </c>
      <c r="K620" s="78" t="s">
        <v>377</v>
      </c>
      <c r="L620" s="78" t="s">
        <v>378</v>
      </c>
      <c r="M620" s="119">
        <v>3100</v>
      </c>
    </row>
    <row r="621" spans="5:13" x14ac:dyDescent="0.25">
      <c r="E621" s="117"/>
      <c r="F621" s="78"/>
      <c r="G621" s="78" t="s">
        <v>337</v>
      </c>
      <c r="H621" s="119">
        <v>175</v>
      </c>
      <c r="I621" s="78"/>
      <c r="J621" s="117">
        <v>46106</v>
      </c>
      <c r="K621" s="78" t="s">
        <v>348</v>
      </c>
      <c r="L621" s="78" t="s">
        <v>281</v>
      </c>
      <c r="M621" s="119">
        <v>1840</v>
      </c>
    </row>
    <row r="622" spans="5:13" x14ac:dyDescent="0.25">
      <c r="E622" s="78"/>
      <c r="F622" s="78"/>
      <c r="G622" s="78"/>
      <c r="H622" s="78"/>
      <c r="I622" s="78"/>
      <c r="J622" s="78"/>
      <c r="K622" s="78"/>
      <c r="L622" s="78"/>
      <c r="M622" s="78"/>
    </row>
    <row r="623" spans="5:13" ht="18.75" x14ac:dyDescent="0.3">
      <c r="E623" s="78"/>
      <c r="F623" s="78"/>
      <c r="G623" s="78"/>
      <c r="H623" s="122">
        <f>SUM(H615:H622)</f>
        <v>22335</v>
      </c>
      <c r="J623" s="78"/>
      <c r="K623" s="126" t="s">
        <v>226</v>
      </c>
      <c r="L623" s="126"/>
      <c r="M623" s="127">
        <f>SUM(M615:M622)</f>
        <v>13700</v>
      </c>
    </row>
    <row r="626" spans="5:13" x14ac:dyDescent="0.25">
      <c r="G626" s="101" t="s">
        <v>224</v>
      </c>
      <c r="H626" s="101">
        <v>43797.82</v>
      </c>
    </row>
    <row r="629" spans="5:13" ht="18.75" x14ac:dyDescent="0.3">
      <c r="G629" s="99" t="s">
        <v>225</v>
      </c>
      <c r="H629" s="125">
        <f>SUM(H623+H626)</f>
        <v>66132.820000000007</v>
      </c>
    </row>
    <row r="630" spans="5:13" x14ac:dyDescent="0.25">
      <c r="E630" s="121"/>
    </row>
    <row r="633" spans="5:13" ht="15.75" x14ac:dyDescent="0.25">
      <c r="E633" s="121"/>
      <c r="J633" s="316" t="s">
        <v>227</v>
      </c>
      <c r="K633" s="317"/>
      <c r="L633" s="140">
        <f>H629-M623</f>
        <v>52432.820000000007</v>
      </c>
    </row>
    <row r="634" spans="5:13" ht="15.75" x14ac:dyDescent="0.25">
      <c r="L634" s="89"/>
    </row>
    <row r="635" spans="5:13" ht="15.75" x14ac:dyDescent="0.25">
      <c r="J635" s="128" t="s">
        <v>285</v>
      </c>
      <c r="L635" s="124">
        <f>G650</f>
        <v>14492.24</v>
      </c>
    </row>
    <row r="637" spans="5:13" ht="18.75" x14ac:dyDescent="0.3">
      <c r="K637" s="158" t="s">
        <v>286</v>
      </c>
      <c r="L637" s="137">
        <f>SUM(L633:L635)</f>
        <v>66925.060000000012</v>
      </c>
    </row>
    <row r="638" spans="5:13" ht="15.75" x14ac:dyDescent="0.25">
      <c r="F638" s="130" t="s">
        <v>235</v>
      </c>
      <c r="G638" s="131">
        <v>52.55</v>
      </c>
      <c r="L638" s="157">
        <v>64677.7</v>
      </c>
      <c r="M638" s="39" t="s">
        <v>76</v>
      </c>
    </row>
    <row r="639" spans="5:13" x14ac:dyDescent="0.25">
      <c r="F639" t="s">
        <v>385</v>
      </c>
      <c r="G639">
        <v>-50</v>
      </c>
    </row>
    <row r="640" spans="5:13" ht="18.75" x14ac:dyDescent="0.3">
      <c r="F640" t="s">
        <v>386</v>
      </c>
      <c r="G640">
        <v>4142.49</v>
      </c>
      <c r="L640" s="154">
        <f>L637-L638</f>
        <v>2247.3600000000151</v>
      </c>
    </row>
    <row r="641" spans="5:7" x14ac:dyDescent="0.25">
      <c r="E641" s="91"/>
      <c r="F641" t="s">
        <v>370</v>
      </c>
      <c r="G641" s="121">
        <v>2160</v>
      </c>
    </row>
    <row r="642" spans="5:7" x14ac:dyDescent="0.25">
      <c r="E642" s="161"/>
      <c r="F642" s="163" t="s">
        <v>369</v>
      </c>
      <c r="G642" s="164">
        <v>2723.5</v>
      </c>
    </row>
    <row r="643" spans="5:7" x14ac:dyDescent="0.25">
      <c r="E643" s="161"/>
      <c r="F643" s="163" t="s">
        <v>368</v>
      </c>
      <c r="G643" s="164">
        <v>5544.98</v>
      </c>
    </row>
    <row r="644" spans="5:7" x14ac:dyDescent="0.25">
      <c r="E644" s="161"/>
      <c r="F644" s="163" t="s">
        <v>371</v>
      </c>
      <c r="G644" s="164">
        <v>2640</v>
      </c>
    </row>
    <row r="645" spans="5:7" x14ac:dyDescent="0.25">
      <c r="E645" s="161"/>
      <c r="F645" s="150" t="s">
        <v>376</v>
      </c>
      <c r="G645" s="151">
        <v>-5205</v>
      </c>
    </row>
    <row r="646" spans="5:7" x14ac:dyDescent="0.25">
      <c r="E646" s="161"/>
      <c r="F646" s="163" t="s">
        <v>381</v>
      </c>
      <c r="G646" s="164">
        <v>2483.7199999999998</v>
      </c>
    </row>
    <row r="647" spans="5:7" x14ac:dyDescent="0.25">
      <c r="E647" s="161"/>
      <c r="F647" s="163"/>
      <c r="G647" s="164"/>
    </row>
    <row r="648" spans="5:7" x14ac:dyDescent="0.25">
      <c r="E648" s="161"/>
      <c r="F648" s="163"/>
      <c r="G648" s="164"/>
    </row>
    <row r="649" spans="5:7" x14ac:dyDescent="0.25">
      <c r="E649" s="161"/>
      <c r="F649" s="163"/>
      <c r="G649" s="164"/>
    </row>
    <row r="650" spans="5:7" ht="15.75" x14ac:dyDescent="0.25">
      <c r="F650" s="132" t="s">
        <v>236</v>
      </c>
      <c r="G650" s="133">
        <f>SUM(G638:G649)</f>
        <v>14492.24</v>
      </c>
    </row>
    <row r="657" spans="5:13" ht="18.75" x14ac:dyDescent="0.3">
      <c r="E657" s="314" t="s">
        <v>387</v>
      </c>
      <c r="F657" s="315"/>
      <c r="G657" s="315"/>
      <c r="H657" s="315"/>
      <c r="I657" s="315"/>
      <c r="J657" s="315"/>
      <c r="K657" s="315"/>
      <c r="L657" s="315"/>
      <c r="M657" s="315"/>
    </row>
    <row r="658" spans="5:13" x14ac:dyDescent="0.25">
      <c r="E658" s="78"/>
      <c r="F658" s="78"/>
      <c r="G658" s="78"/>
      <c r="H658" s="78"/>
      <c r="I658" s="78"/>
      <c r="J658" s="78"/>
      <c r="K658" s="78"/>
      <c r="L658" s="78"/>
      <c r="M658" s="78"/>
    </row>
    <row r="659" spans="5:13" ht="15.75" x14ac:dyDescent="0.25">
      <c r="E659" s="118" t="s">
        <v>223</v>
      </c>
      <c r="F659" s="118" t="s">
        <v>206</v>
      </c>
      <c r="G659" s="118" t="s">
        <v>207</v>
      </c>
      <c r="H659" s="118" t="s">
        <v>218</v>
      </c>
      <c r="I659" s="78"/>
      <c r="J659" s="120" t="s">
        <v>6</v>
      </c>
      <c r="K659" s="120" t="s">
        <v>217</v>
      </c>
      <c r="L659" s="120" t="s">
        <v>207</v>
      </c>
      <c r="M659" s="120" t="s">
        <v>218</v>
      </c>
    </row>
    <row r="660" spans="5:13" x14ac:dyDescent="0.25">
      <c r="E660" s="117">
        <v>46087</v>
      </c>
      <c r="F660" s="78" t="s">
        <v>212</v>
      </c>
      <c r="G660" s="78" t="s">
        <v>388</v>
      </c>
      <c r="H660" s="119">
        <v>5100</v>
      </c>
      <c r="I660" s="119" t="s">
        <v>389</v>
      </c>
      <c r="J660" s="117"/>
      <c r="K660" s="78"/>
      <c r="L660" s="78"/>
      <c r="M660" s="119"/>
    </row>
    <row r="661" spans="5:13" x14ac:dyDescent="0.25">
      <c r="E661" s="117">
        <v>46087</v>
      </c>
      <c r="F661" s="78" t="s">
        <v>148</v>
      </c>
      <c r="G661" s="78" t="s">
        <v>209</v>
      </c>
      <c r="H661" s="119">
        <v>6420</v>
      </c>
      <c r="I661" s="78"/>
      <c r="J661" s="117">
        <v>46037</v>
      </c>
      <c r="K661" s="149" t="s">
        <v>66</v>
      </c>
      <c r="L661" s="78" t="s">
        <v>222</v>
      </c>
      <c r="M661" s="119">
        <v>2120</v>
      </c>
    </row>
    <row r="662" spans="5:13" x14ac:dyDescent="0.25">
      <c r="E662" s="117">
        <v>46087</v>
      </c>
      <c r="F662" s="78" t="s">
        <v>214</v>
      </c>
      <c r="G662" s="155" t="s">
        <v>211</v>
      </c>
      <c r="H662" s="156">
        <v>3900</v>
      </c>
      <c r="I662" s="78"/>
      <c r="J662" s="117">
        <v>46104</v>
      </c>
      <c r="K662" s="78" t="s">
        <v>348</v>
      </c>
      <c r="L662" s="78" t="s">
        <v>281</v>
      </c>
      <c r="M662" s="119">
        <v>1840</v>
      </c>
    </row>
    <row r="663" spans="5:13" x14ac:dyDescent="0.25">
      <c r="E663" s="117"/>
      <c r="F663" s="78"/>
      <c r="G663" s="78"/>
      <c r="H663" s="119"/>
      <c r="I663" s="119"/>
      <c r="J663" s="117">
        <v>46106</v>
      </c>
      <c r="K663" s="78" t="s">
        <v>377</v>
      </c>
      <c r="L663" s="78" t="s">
        <v>378</v>
      </c>
      <c r="M663" s="119">
        <v>3100</v>
      </c>
    </row>
    <row r="664" spans="5:13" x14ac:dyDescent="0.25">
      <c r="E664" s="117"/>
      <c r="F664" s="78"/>
      <c r="G664" s="78"/>
      <c r="H664" s="119"/>
      <c r="I664" s="119"/>
      <c r="J664" s="117">
        <v>46106</v>
      </c>
      <c r="K664" s="78" t="s">
        <v>348</v>
      </c>
      <c r="L664" s="78" t="s">
        <v>281</v>
      </c>
      <c r="M664" s="119">
        <v>1840</v>
      </c>
    </row>
    <row r="665" spans="5:13" x14ac:dyDescent="0.25">
      <c r="E665" s="117"/>
      <c r="F665" s="78"/>
      <c r="G665" s="78" t="s">
        <v>337</v>
      </c>
      <c r="H665" s="119">
        <v>175</v>
      </c>
      <c r="I665" s="78"/>
      <c r="J665" s="78"/>
      <c r="K665" s="78"/>
      <c r="L665" s="78"/>
      <c r="M665" s="78"/>
    </row>
    <row r="666" spans="5:13" ht="18.75" x14ac:dyDescent="0.3">
      <c r="E666" s="117"/>
      <c r="F666" s="78"/>
      <c r="G666" s="78"/>
      <c r="H666" s="78"/>
      <c r="I666" s="78"/>
      <c r="J666" s="78"/>
      <c r="K666" s="126" t="s">
        <v>226</v>
      </c>
      <c r="L666" s="126"/>
      <c r="M666" s="127">
        <f>SUM(M660:M665)</f>
        <v>8900</v>
      </c>
    </row>
    <row r="667" spans="5:13" x14ac:dyDescent="0.25">
      <c r="E667" s="78"/>
      <c r="F667" s="78"/>
      <c r="G667" s="78"/>
      <c r="H667" s="78"/>
      <c r="I667" s="78"/>
    </row>
    <row r="668" spans="5:13" x14ac:dyDescent="0.25">
      <c r="E668" s="78"/>
      <c r="F668" s="78"/>
      <c r="G668" s="78"/>
      <c r="H668" s="122">
        <f>SUM(H660:H666)</f>
        <v>15595</v>
      </c>
    </row>
    <row r="671" spans="5:13" x14ac:dyDescent="0.25">
      <c r="G671" s="101" t="s">
        <v>224</v>
      </c>
      <c r="H671" s="101">
        <v>48870.02</v>
      </c>
    </row>
    <row r="674" spans="5:13" ht="18.75" x14ac:dyDescent="0.3">
      <c r="G674" s="99" t="s">
        <v>225</v>
      </c>
      <c r="H674" s="125">
        <f>SUM(H668+H671)</f>
        <v>64465.02</v>
      </c>
    </row>
    <row r="675" spans="5:13" x14ac:dyDescent="0.25">
      <c r="E675" s="121"/>
    </row>
    <row r="676" spans="5:13" ht="15.75" x14ac:dyDescent="0.25">
      <c r="J676" s="316" t="s">
        <v>227</v>
      </c>
      <c r="K676" s="317"/>
      <c r="L676" s="140">
        <f>H674-M666</f>
        <v>55565.02</v>
      </c>
    </row>
    <row r="677" spans="5:13" ht="15.75" x14ac:dyDescent="0.25">
      <c r="L677" s="89"/>
    </row>
    <row r="678" spans="5:13" ht="15.75" x14ac:dyDescent="0.25">
      <c r="E678" s="121"/>
      <c r="J678" s="128" t="s">
        <v>285</v>
      </c>
      <c r="L678" s="124">
        <f>G698</f>
        <v>11615.84</v>
      </c>
    </row>
    <row r="680" spans="5:13" ht="18.75" x14ac:dyDescent="0.3">
      <c r="K680" s="158" t="s">
        <v>286</v>
      </c>
      <c r="L680" s="137">
        <f>SUM(L676:L678)</f>
        <v>67180.86</v>
      </c>
    </row>
    <row r="681" spans="5:13" x14ac:dyDescent="0.25">
      <c r="L681" s="157">
        <v>66925.06</v>
      </c>
      <c r="M681" s="39" t="s">
        <v>76</v>
      </c>
    </row>
    <row r="683" spans="5:13" ht="18.75" x14ac:dyDescent="0.3">
      <c r="F683" s="130" t="s">
        <v>235</v>
      </c>
      <c r="G683" s="131">
        <v>52.55</v>
      </c>
      <c r="L683" s="154">
        <f>L680-L681</f>
        <v>255.80000000000291</v>
      </c>
    </row>
    <row r="684" spans="5:13" x14ac:dyDescent="0.25">
      <c r="F684" t="s">
        <v>385</v>
      </c>
      <c r="G684">
        <v>-50</v>
      </c>
    </row>
    <row r="685" spans="5:13" x14ac:dyDescent="0.25">
      <c r="F685" t="s">
        <v>386</v>
      </c>
      <c r="G685">
        <v>4142.49</v>
      </c>
    </row>
    <row r="686" spans="5:13" x14ac:dyDescent="0.25">
      <c r="E686" s="91"/>
      <c r="F686" t="s">
        <v>370</v>
      </c>
      <c r="G686" s="121">
        <v>2160</v>
      </c>
    </row>
    <row r="687" spans="5:13" x14ac:dyDescent="0.25">
      <c r="E687" s="161"/>
      <c r="F687" s="163" t="s">
        <v>369</v>
      </c>
      <c r="G687" s="164">
        <v>2723.5</v>
      </c>
    </row>
    <row r="688" spans="5:13" x14ac:dyDescent="0.25">
      <c r="E688" s="161"/>
      <c r="F688" s="163" t="s">
        <v>368</v>
      </c>
      <c r="G688" s="164">
        <v>5544.98</v>
      </c>
    </row>
    <row r="689" spans="5:7" x14ac:dyDescent="0.25">
      <c r="E689" s="161"/>
      <c r="F689" s="163" t="s">
        <v>371</v>
      </c>
      <c r="G689" s="164">
        <v>2640</v>
      </c>
    </row>
    <row r="690" spans="5:7" x14ac:dyDescent="0.25">
      <c r="E690" s="161"/>
      <c r="F690" s="150" t="s">
        <v>376</v>
      </c>
      <c r="G690" s="151">
        <v>-5205</v>
      </c>
    </row>
    <row r="691" spans="5:7" x14ac:dyDescent="0.25">
      <c r="E691" s="161">
        <v>46106</v>
      </c>
      <c r="F691" s="163" t="s">
        <v>381</v>
      </c>
      <c r="G691" s="164">
        <v>2483.7199999999998</v>
      </c>
    </row>
    <row r="692" spans="5:7" x14ac:dyDescent="0.25">
      <c r="E692" s="161">
        <v>46107</v>
      </c>
      <c r="F692" s="163" t="s">
        <v>357</v>
      </c>
      <c r="G692" s="164">
        <v>140.4</v>
      </c>
    </row>
    <row r="693" spans="5:7" x14ac:dyDescent="0.25">
      <c r="E693" s="161"/>
      <c r="F693" s="163" t="s">
        <v>390</v>
      </c>
      <c r="G693" s="164">
        <v>-2550</v>
      </c>
    </row>
    <row r="694" spans="5:7" x14ac:dyDescent="0.25">
      <c r="E694" s="161"/>
      <c r="F694" s="163" t="s">
        <v>391</v>
      </c>
      <c r="G694" s="164">
        <v>-466.8</v>
      </c>
    </row>
    <row r="695" spans="5:7" x14ac:dyDescent="0.25">
      <c r="E695" s="161"/>
      <c r="F695" s="163"/>
      <c r="G695" s="164"/>
    </row>
    <row r="696" spans="5:7" x14ac:dyDescent="0.25">
      <c r="E696" s="161"/>
      <c r="F696" s="163"/>
      <c r="G696" s="164"/>
    </row>
    <row r="697" spans="5:7" x14ac:dyDescent="0.25">
      <c r="E697" s="161"/>
      <c r="F697" s="163"/>
      <c r="G697" s="164"/>
    </row>
    <row r="698" spans="5:7" ht="15.75" x14ac:dyDescent="0.25">
      <c r="F698" s="132" t="s">
        <v>236</v>
      </c>
      <c r="G698" s="133">
        <f>SUM(G683:G697)</f>
        <v>11615.84</v>
      </c>
    </row>
    <row r="704" spans="5:7" ht="8.25" customHeight="1" x14ac:dyDescent="0.25"/>
    <row r="707" spans="5:13" ht="18.75" x14ac:dyDescent="0.3">
      <c r="E707" s="314" t="s">
        <v>393</v>
      </c>
      <c r="F707" s="315"/>
      <c r="G707" s="315"/>
      <c r="H707" s="315"/>
      <c r="I707" s="315"/>
      <c r="J707" s="315"/>
      <c r="K707" s="315"/>
      <c r="L707" s="315"/>
      <c r="M707" s="315"/>
    </row>
    <row r="708" spans="5:13" x14ac:dyDescent="0.25">
      <c r="E708" s="78"/>
      <c r="F708" s="78"/>
      <c r="G708" s="78"/>
      <c r="H708" s="78"/>
      <c r="I708" s="78"/>
      <c r="J708" s="78"/>
      <c r="K708" s="78"/>
      <c r="L708" s="78"/>
      <c r="M708" s="78"/>
    </row>
    <row r="709" spans="5:13" ht="15.75" x14ac:dyDescent="0.25">
      <c r="E709" s="118" t="s">
        <v>223</v>
      </c>
      <c r="F709" s="118" t="s">
        <v>206</v>
      </c>
      <c r="G709" s="118" t="s">
        <v>207</v>
      </c>
      <c r="H709" s="118" t="s">
        <v>218</v>
      </c>
      <c r="I709" s="78"/>
      <c r="J709" s="120" t="s">
        <v>6</v>
      </c>
      <c r="K709" s="120" t="s">
        <v>217</v>
      </c>
      <c r="L709" s="120" t="s">
        <v>207</v>
      </c>
      <c r="M709" s="120" t="s">
        <v>218</v>
      </c>
    </row>
    <row r="710" spans="5:13" x14ac:dyDescent="0.25">
      <c r="E710" s="117">
        <v>46087</v>
      </c>
      <c r="F710" s="78" t="s">
        <v>212</v>
      </c>
      <c r="G710" s="78" t="s">
        <v>399</v>
      </c>
      <c r="H710" s="119">
        <v>2380</v>
      </c>
      <c r="I710" s="119" t="s">
        <v>400</v>
      </c>
      <c r="J710" s="117"/>
      <c r="K710" s="78"/>
      <c r="L710" s="78"/>
      <c r="M710" s="119"/>
    </row>
    <row r="711" spans="5:13" x14ac:dyDescent="0.25">
      <c r="E711" s="117">
        <v>46087</v>
      </c>
      <c r="F711" s="78" t="s">
        <v>148</v>
      </c>
      <c r="G711" s="78" t="s">
        <v>209</v>
      </c>
      <c r="H711" s="119">
        <v>6420</v>
      </c>
      <c r="I711" s="78"/>
      <c r="J711" s="117">
        <v>46037</v>
      </c>
      <c r="K711" s="149" t="s">
        <v>66</v>
      </c>
      <c r="L711" s="78" t="s">
        <v>222</v>
      </c>
      <c r="M711" s="119">
        <v>2120</v>
      </c>
    </row>
    <row r="712" spans="5:13" x14ac:dyDescent="0.25">
      <c r="E712" s="117">
        <v>46087</v>
      </c>
      <c r="F712" s="78" t="s">
        <v>214</v>
      </c>
      <c r="G712" s="155" t="s">
        <v>211</v>
      </c>
      <c r="H712" s="156">
        <v>3900</v>
      </c>
      <c r="I712" s="78"/>
      <c r="J712" s="117">
        <v>46104</v>
      </c>
      <c r="K712" s="78" t="s">
        <v>348</v>
      </c>
      <c r="L712" s="78" t="s">
        <v>281</v>
      </c>
      <c r="M712" s="119">
        <v>1840</v>
      </c>
    </row>
    <row r="713" spans="5:13" x14ac:dyDescent="0.25">
      <c r="E713" s="117"/>
      <c r="F713" s="78" t="s">
        <v>401</v>
      </c>
      <c r="G713" s="78" t="s">
        <v>402</v>
      </c>
      <c r="H713" s="119">
        <v>2880</v>
      </c>
      <c r="I713" s="119"/>
      <c r="J713" s="117">
        <v>46106</v>
      </c>
      <c r="K713" s="78" t="s">
        <v>377</v>
      </c>
      <c r="L713" s="78" t="s">
        <v>378</v>
      </c>
      <c r="M713" s="119">
        <v>3100</v>
      </c>
    </row>
    <row r="714" spans="5:13" x14ac:dyDescent="0.25">
      <c r="E714" s="117"/>
      <c r="F714" s="78"/>
      <c r="G714" s="78" t="s">
        <v>380</v>
      </c>
      <c r="H714" s="119">
        <v>145</v>
      </c>
      <c r="I714" s="119"/>
      <c r="J714" s="117">
        <v>46106</v>
      </c>
      <c r="K714" s="78" t="s">
        <v>348</v>
      </c>
      <c r="L714" s="78" t="s">
        <v>281</v>
      </c>
      <c r="M714" s="119">
        <v>1840</v>
      </c>
    </row>
    <row r="715" spans="5:13" x14ac:dyDescent="0.25">
      <c r="E715" s="117"/>
      <c r="F715" s="78"/>
      <c r="G715" s="78" t="s">
        <v>337</v>
      </c>
      <c r="H715" s="119">
        <v>175</v>
      </c>
      <c r="I715" s="78"/>
      <c r="J715" s="117">
        <v>46108</v>
      </c>
      <c r="K715" s="78" t="s">
        <v>348</v>
      </c>
      <c r="L715" s="78" t="s">
        <v>216</v>
      </c>
      <c r="M715" s="119">
        <v>1840</v>
      </c>
    </row>
    <row r="716" spans="5:13" x14ac:dyDescent="0.25">
      <c r="E716" s="117"/>
      <c r="F716" s="78"/>
      <c r="G716" s="78"/>
      <c r="H716" s="78"/>
      <c r="I716" s="78"/>
      <c r="J716" s="78"/>
      <c r="K716" s="78"/>
      <c r="L716" s="78"/>
      <c r="M716" s="78"/>
    </row>
    <row r="717" spans="5:13" ht="18.75" x14ac:dyDescent="0.3">
      <c r="E717" s="78"/>
      <c r="F717" s="78"/>
      <c r="G717" s="78"/>
      <c r="H717" s="78"/>
      <c r="I717" s="78"/>
      <c r="J717" s="78"/>
      <c r="K717" s="126" t="s">
        <v>226</v>
      </c>
      <c r="L717" s="126"/>
      <c r="M717" s="127">
        <f>SUM(M710:M716)</f>
        <v>10740</v>
      </c>
    </row>
    <row r="718" spans="5:13" x14ac:dyDescent="0.25">
      <c r="E718" s="78"/>
      <c r="F718" s="78"/>
      <c r="G718" s="78"/>
      <c r="H718" s="122">
        <f>SUM(H710:H716)</f>
        <v>15900</v>
      </c>
    </row>
    <row r="721" spans="5:13" x14ac:dyDescent="0.25">
      <c r="G721" s="101" t="s">
        <v>224</v>
      </c>
      <c r="H721" s="101">
        <v>55032.57</v>
      </c>
    </row>
    <row r="724" spans="5:13" ht="18.75" x14ac:dyDescent="0.3">
      <c r="G724" s="99" t="s">
        <v>225</v>
      </c>
      <c r="H724" s="125">
        <f>SUM(H718+H721)</f>
        <v>70932.570000000007</v>
      </c>
    </row>
    <row r="725" spans="5:13" x14ac:dyDescent="0.25">
      <c r="E725" s="121"/>
    </row>
    <row r="727" spans="5:13" ht="15.75" x14ac:dyDescent="0.25">
      <c r="J727" s="316" t="s">
        <v>227</v>
      </c>
      <c r="K727" s="317"/>
      <c r="L727" s="140">
        <f>H724-M717</f>
        <v>60192.570000000007</v>
      </c>
    </row>
    <row r="728" spans="5:13" ht="15.75" x14ac:dyDescent="0.25">
      <c r="E728" s="121"/>
      <c r="L728" s="89"/>
    </row>
    <row r="729" spans="5:13" ht="15.75" x14ac:dyDescent="0.25">
      <c r="J729" s="128" t="s">
        <v>285</v>
      </c>
      <c r="L729" s="124">
        <f>G751</f>
        <v>8723.84</v>
      </c>
    </row>
    <row r="731" spans="5:13" ht="18.75" x14ac:dyDescent="0.3">
      <c r="K731" s="158" t="s">
        <v>286</v>
      </c>
      <c r="L731" s="137">
        <f>SUM(L727:L729)</f>
        <v>68916.41</v>
      </c>
    </row>
    <row r="732" spans="5:13" x14ac:dyDescent="0.25">
      <c r="L732" s="157">
        <v>67180.86</v>
      </c>
      <c r="M732" s="39" t="s">
        <v>76</v>
      </c>
    </row>
    <row r="733" spans="5:13" ht="15.75" x14ac:dyDescent="0.25">
      <c r="F733" s="130" t="s">
        <v>235</v>
      </c>
      <c r="G733" s="131">
        <v>52.55</v>
      </c>
    </row>
    <row r="734" spans="5:13" ht="18.75" x14ac:dyDescent="0.3">
      <c r="F734" s="39" t="s">
        <v>385</v>
      </c>
      <c r="G734" s="39">
        <v>-50</v>
      </c>
      <c r="L734" s="154">
        <f>L731-L732</f>
        <v>1735.5500000000029</v>
      </c>
    </row>
    <row r="735" spans="5:13" x14ac:dyDescent="0.25">
      <c r="F735" s="39" t="s">
        <v>386</v>
      </c>
      <c r="G735" s="39">
        <v>4142.49</v>
      </c>
    </row>
    <row r="736" spans="5:13" x14ac:dyDescent="0.25">
      <c r="E736" s="91"/>
      <c r="F736" s="39" t="s">
        <v>370</v>
      </c>
      <c r="G736" s="157">
        <v>2160</v>
      </c>
    </row>
    <row r="737" spans="5:7" x14ac:dyDescent="0.25">
      <c r="E737" s="161"/>
      <c r="F737" s="163" t="s">
        <v>369</v>
      </c>
      <c r="G737" s="164">
        <v>2723.5</v>
      </c>
    </row>
    <row r="738" spans="5:7" x14ac:dyDescent="0.25">
      <c r="E738" s="161"/>
      <c r="F738" s="163" t="s">
        <v>368</v>
      </c>
      <c r="G738" s="164">
        <v>5544.98</v>
      </c>
    </row>
    <row r="739" spans="5:7" x14ac:dyDescent="0.25">
      <c r="E739" s="161"/>
      <c r="F739" s="163" t="s">
        <v>371</v>
      </c>
      <c r="G739" s="164">
        <v>2640</v>
      </c>
    </row>
    <row r="740" spans="5:7" x14ac:dyDescent="0.25">
      <c r="E740" s="161"/>
      <c r="F740" s="150" t="s">
        <v>376</v>
      </c>
      <c r="G740" s="151">
        <v>-5205</v>
      </c>
    </row>
    <row r="741" spans="5:7" x14ac:dyDescent="0.25">
      <c r="E741" s="161">
        <v>46106</v>
      </c>
      <c r="F741" s="163" t="s">
        <v>381</v>
      </c>
      <c r="G741" s="164">
        <v>2483.7199999999998</v>
      </c>
    </row>
    <row r="742" spans="5:7" x14ac:dyDescent="0.25">
      <c r="E742" s="161">
        <v>46107</v>
      </c>
      <c r="F742" s="163" t="s">
        <v>357</v>
      </c>
      <c r="G742" s="164">
        <v>140.4</v>
      </c>
    </row>
    <row r="743" spans="5:7" x14ac:dyDescent="0.25">
      <c r="E743" s="161"/>
      <c r="F743" s="163" t="s">
        <v>390</v>
      </c>
      <c r="G743" s="164">
        <v>-2550</v>
      </c>
    </row>
    <row r="744" spans="5:7" x14ac:dyDescent="0.25">
      <c r="E744" s="161"/>
      <c r="F744" s="163" t="s">
        <v>250</v>
      </c>
      <c r="G744" s="164">
        <v>-466.8</v>
      </c>
    </row>
    <row r="745" spans="5:7" x14ac:dyDescent="0.25">
      <c r="E745" s="161">
        <v>46108</v>
      </c>
      <c r="F745" s="150" t="s">
        <v>395</v>
      </c>
      <c r="G745" s="151">
        <v>-5400</v>
      </c>
    </row>
    <row r="746" spans="5:7" x14ac:dyDescent="0.25">
      <c r="E746" s="161">
        <v>46108</v>
      </c>
      <c r="F746" s="150" t="s">
        <v>398</v>
      </c>
      <c r="G746" s="151">
        <v>-20</v>
      </c>
    </row>
    <row r="747" spans="5:7" x14ac:dyDescent="0.25">
      <c r="E747" s="161">
        <v>46108</v>
      </c>
      <c r="F747" s="163" t="s">
        <v>357</v>
      </c>
      <c r="G747" s="164">
        <v>2528</v>
      </c>
    </row>
    <row r="748" spans="5:7" x14ac:dyDescent="0.25">
      <c r="E748" s="161"/>
      <c r="F748" s="163"/>
      <c r="G748" s="164"/>
    </row>
    <row r="749" spans="5:7" x14ac:dyDescent="0.25">
      <c r="E749" s="161"/>
      <c r="F749" s="163"/>
      <c r="G749" s="164"/>
    </row>
    <row r="750" spans="5:7" x14ac:dyDescent="0.25">
      <c r="E750" s="161"/>
      <c r="F750" s="163"/>
      <c r="G750" s="164"/>
    </row>
    <row r="751" spans="5:7" ht="15.75" x14ac:dyDescent="0.25">
      <c r="F751" s="132" t="s">
        <v>236</v>
      </c>
      <c r="G751" s="133">
        <f>SUM(G733:G750)</f>
        <v>8723.84</v>
      </c>
    </row>
    <row r="765" spans="5:13" ht="18.75" x14ac:dyDescent="0.3">
      <c r="E765" s="314" t="s">
        <v>403</v>
      </c>
      <c r="F765" s="315"/>
      <c r="G765" s="315"/>
      <c r="H765" s="315"/>
      <c r="I765" s="315"/>
      <c r="J765" s="315"/>
      <c r="K765" s="315"/>
      <c r="L765" s="315"/>
      <c r="M765" s="315"/>
    </row>
    <row r="766" spans="5:13" x14ac:dyDescent="0.25">
      <c r="E766" s="78"/>
      <c r="F766" s="78"/>
      <c r="G766" s="78"/>
      <c r="H766" s="78"/>
      <c r="I766" s="78"/>
      <c r="J766" s="78"/>
      <c r="K766" s="78"/>
      <c r="L766" s="78"/>
      <c r="M766" s="78"/>
    </row>
    <row r="767" spans="5:13" ht="15.75" x14ac:dyDescent="0.25">
      <c r="E767" s="118" t="s">
        <v>223</v>
      </c>
      <c r="F767" s="118" t="s">
        <v>206</v>
      </c>
      <c r="G767" s="118" t="s">
        <v>207</v>
      </c>
      <c r="H767" s="118" t="s">
        <v>218</v>
      </c>
      <c r="I767" s="78"/>
      <c r="J767" s="120" t="s">
        <v>6</v>
      </c>
      <c r="K767" s="120" t="s">
        <v>217</v>
      </c>
      <c r="L767" s="120" t="s">
        <v>207</v>
      </c>
      <c r="M767" s="120" t="s">
        <v>218</v>
      </c>
    </row>
    <row r="768" spans="5:13" x14ac:dyDescent="0.25">
      <c r="E768" s="117">
        <v>46087</v>
      </c>
      <c r="F768" s="78" t="s">
        <v>212</v>
      </c>
      <c r="G768" s="78" t="s">
        <v>399</v>
      </c>
      <c r="H768" s="119">
        <v>2380</v>
      </c>
      <c r="I768" s="119" t="s">
        <v>400</v>
      </c>
      <c r="J768" s="117"/>
      <c r="K768" s="78"/>
      <c r="L768" s="78"/>
      <c r="M768" s="119"/>
    </row>
    <row r="769" spans="5:13" x14ac:dyDescent="0.25">
      <c r="E769" s="117">
        <v>46087</v>
      </c>
      <c r="F769" s="78" t="s">
        <v>148</v>
      </c>
      <c r="G769" s="78" t="s">
        <v>209</v>
      </c>
      <c r="H769" s="119">
        <v>6420</v>
      </c>
      <c r="I769" s="78"/>
      <c r="J769" s="117">
        <v>46037</v>
      </c>
      <c r="K769" s="149" t="s">
        <v>66</v>
      </c>
      <c r="L769" s="78" t="s">
        <v>222</v>
      </c>
      <c r="M769" s="119">
        <v>2120</v>
      </c>
    </row>
    <row r="770" spans="5:13" x14ac:dyDescent="0.25">
      <c r="E770" s="117">
        <v>46087</v>
      </c>
      <c r="F770" s="78" t="s">
        <v>214</v>
      </c>
      <c r="G770" s="155" t="s">
        <v>211</v>
      </c>
      <c r="H770" s="156">
        <v>3800</v>
      </c>
      <c r="I770" s="78"/>
      <c r="J770" s="117">
        <v>46104</v>
      </c>
      <c r="K770" s="78" t="s">
        <v>348</v>
      </c>
      <c r="L770" s="78" t="s">
        <v>281</v>
      </c>
      <c r="M770" s="119">
        <v>1840</v>
      </c>
    </row>
    <row r="771" spans="5:13" x14ac:dyDescent="0.25">
      <c r="E771" s="117"/>
      <c r="F771" s="78" t="s">
        <v>401</v>
      </c>
      <c r="G771" s="78" t="s">
        <v>402</v>
      </c>
      <c r="H771" s="119">
        <v>2880</v>
      </c>
      <c r="I771" s="119"/>
      <c r="J771" s="117">
        <v>46106</v>
      </c>
      <c r="K771" s="78" t="s">
        <v>377</v>
      </c>
      <c r="L771" s="78" t="s">
        <v>378</v>
      </c>
      <c r="M771" s="119">
        <v>3100</v>
      </c>
    </row>
    <row r="772" spans="5:13" x14ac:dyDescent="0.25">
      <c r="E772" s="117"/>
      <c r="F772" s="78"/>
      <c r="G772" s="78" t="s">
        <v>380</v>
      </c>
      <c r="H772" s="119">
        <v>145</v>
      </c>
      <c r="I772" s="119"/>
      <c r="J772" s="117">
        <v>46106</v>
      </c>
      <c r="K772" s="78" t="s">
        <v>348</v>
      </c>
      <c r="L772" s="78" t="s">
        <v>281</v>
      </c>
      <c r="M772" s="119">
        <v>1840</v>
      </c>
    </row>
    <row r="773" spans="5:13" x14ac:dyDescent="0.25">
      <c r="E773" s="117"/>
      <c r="F773" s="78"/>
      <c r="G773" s="78"/>
      <c r="H773" s="119"/>
      <c r="I773" s="78"/>
      <c r="J773" s="117">
        <v>46108</v>
      </c>
      <c r="K773" s="78" t="s">
        <v>348</v>
      </c>
      <c r="L773" s="78" t="s">
        <v>216</v>
      </c>
      <c r="M773" s="119">
        <v>1840</v>
      </c>
    </row>
    <row r="774" spans="5:13" x14ac:dyDescent="0.25">
      <c r="E774" s="117"/>
      <c r="F774" s="78"/>
      <c r="G774" s="78"/>
      <c r="H774" s="78"/>
      <c r="I774" s="78"/>
      <c r="J774" s="117">
        <v>46109</v>
      </c>
      <c r="K774" s="78" t="s">
        <v>404</v>
      </c>
      <c r="L774" s="78"/>
      <c r="M774" s="119">
        <v>2490</v>
      </c>
    </row>
    <row r="775" spans="5:13" x14ac:dyDescent="0.25">
      <c r="E775" s="78"/>
      <c r="F775" s="78"/>
      <c r="G775" s="78"/>
      <c r="H775" s="78"/>
      <c r="I775" s="78"/>
      <c r="J775" s="117">
        <v>46109</v>
      </c>
      <c r="K775" s="78" t="s">
        <v>405</v>
      </c>
      <c r="L775" s="78"/>
      <c r="M775" s="119">
        <v>2450</v>
      </c>
    </row>
    <row r="776" spans="5:13" x14ac:dyDescent="0.25">
      <c r="E776" s="78"/>
      <c r="F776" s="78"/>
      <c r="G776" s="78"/>
      <c r="H776" s="122">
        <f>SUM(H768:H774)</f>
        <v>15625</v>
      </c>
      <c r="J776" s="78"/>
      <c r="K776" s="78"/>
      <c r="L776" s="78"/>
      <c r="M776" s="78"/>
    </row>
    <row r="777" spans="5:13" ht="18.75" x14ac:dyDescent="0.3">
      <c r="J777" s="78"/>
      <c r="K777" s="126" t="s">
        <v>226</v>
      </c>
      <c r="L777" s="126"/>
      <c r="M777" s="127">
        <f>SUM(M768:M776)</f>
        <v>15680</v>
      </c>
    </row>
    <row r="779" spans="5:13" x14ac:dyDescent="0.25">
      <c r="G779" s="101" t="s">
        <v>224</v>
      </c>
      <c r="H779" s="101">
        <f>'STOCK 23-28-03 (6)'!AE56</f>
        <v>56952.57</v>
      </c>
    </row>
    <row r="782" spans="5:13" ht="18.75" x14ac:dyDescent="0.3">
      <c r="G782" s="99" t="s">
        <v>225</v>
      </c>
      <c r="H782" s="125">
        <f>SUM(H776+H779)</f>
        <v>72577.570000000007</v>
      </c>
    </row>
    <row r="783" spans="5:13" x14ac:dyDescent="0.25">
      <c r="E783" s="121"/>
    </row>
    <row r="786" spans="5:13" x14ac:dyDescent="0.25">
      <c r="E786" s="121"/>
    </row>
    <row r="787" spans="5:13" ht="15.75" x14ac:dyDescent="0.25">
      <c r="J787" s="316" t="s">
        <v>227</v>
      </c>
      <c r="K787" s="317"/>
      <c r="L787" s="140">
        <f>H782-M777</f>
        <v>56897.570000000007</v>
      </c>
    </row>
    <row r="788" spans="5:13" ht="15.75" x14ac:dyDescent="0.25">
      <c r="L788" s="89"/>
    </row>
    <row r="789" spans="5:13" ht="15.75" x14ac:dyDescent="0.25">
      <c r="J789" s="128" t="s">
        <v>285</v>
      </c>
      <c r="L789" s="124">
        <f>G815</f>
        <v>11685.84</v>
      </c>
    </row>
    <row r="791" spans="5:13" ht="18.75" x14ac:dyDescent="0.3">
      <c r="F791" s="130" t="s">
        <v>235</v>
      </c>
      <c r="G791" s="131">
        <v>52.55</v>
      </c>
      <c r="K791" s="158" t="s">
        <v>286</v>
      </c>
      <c r="L791" s="137">
        <f>SUM(L787:L789)</f>
        <v>68583.41</v>
      </c>
    </row>
    <row r="792" spans="5:13" x14ac:dyDescent="0.25">
      <c r="F792" s="39" t="s">
        <v>385</v>
      </c>
      <c r="G792" s="39">
        <v>-50</v>
      </c>
      <c r="L792" s="157">
        <v>68916.41</v>
      </c>
      <c r="M792" s="39" t="s">
        <v>76</v>
      </c>
    </row>
    <row r="793" spans="5:13" x14ac:dyDescent="0.25">
      <c r="F793" s="39" t="s">
        <v>386</v>
      </c>
      <c r="G793" s="39">
        <v>4142.49</v>
      </c>
    </row>
    <row r="794" spans="5:13" ht="18.75" x14ac:dyDescent="0.3">
      <c r="E794" s="91"/>
      <c r="F794" s="39" t="s">
        <v>370</v>
      </c>
      <c r="G794" s="157">
        <v>2160</v>
      </c>
      <c r="L794" s="154">
        <f>L791-L792</f>
        <v>-333</v>
      </c>
    </row>
    <row r="795" spans="5:13" x14ac:dyDescent="0.25">
      <c r="E795" s="161"/>
      <c r="F795" s="163" t="s">
        <v>369</v>
      </c>
      <c r="G795" s="164">
        <v>2723.5</v>
      </c>
    </row>
    <row r="796" spans="5:13" x14ac:dyDescent="0.25">
      <c r="E796" s="161"/>
      <c r="F796" s="163" t="s">
        <v>368</v>
      </c>
      <c r="G796" s="164">
        <v>5544.98</v>
      </c>
    </row>
    <row r="797" spans="5:13" x14ac:dyDescent="0.25">
      <c r="E797" s="161"/>
      <c r="F797" s="163" t="s">
        <v>371</v>
      </c>
      <c r="G797" s="164">
        <v>2640</v>
      </c>
    </row>
    <row r="798" spans="5:13" x14ac:dyDescent="0.25">
      <c r="E798" s="161"/>
      <c r="F798" s="150" t="s">
        <v>376</v>
      </c>
      <c r="G798" s="151">
        <v>-5205</v>
      </c>
    </row>
    <row r="799" spans="5:13" x14ac:dyDescent="0.25">
      <c r="E799" s="161">
        <v>46106</v>
      </c>
      <c r="F799" s="163" t="s">
        <v>381</v>
      </c>
      <c r="G799" s="164">
        <v>2483.7199999999998</v>
      </c>
    </row>
    <row r="800" spans="5:13" x14ac:dyDescent="0.25">
      <c r="E800" s="161">
        <v>46107</v>
      </c>
      <c r="F800" s="163" t="s">
        <v>357</v>
      </c>
      <c r="G800" s="164">
        <v>140.4</v>
      </c>
    </row>
    <row r="801" spans="5:7" x14ac:dyDescent="0.25">
      <c r="E801" s="161"/>
      <c r="F801" s="163" t="s">
        <v>390</v>
      </c>
      <c r="G801" s="164">
        <v>-2550</v>
      </c>
    </row>
    <row r="802" spans="5:7" x14ac:dyDescent="0.25">
      <c r="E802" s="161"/>
      <c r="F802" s="163" t="s">
        <v>250</v>
      </c>
      <c r="G802" s="164">
        <v>-466.8</v>
      </c>
    </row>
    <row r="803" spans="5:7" x14ac:dyDescent="0.25">
      <c r="E803" s="161">
        <v>46108</v>
      </c>
      <c r="F803" s="150" t="s">
        <v>395</v>
      </c>
      <c r="G803" s="151">
        <v>-5400</v>
      </c>
    </row>
    <row r="804" spans="5:7" x14ac:dyDescent="0.25">
      <c r="E804" s="161">
        <v>46108</v>
      </c>
      <c r="F804" s="150" t="s">
        <v>398</v>
      </c>
      <c r="G804" s="151">
        <v>-20</v>
      </c>
    </row>
    <row r="805" spans="5:7" x14ac:dyDescent="0.25">
      <c r="E805" s="161">
        <v>46108</v>
      </c>
      <c r="F805" s="163" t="s">
        <v>357</v>
      </c>
      <c r="G805" s="164">
        <v>2528</v>
      </c>
    </row>
    <row r="806" spans="5:7" x14ac:dyDescent="0.25">
      <c r="E806" s="161">
        <v>46109</v>
      </c>
      <c r="F806" s="163" t="s">
        <v>345</v>
      </c>
      <c r="G806" s="164">
        <v>-310</v>
      </c>
    </row>
    <row r="807" spans="5:7" x14ac:dyDescent="0.25">
      <c r="E807" s="161">
        <v>46109</v>
      </c>
      <c r="F807" s="163" t="s">
        <v>272</v>
      </c>
      <c r="G807" s="164">
        <v>-300</v>
      </c>
    </row>
    <row r="808" spans="5:7" x14ac:dyDescent="0.25">
      <c r="E808" s="161">
        <v>46109</v>
      </c>
      <c r="F808" s="163" t="s">
        <v>408</v>
      </c>
      <c r="G808" s="164">
        <v>-753</v>
      </c>
    </row>
    <row r="809" spans="5:7" x14ac:dyDescent="0.25">
      <c r="E809" s="161">
        <v>46109</v>
      </c>
      <c r="F809" s="163" t="s">
        <v>338</v>
      </c>
      <c r="G809" s="164">
        <v>100</v>
      </c>
    </row>
    <row r="810" spans="5:7" x14ac:dyDescent="0.25">
      <c r="E810" s="161">
        <v>46109</v>
      </c>
      <c r="F810" s="163" t="s">
        <v>278</v>
      </c>
      <c r="G810" s="164">
        <v>-305</v>
      </c>
    </row>
    <row r="811" spans="5:7" x14ac:dyDescent="0.25">
      <c r="E811" s="161">
        <v>46109</v>
      </c>
      <c r="F811" s="163" t="s">
        <v>357</v>
      </c>
      <c r="G811" s="164">
        <v>3555</v>
      </c>
    </row>
    <row r="812" spans="5:7" x14ac:dyDescent="0.25">
      <c r="E812" s="161">
        <v>46109</v>
      </c>
      <c r="F812" s="163" t="s">
        <v>409</v>
      </c>
      <c r="G812" s="164">
        <v>800</v>
      </c>
    </row>
    <row r="813" spans="5:7" x14ac:dyDescent="0.25">
      <c r="E813" s="161"/>
      <c r="F813" s="163" t="s">
        <v>337</v>
      </c>
      <c r="G813" s="164">
        <v>175</v>
      </c>
    </row>
    <row r="814" spans="5:7" x14ac:dyDescent="0.25">
      <c r="E814" s="161"/>
      <c r="F814" s="163"/>
      <c r="G814" s="164"/>
    </row>
    <row r="815" spans="5:7" ht="15.75" x14ac:dyDescent="0.25">
      <c r="F815" s="132" t="s">
        <v>236</v>
      </c>
      <c r="G815" s="133">
        <f>SUM(G791:G814)</f>
        <v>11685.84</v>
      </c>
    </row>
    <row r="829" spans="5:13" ht="18.75" x14ac:dyDescent="0.3">
      <c r="E829" s="314" t="s">
        <v>410</v>
      </c>
      <c r="F829" s="315"/>
      <c r="G829" s="315"/>
      <c r="H829" s="315"/>
      <c r="I829" s="315"/>
      <c r="J829" s="315"/>
      <c r="K829" s="315"/>
      <c r="L829" s="315"/>
      <c r="M829" s="315"/>
    </row>
    <row r="830" spans="5:13" x14ac:dyDescent="0.25">
      <c r="E830" s="78"/>
      <c r="F830" s="78"/>
      <c r="G830" s="78"/>
      <c r="H830" s="78"/>
      <c r="I830" s="78"/>
      <c r="J830" s="78"/>
      <c r="K830" s="78"/>
      <c r="L830" s="78"/>
      <c r="M830" s="78"/>
    </row>
    <row r="831" spans="5:13" ht="15.75" x14ac:dyDescent="0.25">
      <c r="E831" s="118" t="s">
        <v>223</v>
      </c>
      <c r="F831" s="118" t="s">
        <v>206</v>
      </c>
      <c r="G831" s="118" t="s">
        <v>207</v>
      </c>
      <c r="H831" s="118" t="s">
        <v>218</v>
      </c>
      <c r="I831" s="78"/>
      <c r="J831" s="120" t="s">
        <v>6</v>
      </c>
      <c r="K831" s="120" t="s">
        <v>217</v>
      </c>
      <c r="L831" s="120" t="s">
        <v>207</v>
      </c>
      <c r="M831" s="120" t="s">
        <v>218</v>
      </c>
    </row>
    <row r="832" spans="5:13" x14ac:dyDescent="0.25">
      <c r="E832" s="117">
        <v>46087</v>
      </c>
      <c r="F832" s="78" t="s">
        <v>212</v>
      </c>
      <c r="G832" s="78" t="s">
        <v>399</v>
      </c>
      <c r="H832" s="119">
        <v>2380</v>
      </c>
      <c r="I832" s="119" t="s">
        <v>400</v>
      </c>
      <c r="J832" s="117"/>
      <c r="K832" s="78"/>
      <c r="L832" s="78"/>
      <c r="M832" s="119"/>
    </row>
    <row r="833" spans="5:13" x14ac:dyDescent="0.25">
      <c r="E833" s="117">
        <v>46087</v>
      </c>
      <c r="F833" s="78" t="s">
        <v>148</v>
      </c>
      <c r="G833" s="78" t="s">
        <v>209</v>
      </c>
      <c r="H833" s="119">
        <v>6420</v>
      </c>
      <c r="I833" s="78"/>
      <c r="J833" s="117">
        <v>46037</v>
      </c>
      <c r="K833" s="149" t="s">
        <v>66</v>
      </c>
      <c r="L833" s="78" t="s">
        <v>222</v>
      </c>
      <c r="M833" s="119">
        <v>2120</v>
      </c>
    </row>
    <row r="834" spans="5:13" x14ac:dyDescent="0.25">
      <c r="E834" s="117">
        <v>46087</v>
      </c>
      <c r="F834" s="78" t="s">
        <v>214</v>
      </c>
      <c r="G834" s="155" t="s">
        <v>211</v>
      </c>
      <c r="H834" s="156">
        <v>3800</v>
      </c>
      <c r="I834" s="78"/>
      <c r="J834" s="117">
        <v>46104</v>
      </c>
      <c r="K834" s="78" t="s">
        <v>348</v>
      </c>
      <c r="L834" s="78" t="s">
        <v>281</v>
      </c>
      <c r="M834" s="119">
        <v>1840</v>
      </c>
    </row>
    <row r="835" spans="5:13" x14ac:dyDescent="0.25">
      <c r="E835" s="117"/>
      <c r="F835" s="78" t="s">
        <v>401</v>
      </c>
      <c r="G835" s="78" t="s">
        <v>402</v>
      </c>
      <c r="H835" s="119">
        <v>2880</v>
      </c>
      <c r="I835" s="119"/>
      <c r="J835" s="117">
        <v>46106</v>
      </c>
      <c r="K835" s="78" t="s">
        <v>348</v>
      </c>
      <c r="L835" s="78" t="s">
        <v>281</v>
      </c>
      <c r="M835" s="119">
        <v>1840</v>
      </c>
    </row>
    <row r="836" spans="5:13" x14ac:dyDescent="0.25">
      <c r="E836" s="117"/>
      <c r="F836" s="78"/>
      <c r="G836" s="78" t="s">
        <v>380</v>
      </c>
      <c r="H836" s="119">
        <v>145</v>
      </c>
      <c r="I836" s="119"/>
      <c r="J836" s="117">
        <v>46108</v>
      </c>
      <c r="K836" s="78" t="s">
        <v>348</v>
      </c>
      <c r="L836" s="78" t="s">
        <v>216</v>
      </c>
      <c r="M836" s="119">
        <v>1840</v>
      </c>
    </row>
    <row r="837" spans="5:13" x14ac:dyDescent="0.25">
      <c r="E837" s="117"/>
      <c r="F837" s="78"/>
      <c r="G837" s="78"/>
      <c r="H837" s="119"/>
      <c r="I837" s="78"/>
      <c r="J837" s="117">
        <v>46109</v>
      </c>
      <c r="K837" s="78" t="s">
        <v>405</v>
      </c>
      <c r="L837" s="78"/>
      <c r="M837" s="119">
        <v>2450</v>
      </c>
    </row>
    <row r="838" spans="5:13" x14ac:dyDescent="0.25">
      <c r="E838" s="117"/>
      <c r="F838" s="78"/>
      <c r="G838" s="78"/>
      <c r="H838" s="78"/>
      <c r="I838" s="78"/>
      <c r="J838" s="117">
        <v>46111</v>
      </c>
      <c r="K838" s="78" t="s">
        <v>411</v>
      </c>
      <c r="L838" s="78"/>
      <c r="M838" s="119">
        <v>3525</v>
      </c>
    </row>
    <row r="839" spans="5:13" x14ac:dyDescent="0.25">
      <c r="E839" s="78"/>
      <c r="F839" s="78"/>
      <c r="G839" s="78"/>
      <c r="H839" s="78"/>
      <c r="I839" s="78"/>
      <c r="J839" s="117">
        <v>46111</v>
      </c>
      <c r="K839" s="78" t="s">
        <v>413</v>
      </c>
      <c r="L839" s="78" t="s">
        <v>281</v>
      </c>
      <c r="M839" s="119">
        <v>2460</v>
      </c>
    </row>
    <row r="840" spans="5:13" x14ac:dyDescent="0.25">
      <c r="E840" s="78"/>
      <c r="F840" s="78"/>
      <c r="G840" s="78"/>
      <c r="H840" s="122">
        <f>SUM(H832:H838)</f>
        <v>15625</v>
      </c>
      <c r="J840" s="117">
        <v>46111</v>
      </c>
      <c r="K840" s="78" t="s">
        <v>419</v>
      </c>
      <c r="L840" s="78" t="s">
        <v>420</v>
      </c>
      <c r="M840" s="119">
        <v>390</v>
      </c>
    </row>
    <row r="841" spans="5:13" ht="18.75" x14ac:dyDescent="0.3">
      <c r="J841" s="78"/>
      <c r="K841" s="126" t="s">
        <v>226</v>
      </c>
      <c r="L841" s="126"/>
      <c r="M841" s="127">
        <f>SUM(M832:M840)</f>
        <v>16465</v>
      </c>
    </row>
    <row r="843" spans="5:13" x14ac:dyDescent="0.25">
      <c r="G843" s="101" t="s">
        <v>224</v>
      </c>
      <c r="H843" s="101">
        <v>60006.57</v>
      </c>
    </row>
    <row r="846" spans="5:13" ht="18.75" x14ac:dyDescent="0.3">
      <c r="G846" s="99" t="s">
        <v>225</v>
      </c>
      <c r="H846" s="125">
        <f>SUM(H840+H843)</f>
        <v>75631.570000000007</v>
      </c>
    </row>
    <row r="847" spans="5:13" x14ac:dyDescent="0.25">
      <c r="E847" s="121"/>
    </row>
    <row r="850" spans="5:13" x14ac:dyDescent="0.25">
      <c r="E850" s="121"/>
    </row>
    <row r="851" spans="5:13" ht="15.75" x14ac:dyDescent="0.25">
      <c r="J851" s="316" t="s">
        <v>227</v>
      </c>
      <c r="K851" s="317"/>
      <c r="L851" s="140">
        <f>H846-M841</f>
        <v>59166.570000000007</v>
      </c>
    </row>
    <row r="852" spans="5:13" ht="15.75" x14ac:dyDescent="0.25">
      <c r="L852" s="89"/>
    </row>
    <row r="853" spans="5:13" ht="15.75" x14ac:dyDescent="0.25">
      <c r="J853" s="128" t="s">
        <v>285</v>
      </c>
      <c r="L853" s="124">
        <f>G863</f>
        <v>10713.84</v>
      </c>
    </row>
    <row r="855" spans="5:13" ht="18.75" x14ac:dyDescent="0.3">
      <c r="F855" s="130" t="s">
        <v>235</v>
      </c>
      <c r="G855" s="131">
        <v>11685.84</v>
      </c>
      <c r="K855" s="158" t="s">
        <v>286</v>
      </c>
      <c r="L855" s="137">
        <f>SUM(L851:L853)</f>
        <v>69880.41</v>
      </c>
    </row>
    <row r="856" spans="5:13" x14ac:dyDescent="0.25">
      <c r="E856" s="91">
        <v>46111</v>
      </c>
      <c r="F856" s="157"/>
      <c r="G856" s="157">
        <v>4228</v>
      </c>
      <c r="L856" s="157">
        <v>68583.41</v>
      </c>
      <c r="M856" s="39" t="s">
        <v>76</v>
      </c>
    </row>
    <row r="857" spans="5:13" x14ac:dyDescent="0.25">
      <c r="F857" s="150" t="s">
        <v>417</v>
      </c>
      <c r="G857" s="151">
        <v>-3100</v>
      </c>
    </row>
    <row r="858" spans="5:13" ht="18.75" x14ac:dyDescent="0.3">
      <c r="E858" s="91"/>
      <c r="F858" s="150" t="s">
        <v>418</v>
      </c>
      <c r="G858" s="151">
        <v>-2100</v>
      </c>
      <c r="L858" s="154">
        <f>L855-L856</f>
        <v>1297</v>
      </c>
    </row>
    <row r="859" spans="5:13" x14ac:dyDescent="0.25">
      <c r="E859" s="161"/>
      <c r="F859" s="163"/>
      <c r="G859" s="164"/>
    </row>
    <row r="860" spans="5:13" x14ac:dyDescent="0.25">
      <c r="E860" s="161"/>
      <c r="F860" s="163"/>
      <c r="G860" s="164"/>
    </row>
    <row r="861" spans="5:13" x14ac:dyDescent="0.25">
      <c r="E861" s="161"/>
      <c r="F861" s="163"/>
      <c r="G861" s="164"/>
    </row>
    <row r="862" spans="5:13" x14ac:dyDescent="0.25">
      <c r="E862" s="161"/>
      <c r="F862" s="163"/>
      <c r="G862" s="164"/>
    </row>
    <row r="863" spans="5:13" ht="15.75" x14ac:dyDescent="0.25">
      <c r="F863" s="132" t="s">
        <v>236</v>
      </c>
      <c r="G863" s="133">
        <f>SUM(G855:G862)</f>
        <v>10713.84</v>
      </c>
    </row>
    <row r="878" spans="5:13" ht="18.75" x14ac:dyDescent="0.3">
      <c r="E878" s="314" t="s">
        <v>431</v>
      </c>
      <c r="F878" s="315"/>
      <c r="G878" s="315"/>
      <c r="H878" s="315"/>
      <c r="I878" s="315"/>
      <c r="J878" s="315"/>
      <c r="K878" s="315"/>
      <c r="L878" s="315"/>
      <c r="M878" s="315"/>
    </row>
    <row r="879" spans="5:13" x14ac:dyDescent="0.25">
      <c r="E879" s="78"/>
      <c r="F879" s="78"/>
      <c r="G879" s="78"/>
      <c r="H879" s="78"/>
      <c r="I879" s="78"/>
      <c r="J879" s="78"/>
      <c r="K879" s="78"/>
      <c r="L879" s="78"/>
      <c r="M879" s="78"/>
    </row>
    <row r="880" spans="5:13" ht="15.75" x14ac:dyDescent="0.25">
      <c r="E880" s="118" t="s">
        <v>223</v>
      </c>
      <c r="F880" s="118" t="s">
        <v>206</v>
      </c>
      <c r="G880" s="118" t="s">
        <v>207</v>
      </c>
      <c r="H880" s="118" t="s">
        <v>218</v>
      </c>
      <c r="I880" s="78"/>
      <c r="J880" s="120" t="s">
        <v>6</v>
      </c>
      <c r="K880" s="120" t="s">
        <v>217</v>
      </c>
      <c r="L880" s="120" t="s">
        <v>207</v>
      </c>
      <c r="M880" s="120" t="s">
        <v>218</v>
      </c>
    </row>
    <row r="881" spans="5:13" x14ac:dyDescent="0.25">
      <c r="E881" s="117"/>
      <c r="F881" s="78"/>
      <c r="G881" s="78"/>
      <c r="H881" s="119"/>
      <c r="I881" s="119"/>
      <c r="J881" s="117"/>
      <c r="K881" s="78"/>
      <c r="L881" s="78"/>
      <c r="M881" s="119"/>
    </row>
    <row r="882" spans="5:13" x14ac:dyDescent="0.25">
      <c r="E882" s="117">
        <v>46087</v>
      </c>
      <c r="F882" s="78" t="s">
        <v>148</v>
      </c>
      <c r="G882" s="78" t="s">
        <v>209</v>
      </c>
      <c r="H882" s="119">
        <v>6420</v>
      </c>
      <c r="I882" s="78"/>
      <c r="J882" s="117">
        <v>46037</v>
      </c>
      <c r="K882" s="149" t="s">
        <v>66</v>
      </c>
      <c r="L882" s="78" t="s">
        <v>222</v>
      </c>
      <c r="M882" s="119">
        <v>2120</v>
      </c>
    </row>
    <row r="883" spans="5:13" x14ac:dyDescent="0.25">
      <c r="E883" s="117">
        <v>46087</v>
      </c>
      <c r="F883" s="78" t="s">
        <v>214</v>
      </c>
      <c r="G883" s="155" t="s">
        <v>211</v>
      </c>
      <c r="H883" s="156">
        <v>3800</v>
      </c>
      <c r="I883" s="78"/>
      <c r="J883" s="117">
        <v>46104</v>
      </c>
      <c r="K883" s="78" t="s">
        <v>348</v>
      </c>
      <c r="L883" s="78" t="s">
        <v>281</v>
      </c>
      <c r="M883" s="119">
        <v>1840</v>
      </c>
    </row>
    <row r="884" spans="5:13" x14ac:dyDescent="0.25">
      <c r="E884" s="117"/>
      <c r="F884" s="78" t="s">
        <v>401</v>
      </c>
      <c r="G884" s="78" t="s">
        <v>402</v>
      </c>
      <c r="H884" s="119">
        <v>2880</v>
      </c>
      <c r="I884" s="119"/>
      <c r="J884" s="117">
        <v>46106</v>
      </c>
      <c r="K884" s="78" t="s">
        <v>348</v>
      </c>
      <c r="L884" s="78" t="s">
        <v>281</v>
      </c>
      <c r="M884" s="119">
        <v>1840</v>
      </c>
    </row>
    <row r="885" spans="5:13" x14ac:dyDescent="0.25">
      <c r="E885" s="117"/>
      <c r="F885" s="78"/>
      <c r="G885" s="78" t="s">
        <v>380</v>
      </c>
      <c r="H885" s="119">
        <v>145</v>
      </c>
      <c r="I885" s="119"/>
      <c r="J885" s="117">
        <v>46108</v>
      </c>
      <c r="K885" s="78" t="s">
        <v>348</v>
      </c>
      <c r="L885" s="78" t="s">
        <v>216</v>
      </c>
      <c r="M885" s="119">
        <v>1840</v>
      </c>
    </row>
    <row r="886" spans="5:13" x14ac:dyDescent="0.25">
      <c r="E886" s="117"/>
      <c r="F886" s="78"/>
      <c r="G886" s="78"/>
      <c r="H886" s="119"/>
      <c r="I886" s="78"/>
      <c r="J886" s="117">
        <v>46109</v>
      </c>
      <c r="K886" s="78" t="s">
        <v>405</v>
      </c>
      <c r="L886" s="78"/>
      <c r="M886" s="119">
        <v>2450</v>
      </c>
    </row>
    <row r="887" spans="5:13" x14ac:dyDescent="0.25">
      <c r="E887" s="117"/>
      <c r="F887" s="78"/>
      <c r="G887" s="78"/>
      <c r="H887" s="78"/>
      <c r="I887" s="78"/>
      <c r="J887" s="117">
        <v>46111</v>
      </c>
      <c r="K887" s="78" t="s">
        <v>411</v>
      </c>
      <c r="L887" s="78"/>
      <c r="M887" s="119">
        <v>3525</v>
      </c>
    </row>
    <row r="888" spans="5:13" x14ac:dyDescent="0.25">
      <c r="E888" s="78"/>
      <c r="F888" s="78" t="s">
        <v>429</v>
      </c>
      <c r="G888" s="78"/>
      <c r="H888" s="119">
        <v>11.9</v>
      </c>
      <c r="I888" s="78"/>
      <c r="J888" s="117">
        <v>46111</v>
      </c>
      <c r="K888" s="78" t="s">
        <v>413</v>
      </c>
      <c r="L888" s="78" t="s">
        <v>281</v>
      </c>
      <c r="M888" s="119">
        <v>2460</v>
      </c>
    </row>
    <row r="889" spans="5:13" x14ac:dyDescent="0.25">
      <c r="E889" s="78"/>
      <c r="F889" s="78"/>
      <c r="G889" s="78"/>
      <c r="H889" s="122">
        <f>SUM(H881:H888)</f>
        <v>13256.9</v>
      </c>
      <c r="J889" s="117">
        <v>46111</v>
      </c>
      <c r="K889" s="78" t="s">
        <v>419</v>
      </c>
      <c r="L889" s="78" t="s">
        <v>420</v>
      </c>
      <c r="M889" s="119">
        <v>390</v>
      </c>
    </row>
    <row r="890" spans="5:13" ht="18.75" x14ac:dyDescent="0.3">
      <c r="J890" s="78"/>
      <c r="K890" s="126" t="s">
        <v>226</v>
      </c>
      <c r="L890" s="126"/>
      <c r="M890" s="127">
        <f>SUM(M881:M889)</f>
        <v>16465</v>
      </c>
    </row>
    <row r="892" spans="5:13" x14ac:dyDescent="0.25">
      <c r="G892" s="101" t="s">
        <v>224</v>
      </c>
      <c r="H892" s="101">
        <v>52146.57</v>
      </c>
    </row>
    <row r="895" spans="5:13" ht="18.75" x14ac:dyDescent="0.3">
      <c r="G895" s="99" t="s">
        <v>225</v>
      </c>
      <c r="H895" s="125">
        <f>SUM(H889+H892)</f>
        <v>65403.47</v>
      </c>
    </row>
    <row r="896" spans="5:13" x14ac:dyDescent="0.25">
      <c r="E896" s="121"/>
    </row>
    <row r="899" spans="5:13" x14ac:dyDescent="0.25">
      <c r="E899" s="121"/>
    </row>
    <row r="900" spans="5:13" ht="15.75" x14ac:dyDescent="0.25">
      <c r="J900" s="316" t="s">
        <v>227</v>
      </c>
      <c r="K900" s="317"/>
      <c r="L900" s="140">
        <f>H895-M890</f>
        <v>48938.47</v>
      </c>
    </row>
    <row r="901" spans="5:13" ht="15.75" x14ac:dyDescent="0.25">
      <c r="L901" s="89"/>
    </row>
    <row r="902" spans="5:13" ht="15.75" x14ac:dyDescent="0.25">
      <c r="J902" s="128" t="s">
        <v>285</v>
      </c>
      <c r="L902" s="124">
        <f>G914</f>
        <v>22348.84</v>
      </c>
    </row>
    <row r="904" spans="5:13" ht="18.75" x14ac:dyDescent="0.3">
      <c r="F904" s="130" t="s">
        <v>235</v>
      </c>
      <c r="G904" s="131">
        <v>11685.84</v>
      </c>
      <c r="K904" s="158" t="s">
        <v>286</v>
      </c>
      <c r="L904" s="137">
        <f>SUM(L900:L902)</f>
        <v>71287.31</v>
      </c>
    </row>
    <row r="905" spans="5:13" x14ac:dyDescent="0.25">
      <c r="E905" s="91">
        <v>46111</v>
      </c>
      <c r="F905" s="157" t="s">
        <v>430</v>
      </c>
      <c r="G905" s="157">
        <v>4228</v>
      </c>
      <c r="L905" s="157">
        <v>69880.41</v>
      </c>
      <c r="M905" s="39" t="s">
        <v>76</v>
      </c>
    </row>
    <row r="906" spans="5:13" x14ac:dyDescent="0.25">
      <c r="F906" s="150" t="s">
        <v>417</v>
      </c>
      <c r="G906" s="151">
        <v>-3100</v>
      </c>
    </row>
    <row r="907" spans="5:13" ht="18.75" x14ac:dyDescent="0.3">
      <c r="E907" s="91"/>
      <c r="F907" s="150" t="s">
        <v>418</v>
      </c>
      <c r="G907" s="151">
        <v>-2100</v>
      </c>
      <c r="L907" s="154">
        <f>L904-L905</f>
        <v>1406.8999999999942</v>
      </c>
    </row>
    <row r="908" spans="5:13" x14ac:dyDescent="0.25">
      <c r="E908" s="161">
        <v>46112</v>
      </c>
      <c r="F908" s="163" t="s">
        <v>423</v>
      </c>
      <c r="G908" s="164">
        <v>-2580</v>
      </c>
    </row>
    <row r="909" spans="5:13" x14ac:dyDescent="0.25">
      <c r="E909" s="161">
        <v>46112</v>
      </c>
      <c r="F909" s="163" t="s">
        <v>381</v>
      </c>
      <c r="G909" s="164">
        <v>14235</v>
      </c>
    </row>
    <row r="910" spans="5:13" x14ac:dyDescent="0.25">
      <c r="E910" s="161"/>
      <c r="F910" s="150" t="s">
        <v>344</v>
      </c>
      <c r="G910" s="151">
        <v>-20</v>
      </c>
    </row>
    <row r="911" spans="5:13" x14ac:dyDescent="0.25">
      <c r="E911" s="161"/>
      <c r="F911" s="78" t="s">
        <v>429</v>
      </c>
      <c r="G911" s="164"/>
    </row>
    <row r="912" spans="5:13" x14ac:dyDescent="0.25">
      <c r="E912" s="161"/>
      <c r="F912" s="163"/>
      <c r="G912" s="164"/>
    </row>
    <row r="913" spans="5:13" x14ac:dyDescent="0.25">
      <c r="E913" s="161"/>
      <c r="F913" s="163"/>
      <c r="G913" s="164"/>
    </row>
    <row r="914" spans="5:13" ht="15.75" x14ac:dyDescent="0.25">
      <c r="F914" s="132" t="s">
        <v>236</v>
      </c>
      <c r="G914" s="133">
        <f>SUM(G904:G913)</f>
        <v>22348.84</v>
      </c>
    </row>
    <row r="917" spans="5:13" x14ac:dyDescent="0.25">
      <c r="G917">
        <v>-11.9</v>
      </c>
    </row>
    <row r="919" spans="5:13" x14ac:dyDescent="0.25">
      <c r="F919" s="39"/>
      <c r="G919" s="157">
        <f>SUM(G914:G918)</f>
        <v>22336.94</v>
      </c>
    </row>
    <row r="926" spans="5:13" ht="18.75" x14ac:dyDescent="0.3">
      <c r="E926" s="314" t="s">
        <v>432</v>
      </c>
      <c r="F926" s="315"/>
      <c r="G926" s="315"/>
      <c r="H926" s="315"/>
      <c r="I926" s="315"/>
      <c r="J926" s="315"/>
      <c r="K926" s="315"/>
      <c r="L926" s="315"/>
      <c r="M926" s="315"/>
    </row>
    <row r="927" spans="5:13" x14ac:dyDescent="0.25">
      <c r="E927" s="78"/>
      <c r="F927" s="78"/>
      <c r="G927" s="78"/>
      <c r="H927" s="78"/>
      <c r="I927" s="78"/>
      <c r="J927" s="78"/>
      <c r="K927" s="78"/>
      <c r="L927" s="78"/>
      <c r="M927" s="78"/>
    </row>
    <row r="928" spans="5:13" ht="15.75" x14ac:dyDescent="0.25">
      <c r="E928" s="118" t="s">
        <v>223</v>
      </c>
      <c r="F928" s="118" t="s">
        <v>206</v>
      </c>
      <c r="G928" s="118" t="s">
        <v>207</v>
      </c>
      <c r="H928" s="118" t="s">
        <v>218</v>
      </c>
      <c r="I928" s="78"/>
      <c r="J928" s="120" t="s">
        <v>6</v>
      </c>
      <c r="K928" s="120" t="s">
        <v>217</v>
      </c>
      <c r="L928" s="120" t="s">
        <v>207</v>
      </c>
      <c r="M928" s="120" t="s">
        <v>218</v>
      </c>
    </row>
    <row r="929" spans="5:13" x14ac:dyDescent="0.25">
      <c r="E929" s="117"/>
      <c r="F929" s="78"/>
      <c r="G929" s="78"/>
      <c r="H929" s="119"/>
      <c r="I929" s="119"/>
      <c r="J929" s="117"/>
      <c r="K929" s="78"/>
      <c r="L929" s="78"/>
      <c r="M929" s="119"/>
    </row>
    <row r="930" spans="5:13" x14ac:dyDescent="0.25">
      <c r="E930" s="117">
        <v>46087</v>
      </c>
      <c r="F930" s="78" t="s">
        <v>148</v>
      </c>
      <c r="G930" s="78" t="s">
        <v>209</v>
      </c>
      <c r="H930" s="119">
        <v>6420</v>
      </c>
      <c r="I930" s="78"/>
      <c r="J930" s="117">
        <v>46037</v>
      </c>
      <c r="K930" s="149" t="s">
        <v>66</v>
      </c>
      <c r="L930" s="78" t="s">
        <v>222</v>
      </c>
      <c r="M930" s="119">
        <v>2120</v>
      </c>
    </row>
    <row r="931" spans="5:13" x14ac:dyDescent="0.25">
      <c r="E931" s="117">
        <v>46087</v>
      </c>
      <c r="F931" s="78" t="s">
        <v>214</v>
      </c>
      <c r="G931" s="155" t="s">
        <v>211</v>
      </c>
      <c r="H931" s="156">
        <v>3800</v>
      </c>
      <c r="I931" s="78"/>
      <c r="J931" s="117">
        <v>46104</v>
      </c>
      <c r="K931" s="78" t="s">
        <v>348</v>
      </c>
      <c r="L931" s="78" t="s">
        <v>281</v>
      </c>
      <c r="M931" s="119">
        <v>1840</v>
      </c>
    </row>
    <row r="932" spans="5:13" x14ac:dyDescent="0.25">
      <c r="E932" s="117"/>
      <c r="F932" s="78" t="s">
        <v>401</v>
      </c>
      <c r="G932" s="78" t="s">
        <v>402</v>
      </c>
      <c r="H932" s="119">
        <v>2880</v>
      </c>
      <c r="I932" s="119"/>
      <c r="J932" s="117">
        <v>46106</v>
      </c>
      <c r="K932" s="78" t="s">
        <v>348</v>
      </c>
      <c r="L932" s="78" t="s">
        <v>281</v>
      </c>
      <c r="M932" s="119">
        <v>1840</v>
      </c>
    </row>
    <row r="933" spans="5:13" x14ac:dyDescent="0.25">
      <c r="E933" s="117"/>
      <c r="F933" s="78"/>
      <c r="G933" s="78" t="s">
        <v>380</v>
      </c>
      <c r="H933" s="119">
        <v>145</v>
      </c>
      <c r="I933" s="119"/>
      <c r="J933" s="117">
        <v>46108</v>
      </c>
      <c r="K933" s="78" t="s">
        <v>348</v>
      </c>
      <c r="L933" s="78" t="s">
        <v>216</v>
      </c>
      <c r="M933" s="119">
        <v>1840</v>
      </c>
    </row>
    <row r="934" spans="5:13" x14ac:dyDescent="0.25">
      <c r="E934" s="117"/>
      <c r="F934" s="78" t="s">
        <v>436</v>
      </c>
      <c r="G934" s="78"/>
      <c r="H934" s="119">
        <v>2600</v>
      </c>
      <c r="I934" s="78"/>
      <c r="J934" s="117">
        <v>46109</v>
      </c>
      <c r="K934" s="78" t="s">
        <v>405</v>
      </c>
      <c r="L934" s="78"/>
      <c r="M934" s="119">
        <v>2450</v>
      </c>
    </row>
    <row r="935" spans="5:13" x14ac:dyDescent="0.25">
      <c r="E935" s="117"/>
      <c r="F935" s="78" t="s">
        <v>441</v>
      </c>
      <c r="G935" s="78"/>
      <c r="H935" s="119">
        <v>3302</v>
      </c>
      <c r="I935" s="78"/>
      <c r="J935" s="117">
        <v>46111</v>
      </c>
      <c r="K935" s="78" t="s">
        <v>411</v>
      </c>
      <c r="L935" s="78"/>
      <c r="M935" s="119">
        <v>3525</v>
      </c>
    </row>
    <row r="936" spans="5:13" x14ac:dyDescent="0.25">
      <c r="E936" s="117"/>
      <c r="F936" s="78"/>
      <c r="G936" s="78"/>
      <c r="H936" s="119"/>
      <c r="I936" s="78"/>
      <c r="J936" s="117">
        <v>46111</v>
      </c>
      <c r="K936" s="78" t="s">
        <v>413</v>
      </c>
      <c r="L936" s="78" t="s">
        <v>281</v>
      </c>
      <c r="M936" s="119">
        <v>2460</v>
      </c>
    </row>
    <row r="937" spans="5:13" x14ac:dyDescent="0.25">
      <c r="E937" s="117"/>
      <c r="F937" s="78"/>
      <c r="G937" s="78"/>
      <c r="H937" s="78"/>
      <c r="J937" s="117">
        <v>46113</v>
      </c>
      <c r="K937" s="78" t="s">
        <v>405</v>
      </c>
      <c r="L937" s="78"/>
      <c r="M937" s="78">
        <v>2450</v>
      </c>
    </row>
    <row r="938" spans="5:13" x14ac:dyDescent="0.25">
      <c r="E938" s="78"/>
      <c r="F938" s="166" t="s">
        <v>429</v>
      </c>
      <c r="G938" s="166"/>
      <c r="H938" s="167">
        <v>11.9</v>
      </c>
      <c r="J938" s="117">
        <v>46113</v>
      </c>
      <c r="K938" s="78" t="s">
        <v>348</v>
      </c>
      <c r="L938" s="78"/>
      <c r="M938" s="78">
        <v>1840</v>
      </c>
    </row>
    <row r="939" spans="5:13" x14ac:dyDescent="0.25">
      <c r="E939" s="78"/>
      <c r="F939" s="78"/>
      <c r="G939" s="78"/>
      <c r="H939" s="122">
        <f>SUM(H929:H938)</f>
        <v>19158.900000000001</v>
      </c>
      <c r="M939" s="168"/>
    </row>
    <row r="941" spans="5:13" ht="18.75" x14ac:dyDescent="0.3">
      <c r="J941" s="78"/>
      <c r="K941" s="126" t="s">
        <v>226</v>
      </c>
      <c r="L941" s="126"/>
      <c r="M941" s="127">
        <f>SUM(M929:M939)</f>
        <v>20365</v>
      </c>
    </row>
    <row r="942" spans="5:13" x14ac:dyDescent="0.25">
      <c r="G942" s="101" t="s">
        <v>224</v>
      </c>
      <c r="H942" s="101">
        <v>42315.47</v>
      </c>
    </row>
    <row r="945" spans="5:13" ht="18.75" x14ac:dyDescent="0.3">
      <c r="G945" s="99" t="s">
        <v>225</v>
      </c>
      <c r="H945" s="125">
        <f>SUM(H939+H942)</f>
        <v>61474.37</v>
      </c>
    </row>
    <row r="946" spans="5:13" x14ac:dyDescent="0.25">
      <c r="E946" s="121"/>
    </row>
    <row r="947" spans="5:13" ht="15.75" x14ac:dyDescent="0.25">
      <c r="J947" s="316" t="s">
        <v>227</v>
      </c>
      <c r="K947" s="317"/>
      <c r="L947" s="140">
        <f>H945-M941</f>
        <v>41109.370000000003</v>
      </c>
    </row>
    <row r="948" spans="5:13" ht="15.75" x14ac:dyDescent="0.25">
      <c r="L948" s="89"/>
    </row>
    <row r="949" spans="5:13" ht="15.75" x14ac:dyDescent="0.25">
      <c r="E949" s="121"/>
      <c r="J949" s="128" t="s">
        <v>285</v>
      </c>
      <c r="L949" s="124">
        <f>G969</f>
        <v>30945.64</v>
      </c>
    </row>
    <row r="951" spans="5:13" ht="18.75" x14ac:dyDescent="0.3">
      <c r="K951" s="158" t="s">
        <v>286</v>
      </c>
      <c r="L951" s="137">
        <f>SUM(L947:L949)</f>
        <v>72055.010000000009</v>
      </c>
    </row>
    <row r="952" spans="5:13" x14ac:dyDescent="0.25">
      <c r="L952" s="157">
        <v>71287.31</v>
      </c>
      <c r="M952" s="39" t="s">
        <v>76</v>
      </c>
    </row>
    <row r="954" spans="5:13" ht="18.75" x14ac:dyDescent="0.3">
      <c r="F954" s="130" t="s">
        <v>235</v>
      </c>
      <c r="G954" s="131">
        <v>11685.84</v>
      </c>
      <c r="L954" s="154">
        <f>L951-L952</f>
        <v>767.70000000001164</v>
      </c>
    </row>
    <row r="955" spans="5:13" x14ac:dyDescent="0.25">
      <c r="E955" s="91">
        <v>46111</v>
      </c>
      <c r="F955" s="157" t="s">
        <v>430</v>
      </c>
      <c r="G955" s="157">
        <v>4228</v>
      </c>
    </row>
    <row r="956" spans="5:13" x14ac:dyDescent="0.25">
      <c r="F956" s="150" t="s">
        <v>417</v>
      </c>
      <c r="G956" s="151">
        <v>-3100</v>
      </c>
    </row>
    <row r="957" spans="5:13" x14ac:dyDescent="0.25">
      <c r="E957" s="91"/>
      <c r="F957" s="150" t="s">
        <v>418</v>
      </c>
      <c r="G957" s="151">
        <v>-2100</v>
      </c>
    </row>
    <row r="958" spans="5:13" x14ac:dyDescent="0.25">
      <c r="E958" s="161">
        <v>46112</v>
      </c>
      <c r="F958" s="163" t="s">
        <v>423</v>
      </c>
      <c r="G958" s="164">
        <v>-2580</v>
      </c>
    </row>
    <row r="959" spans="5:13" x14ac:dyDescent="0.25">
      <c r="E959" s="161">
        <v>46112</v>
      </c>
      <c r="F959" s="163" t="s">
        <v>381</v>
      </c>
      <c r="G959" s="164">
        <v>14235</v>
      </c>
    </row>
    <row r="960" spans="5:13" x14ac:dyDescent="0.25">
      <c r="E960" s="161"/>
      <c r="F960" s="150" t="s">
        <v>344</v>
      </c>
      <c r="G960" s="151">
        <v>-20</v>
      </c>
    </row>
    <row r="961" spans="5:7" x14ac:dyDescent="0.25">
      <c r="E961" s="161">
        <v>46113</v>
      </c>
      <c r="F961" s="163" t="s">
        <v>433</v>
      </c>
      <c r="G961" s="164">
        <v>2600</v>
      </c>
    </row>
    <row r="962" spans="5:7" x14ac:dyDescent="0.25">
      <c r="F962" s="163" t="s">
        <v>272</v>
      </c>
      <c r="G962" s="164">
        <v>-350</v>
      </c>
    </row>
    <row r="963" spans="5:7" x14ac:dyDescent="0.25">
      <c r="E963" s="161"/>
      <c r="F963" s="150" t="s">
        <v>437</v>
      </c>
      <c r="G963" s="151">
        <v>-830</v>
      </c>
    </row>
    <row r="964" spans="5:7" x14ac:dyDescent="0.25">
      <c r="E964" s="161"/>
      <c r="F964" s="150" t="s">
        <v>438</v>
      </c>
      <c r="G964" s="151">
        <v>-390</v>
      </c>
    </row>
    <row r="965" spans="5:7" x14ac:dyDescent="0.25">
      <c r="E965" s="161"/>
      <c r="F965" s="163" t="s">
        <v>430</v>
      </c>
      <c r="G965" s="164">
        <v>7576.8</v>
      </c>
    </row>
    <row r="966" spans="5:7" x14ac:dyDescent="0.25">
      <c r="E966" s="161"/>
      <c r="F966" s="150" t="s">
        <v>439</v>
      </c>
      <c r="G966" s="151">
        <v>-10</v>
      </c>
    </row>
    <row r="967" spans="5:7" x14ac:dyDescent="0.25">
      <c r="E967" s="161"/>
      <c r="F967" s="150"/>
      <c r="G967" s="151"/>
    </row>
    <row r="968" spans="5:7" x14ac:dyDescent="0.25">
      <c r="E968" s="161"/>
      <c r="F968" s="163"/>
      <c r="G968" s="164"/>
    </row>
    <row r="969" spans="5:7" ht="15.75" x14ac:dyDescent="0.25">
      <c r="F969" s="132" t="s">
        <v>236</v>
      </c>
      <c r="G969" s="133">
        <f>SUM(G954:G968)</f>
        <v>30945.64</v>
      </c>
    </row>
    <row r="972" spans="5:7" x14ac:dyDescent="0.25">
      <c r="G972">
        <v>-11.9</v>
      </c>
    </row>
    <row r="974" spans="5:7" x14ac:dyDescent="0.25">
      <c r="F974" s="39"/>
      <c r="G974" s="157">
        <f>SUM(G969:G973)</f>
        <v>30933.739999999998</v>
      </c>
    </row>
    <row r="981" spans="5:13" x14ac:dyDescent="0.25">
      <c r="G981" s="121"/>
    </row>
    <row r="983" spans="5:13" ht="18.75" x14ac:dyDescent="0.3">
      <c r="E983" s="314" t="s">
        <v>440</v>
      </c>
      <c r="F983" s="315"/>
      <c r="G983" s="315"/>
      <c r="H983" s="315"/>
      <c r="I983" s="315"/>
      <c r="J983" s="315"/>
      <c r="K983" s="315"/>
      <c r="L983" s="315"/>
      <c r="M983" s="315"/>
    </row>
    <row r="984" spans="5:13" x14ac:dyDescent="0.25">
      <c r="E984" s="78"/>
      <c r="F984" s="78"/>
      <c r="G984" s="78"/>
      <c r="H984" s="78"/>
      <c r="I984" s="78"/>
      <c r="J984" s="78"/>
      <c r="K984" s="78"/>
      <c r="L984" s="78"/>
      <c r="M984" s="78"/>
    </row>
    <row r="985" spans="5:13" ht="15.75" x14ac:dyDescent="0.25">
      <c r="E985" s="118" t="s">
        <v>223</v>
      </c>
      <c r="F985" s="118" t="s">
        <v>206</v>
      </c>
      <c r="G985" s="118" t="s">
        <v>207</v>
      </c>
      <c r="H985" s="118" t="s">
        <v>218</v>
      </c>
      <c r="I985" s="78"/>
      <c r="J985" s="120" t="s">
        <v>6</v>
      </c>
      <c r="K985" s="120" t="s">
        <v>217</v>
      </c>
      <c r="L985" s="120" t="s">
        <v>207</v>
      </c>
      <c r="M985" s="120" t="s">
        <v>218</v>
      </c>
    </row>
    <row r="986" spans="5:13" x14ac:dyDescent="0.25">
      <c r="E986" s="117"/>
      <c r="F986" s="78"/>
      <c r="G986" s="78"/>
      <c r="H986" s="119"/>
      <c r="I986" s="119"/>
      <c r="J986" s="117"/>
      <c r="K986" s="78"/>
      <c r="L986" s="78"/>
      <c r="M986" s="119"/>
    </row>
    <row r="987" spans="5:13" x14ac:dyDescent="0.25">
      <c r="E987" s="117">
        <v>46087</v>
      </c>
      <c r="F987" s="78" t="s">
        <v>148</v>
      </c>
      <c r="G987" s="78" t="s">
        <v>209</v>
      </c>
      <c r="H987" s="119">
        <v>6420</v>
      </c>
      <c r="I987" s="78"/>
      <c r="J987" s="117">
        <v>46037</v>
      </c>
      <c r="K987" s="149" t="s">
        <v>66</v>
      </c>
      <c r="L987" s="78" t="s">
        <v>222</v>
      </c>
      <c r="M987" s="119">
        <v>2120</v>
      </c>
    </row>
    <row r="988" spans="5:13" x14ac:dyDescent="0.25">
      <c r="E988" s="117">
        <v>46087</v>
      </c>
      <c r="F988" s="78" t="s">
        <v>214</v>
      </c>
      <c r="G988" s="155" t="s">
        <v>211</v>
      </c>
      <c r="H988" s="156">
        <v>3800</v>
      </c>
      <c r="I988" s="78"/>
      <c r="J988" s="117">
        <v>46104</v>
      </c>
      <c r="K988" s="78" t="s">
        <v>348</v>
      </c>
      <c r="L988" s="78" t="s">
        <v>281</v>
      </c>
      <c r="M988" s="119">
        <v>1840</v>
      </c>
    </row>
    <row r="989" spans="5:13" x14ac:dyDescent="0.25">
      <c r="E989" s="117"/>
      <c r="F989" s="78" t="s">
        <v>401</v>
      </c>
      <c r="G989" s="78" t="s">
        <v>402</v>
      </c>
      <c r="H989" s="119">
        <v>2880</v>
      </c>
      <c r="I989" s="119"/>
      <c r="J989" s="117">
        <v>46106</v>
      </c>
      <c r="K989" s="78" t="s">
        <v>348</v>
      </c>
      <c r="L989" s="78" t="s">
        <v>281</v>
      </c>
      <c r="M989" s="119">
        <v>1840</v>
      </c>
    </row>
    <row r="990" spans="5:13" x14ac:dyDescent="0.25">
      <c r="E990" s="117">
        <v>46113</v>
      </c>
      <c r="F990" s="78" t="s">
        <v>436</v>
      </c>
      <c r="G990" s="78"/>
      <c r="H990" s="119">
        <v>2600</v>
      </c>
      <c r="I990" s="119"/>
      <c r="J990" s="117">
        <v>46108</v>
      </c>
      <c r="K990" s="78" t="s">
        <v>348</v>
      </c>
      <c r="L990" s="78" t="s">
        <v>216</v>
      </c>
      <c r="M990" s="119">
        <v>1840</v>
      </c>
    </row>
    <row r="991" spans="5:13" x14ac:dyDescent="0.25">
      <c r="E991" s="78"/>
      <c r="F991" s="166" t="s">
        <v>429</v>
      </c>
      <c r="G991" s="166"/>
      <c r="H991" s="167">
        <v>5611.9</v>
      </c>
      <c r="I991" s="78"/>
      <c r="J991" s="117">
        <v>46109</v>
      </c>
      <c r="K991" s="78" t="s">
        <v>405</v>
      </c>
      <c r="L991" s="78"/>
      <c r="M991" s="119">
        <v>2450</v>
      </c>
    </row>
    <row r="992" spans="5:13" x14ac:dyDescent="0.25">
      <c r="E992" s="78"/>
      <c r="F992" s="166"/>
      <c r="G992" s="166"/>
      <c r="H992" s="167"/>
      <c r="I992" s="78"/>
      <c r="J992" s="117">
        <v>46111</v>
      </c>
      <c r="K992" s="78" t="s">
        <v>411</v>
      </c>
      <c r="L992" s="78"/>
      <c r="M992" s="119">
        <v>3525</v>
      </c>
    </row>
    <row r="993" spans="5:13" x14ac:dyDescent="0.25">
      <c r="E993" s="78"/>
      <c r="F993" s="166"/>
      <c r="G993" s="166"/>
      <c r="H993" s="167"/>
      <c r="I993" s="78"/>
      <c r="J993" s="117">
        <v>46111</v>
      </c>
      <c r="K993" s="78" t="s">
        <v>413</v>
      </c>
      <c r="L993" s="78" t="s">
        <v>281</v>
      </c>
      <c r="M993" s="119">
        <v>2460</v>
      </c>
    </row>
    <row r="994" spans="5:13" x14ac:dyDescent="0.25">
      <c r="E994" s="78"/>
      <c r="F994" s="78"/>
      <c r="G994" s="78"/>
      <c r="H994" s="78"/>
      <c r="J994" s="117">
        <v>46113</v>
      </c>
      <c r="K994" s="78" t="s">
        <v>405</v>
      </c>
      <c r="L994" s="78"/>
      <c r="M994" s="119">
        <v>2450</v>
      </c>
    </row>
    <row r="995" spans="5:13" x14ac:dyDescent="0.25">
      <c r="E995" s="78"/>
      <c r="F995" s="78"/>
      <c r="G995" s="78"/>
      <c r="H995" s="122">
        <f>SUM(H987:H994)</f>
        <v>21311.9</v>
      </c>
      <c r="J995" s="117">
        <v>46113</v>
      </c>
      <c r="K995" s="78" t="s">
        <v>348</v>
      </c>
      <c r="L995" s="78"/>
      <c r="M995" s="119">
        <v>1840</v>
      </c>
    </row>
    <row r="996" spans="5:13" x14ac:dyDescent="0.25">
      <c r="H996" s="157"/>
      <c r="J996" s="117">
        <v>46114</v>
      </c>
      <c r="K996" s="78" t="s">
        <v>405</v>
      </c>
      <c r="L996" s="78"/>
      <c r="M996" s="119">
        <v>2450</v>
      </c>
    </row>
    <row r="997" spans="5:13" x14ac:dyDescent="0.25">
      <c r="G997" s="101" t="s">
        <v>224</v>
      </c>
      <c r="H997" s="101">
        <v>37147.870000000003</v>
      </c>
      <c r="J997" s="78"/>
      <c r="K997" s="78"/>
      <c r="L997" s="78"/>
      <c r="M997" s="78"/>
    </row>
    <row r="998" spans="5:13" ht="18.75" x14ac:dyDescent="0.3">
      <c r="J998" s="78"/>
      <c r="K998" s="126" t="s">
        <v>226</v>
      </c>
      <c r="L998" s="126"/>
      <c r="M998" s="127">
        <f>SUM(M986:M996)</f>
        <v>22815</v>
      </c>
    </row>
    <row r="1000" spans="5:13" ht="18.75" x14ac:dyDescent="0.3">
      <c r="G1000" s="99" t="s">
        <v>225</v>
      </c>
      <c r="H1000" s="125">
        <f>SUM(H995+H997)</f>
        <v>58459.770000000004</v>
      </c>
    </row>
    <row r="1001" spans="5:13" x14ac:dyDescent="0.25">
      <c r="E1001" s="121"/>
    </row>
    <row r="1004" spans="5:13" ht="15.75" x14ac:dyDescent="0.25">
      <c r="E1004" s="121"/>
      <c r="J1004" s="316" t="s">
        <v>227</v>
      </c>
      <c r="K1004" s="317"/>
      <c r="L1004" s="140">
        <f>H1000-M998</f>
        <v>35644.770000000004</v>
      </c>
    </row>
    <row r="1005" spans="5:13" ht="15.75" x14ac:dyDescent="0.25">
      <c r="L1005" s="89"/>
    </row>
    <row r="1006" spans="5:13" ht="15.75" x14ac:dyDescent="0.25">
      <c r="J1006" s="128" t="s">
        <v>285</v>
      </c>
      <c r="L1006" s="124">
        <f>G1031</f>
        <v>36294.36</v>
      </c>
    </row>
    <row r="1008" spans="5:13" ht="18.75" x14ac:dyDescent="0.3">
      <c r="K1008" s="158" t="s">
        <v>286</v>
      </c>
      <c r="L1008" s="137">
        <f>SUM(L1004:L1006)</f>
        <v>71939.13</v>
      </c>
    </row>
    <row r="1009" spans="5:13" ht="15.75" x14ac:dyDescent="0.25">
      <c r="F1009" s="130" t="s">
        <v>235</v>
      </c>
      <c r="G1009" s="131">
        <v>11685.84</v>
      </c>
      <c r="L1009" s="157">
        <v>72055.009999999995</v>
      </c>
      <c r="M1009" s="39" t="s">
        <v>76</v>
      </c>
    </row>
    <row r="1010" spans="5:13" x14ac:dyDescent="0.25">
      <c r="E1010" s="91">
        <v>46111</v>
      </c>
      <c r="F1010" s="157" t="s">
        <v>430</v>
      </c>
      <c r="G1010" s="157">
        <v>4228</v>
      </c>
    </row>
    <row r="1011" spans="5:13" ht="18.75" x14ac:dyDescent="0.3">
      <c r="F1011" s="150" t="s">
        <v>417</v>
      </c>
      <c r="G1011" s="151">
        <v>-3100</v>
      </c>
      <c r="L1011" s="154">
        <f>L1008-L1009</f>
        <v>-115.8799999999901</v>
      </c>
    </row>
    <row r="1012" spans="5:13" x14ac:dyDescent="0.25">
      <c r="E1012" s="91"/>
      <c r="F1012" s="150" t="s">
        <v>418</v>
      </c>
      <c r="G1012" s="151">
        <v>-2100</v>
      </c>
    </row>
    <row r="1013" spans="5:13" x14ac:dyDescent="0.25">
      <c r="E1013" s="161">
        <v>46112</v>
      </c>
      <c r="F1013" s="163" t="s">
        <v>423</v>
      </c>
      <c r="G1013" s="164">
        <v>-2580</v>
      </c>
    </row>
    <row r="1014" spans="5:13" x14ac:dyDescent="0.25">
      <c r="E1014" s="161">
        <v>46112</v>
      </c>
      <c r="F1014" s="163" t="s">
        <v>381</v>
      </c>
      <c r="G1014" s="164">
        <v>14235</v>
      </c>
    </row>
    <row r="1015" spans="5:13" x14ac:dyDescent="0.25">
      <c r="E1015" s="161"/>
      <c r="F1015" s="150" t="s">
        <v>344</v>
      </c>
      <c r="G1015" s="151">
        <v>-20</v>
      </c>
    </row>
    <row r="1016" spans="5:13" x14ac:dyDescent="0.25">
      <c r="E1016" s="161">
        <v>46113</v>
      </c>
      <c r="F1016" s="163" t="s">
        <v>433</v>
      </c>
      <c r="G1016" s="164">
        <v>2600</v>
      </c>
    </row>
    <row r="1017" spans="5:13" x14ac:dyDescent="0.25">
      <c r="F1017" s="163" t="s">
        <v>272</v>
      </c>
      <c r="G1017" s="164">
        <v>-350</v>
      </c>
    </row>
    <row r="1018" spans="5:13" x14ac:dyDescent="0.25">
      <c r="E1018" s="161"/>
      <c r="F1018" s="150" t="s">
        <v>437</v>
      </c>
      <c r="G1018" s="151">
        <v>-830</v>
      </c>
    </row>
    <row r="1019" spans="5:13" x14ac:dyDescent="0.25">
      <c r="E1019" s="161"/>
      <c r="F1019" s="150" t="s">
        <v>438</v>
      </c>
      <c r="G1019" s="151">
        <v>-390</v>
      </c>
    </row>
    <row r="1020" spans="5:13" x14ac:dyDescent="0.25">
      <c r="E1020" s="161"/>
      <c r="F1020" s="163" t="s">
        <v>430</v>
      </c>
      <c r="G1020" s="164">
        <v>7576.8</v>
      </c>
    </row>
    <row r="1021" spans="5:13" x14ac:dyDescent="0.25">
      <c r="E1021" s="161"/>
      <c r="F1021" s="150" t="s">
        <v>439</v>
      </c>
      <c r="G1021" s="151">
        <v>-10</v>
      </c>
    </row>
    <row r="1022" spans="5:13" x14ac:dyDescent="0.25">
      <c r="E1022" s="161">
        <v>46114</v>
      </c>
      <c r="F1022" s="150" t="s">
        <v>250</v>
      </c>
      <c r="G1022" s="151">
        <v>-432.08</v>
      </c>
    </row>
    <row r="1023" spans="5:13" x14ac:dyDescent="0.25">
      <c r="E1023" s="161"/>
      <c r="F1023" s="170" t="s">
        <v>443</v>
      </c>
      <c r="G1023" s="169">
        <v>145</v>
      </c>
    </row>
    <row r="1024" spans="5:13" x14ac:dyDescent="0.25">
      <c r="E1024" s="161"/>
      <c r="F1024" s="170" t="s">
        <v>444</v>
      </c>
      <c r="G1024" s="169">
        <v>1302</v>
      </c>
    </row>
    <row r="1025" spans="5:7" x14ac:dyDescent="0.25">
      <c r="E1025" s="161"/>
      <c r="F1025" s="150" t="s">
        <v>447</v>
      </c>
      <c r="G1025" s="151">
        <v>-4400</v>
      </c>
    </row>
    <row r="1026" spans="5:7" x14ac:dyDescent="0.25">
      <c r="E1026" s="161"/>
      <c r="F1026" s="163" t="s">
        <v>446</v>
      </c>
      <c r="G1026" s="164">
        <v>1200</v>
      </c>
    </row>
    <row r="1027" spans="5:7" x14ac:dyDescent="0.25">
      <c r="E1027" s="161"/>
      <c r="F1027" s="150" t="s">
        <v>448</v>
      </c>
      <c r="G1027" s="151">
        <v>-880</v>
      </c>
    </row>
    <row r="1028" spans="5:7" x14ac:dyDescent="0.25">
      <c r="E1028" s="161"/>
      <c r="F1028" s="150" t="s">
        <v>449</v>
      </c>
      <c r="G1028" s="151">
        <v>-10</v>
      </c>
    </row>
    <row r="1029" spans="5:7" x14ac:dyDescent="0.25">
      <c r="E1029" s="161"/>
      <c r="F1029" s="163" t="s">
        <v>381</v>
      </c>
      <c r="G1029" s="164">
        <v>8423.7999999999993</v>
      </c>
    </row>
    <row r="1030" spans="5:7" x14ac:dyDescent="0.25">
      <c r="E1030" s="161"/>
      <c r="F1030" s="163"/>
      <c r="G1030" s="164"/>
    </row>
    <row r="1031" spans="5:7" ht="15.75" x14ac:dyDescent="0.25">
      <c r="F1031" s="132" t="s">
        <v>236</v>
      </c>
      <c r="G1031" s="133">
        <f>SUM(G1009:G1030)</f>
        <v>36294.36</v>
      </c>
    </row>
    <row r="1034" spans="5:7" x14ac:dyDescent="0.25">
      <c r="G1034">
        <v>-11.9</v>
      </c>
    </row>
    <row r="1036" spans="5:7" x14ac:dyDescent="0.25">
      <c r="F1036" s="39"/>
      <c r="G1036" s="157">
        <f>SUM(G1031:G1035)</f>
        <v>36282.46</v>
      </c>
    </row>
    <row r="1049" spans="6:8" x14ac:dyDescent="0.25">
      <c r="F1049" s="170" t="s">
        <v>429</v>
      </c>
      <c r="G1049" s="169">
        <v>5611.9</v>
      </c>
      <c r="H1049" s="172" t="s">
        <v>455</v>
      </c>
    </row>
    <row r="1051" spans="6:8" x14ac:dyDescent="0.25">
      <c r="F1051" t="s">
        <v>456</v>
      </c>
      <c r="G1051">
        <v>-300</v>
      </c>
    </row>
    <row r="1052" spans="6:8" x14ac:dyDescent="0.25">
      <c r="F1052" t="s">
        <v>457</v>
      </c>
      <c r="G1052">
        <v>-3320</v>
      </c>
    </row>
    <row r="1055" spans="6:8" ht="15.75" x14ac:dyDescent="0.25">
      <c r="G1055" s="171">
        <f>SUM(G1049:G1054)</f>
        <v>1991.8999999999996</v>
      </c>
    </row>
    <row r="1066" spans="5:13" x14ac:dyDescent="0.25">
      <c r="G1066" s="121"/>
    </row>
    <row r="1068" spans="5:13" ht="18.75" x14ac:dyDescent="0.3">
      <c r="E1068" s="314" t="s">
        <v>458</v>
      </c>
      <c r="F1068" s="315"/>
      <c r="G1068" s="315"/>
      <c r="H1068" s="315"/>
      <c r="I1068" s="315"/>
      <c r="J1068" s="315"/>
      <c r="K1068" s="315"/>
      <c r="L1068" s="315"/>
      <c r="M1068" s="315"/>
    </row>
    <row r="1069" spans="5:13" x14ac:dyDescent="0.25">
      <c r="E1069" s="78"/>
      <c r="F1069" s="78"/>
      <c r="G1069" s="78"/>
      <c r="H1069" s="78"/>
      <c r="I1069" s="78"/>
      <c r="J1069" s="78"/>
      <c r="K1069" s="78"/>
      <c r="L1069" s="78"/>
      <c r="M1069" s="78"/>
    </row>
    <row r="1070" spans="5:13" ht="15.75" x14ac:dyDescent="0.25">
      <c r="E1070" s="118" t="s">
        <v>223</v>
      </c>
      <c r="F1070" s="118" t="s">
        <v>206</v>
      </c>
      <c r="G1070" s="118" t="s">
        <v>207</v>
      </c>
      <c r="H1070" s="118" t="s">
        <v>218</v>
      </c>
      <c r="I1070" s="78"/>
      <c r="J1070" s="120" t="s">
        <v>6</v>
      </c>
      <c r="K1070" s="120" t="s">
        <v>217</v>
      </c>
      <c r="L1070" s="120" t="s">
        <v>207</v>
      </c>
      <c r="M1070" s="120" t="s">
        <v>218</v>
      </c>
    </row>
    <row r="1071" spans="5:13" x14ac:dyDescent="0.25">
      <c r="E1071" s="117"/>
      <c r="F1071" s="78" t="s">
        <v>459</v>
      </c>
      <c r="G1071" s="78" t="s">
        <v>463</v>
      </c>
      <c r="H1071" s="119">
        <v>15600</v>
      </c>
      <c r="I1071" s="175" t="s">
        <v>464</v>
      </c>
      <c r="J1071" s="117"/>
      <c r="K1071" s="78"/>
      <c r="L1071" s="78"/>
      <c r="M1071" s="119"/>
    </row>
    <row r="1072" spans="5:13" x14ac:dyDescent="0.25">
      <c r="E1072" s="117">
        <v>46087</v>
      </c>
      <c r="F1072" s="78" t="s">
        <v>148</v>
      </c>
      <c r="G1072" s="78" t="s">
        <v>209</v>
      </c>
      <c r="H1072" s="119">
        <v>6420</v>
      </c>
      <c r="I1072" s="78"/>
      <c r="J1072" s="117">
        <v>46037</v>
      </c>
      <c r="K1072" s="149" t="s">
        <v>66</v>
      </c>
      <c r="L1072" s="78" t="s">
        <v>222</v>
      </c>
      <c r="M1072" s="119">
        <v>2120</v>
      </c>
    </row>
    <row r="1073" spans="5:13" x14ac:dyDescent="0.25">
      <c r="E1073" s="117">
        <v>46087</v>
      </c>
      <c r="F1073" s="78" t="s">
        <v>214</v>
      </c>
      <c r="G1073" s="155" t="s">
        <v>211</v>
      </c>
      <c r="H1073" s="156">
        <v>3700</v>
      </c>
      <c r="I1073" s="78"/>
      <c r="J1073" s="117">
        <v>46104</v>
      </c>
      <c r="K1073" s="78" t="s">
        <v>348</v>
      </c>
      <c r="L1073" s="78" t="s">
        <v>281</v>
      </c>
      <c r="M1073" s="119">
        <v>1840</v>
      </c>
    </row>
    <row r="1074" spans="5:13" x14ac:dyDescent="0.25">
      <c r="E1074" s="117"/>
      <c r="F1074" s="78" t="s">
        <v>401</v>
      </c>
      <c r="G1074" s="78" t="s">
        <v>402</v>
      </c>
      <c r="H1074" s="119">
        <v>2880</v>
      </c>
      <c r="I1074" s="119"/>
      <c r="J1074" s="117">
        <v>46106</v>
      </c>
      <c r="K1074" s="78" t="s">
        <v>348</v>
      </c>
      <c r="L1074" s="78" t="s">
        <v>281</v>
      </c>
      <c r="M1074" s="119">
        <v>1840</v>
      </c>
    </row>
    <row r="1075" spans="5:13" x14ac:dyDescent="0.25">
      <c r="E1075" s="117">
        <v>46113</v>
      </c>
      <c r="F1075" s="78" t="s">
        <v>436</v>
      </c>
      <c r="G1075" s="78"/>
      <c r="H1075" s="119">
        <v>2600</v>
      </c>
      <c r="I1075" s="119"/>
      <c r="J1075" s="117">
        <v>46108</v>
      </c>
      <c r="K1075" s="78" t="s">
        <v>348</v>
      </c>
      <c r="L1075" s="78" t="s">
        <v>216</v>
      </c>
      <c r="M1075" s="119">
        <v>1840</v>
      </c>
    </row>
    <row r="1076" spans="5:13" x14ac:dyDescent="0.25">
      <c r="E1076" s="78"/>
      <c r="F1076" s="166" t="s">
        <v>429</v>
      </c>
      <c r="G1076" s="166"/>
      <c r="H1076" s="167">
        <v>5711.9</v>
      </c>
      <c r="I1076" s="78"/>
      <c r="J1076" s="117">
        <v>46109</v>
      </c>
      <c r="K1076" s="78" t="s">
        <v>405</v>
      </c>
      <c r="L1076" s="78"/>
      <c r="M1076" s="119">
        <v>2450</v>
      </c>
    </row>
    <row r="1077" spans="5:13" x14ac:dyDescent="0.25">
      <c r="E1077" s="78"/>
      <c r="F1077" s="174" t="s">
        <v>472</v>
      </c>
      <c r="G1077" s="166"/>
      <c r="H1077" s="167">
        <v>442.5</v>
      </c>
      <c r="I1077" s="78"/>
      <c r="J1077" s="117">
        <v>46111</v>
      </c>
      <c r="K1077" s="78" t="s">
        <v>411</v>
      </c>
      <c r="L1077" s="78"/>
      <c r="M1077" s="119">
        <v>3525</v>
      </c>
    </row>
    <row r="1078" spans="5:13" x14ac:dyDescent="0.25">
      <c r="E1078" s="78"/>
      <c r="F1078" s="78"/>
      <c r="G1078" s="78"/>
      <c r="H1078" s="78"/>
      <c r="I1078" s="78"/>
      <c r="J1078" s="117">
        <v>46111</v>
      </c>
      <c r="K1078" s="78" t="s">
        <v>413</v>
      </c>
      <c r="L1078" s="78" t="s">
        <v>281</v>
      </c>
      <c r="M1078" s="119">
        <v>2460</v>
      </c>
    </row>
    <row r="1079" spans="5:13" x14ac:dyDescent="0.25">
      <c r="E1079" s="78"/>
      <c r="F1079" s="78"/>
      <c r="G1079" s="78"/>
      <c r="H1079" s="122">
        <f>SUM(H1071:H1078)</f>
        <v>37354.400000000001</v>
      </c>
      <c r="J1079" s="117">
        <v>46113</v>
      </c>
      <c r="K1079" s="78" t="s">
        <v>405</v>
      </c>
      <c r="L1079" s="78"/>
      <c r="M1079" s="119">
        <v>2450</v>
      </c>
    </row>
    <row r="1080" spans="5:13" x14ac:dyDescent="0.25">
      <c r="H1080" s="157"/>
      <c r="J1080" s="117">
        <v>46113</v>
      </c>
      <c r="K1080" s="78" t="s">
        <v>348</v>
      </c>
      <c r="L1080" s="78"/>
      <c r="M1080" s="119">
        <v>1840</v>
      </c>
    </row>
    <row r="1081" spans="5:13" x14ac:dyDescent="0.25">
      <c r="G1081" s="101" t="s">
        <v>224</v>
      </c>
      <c r="H1081" s="101">
        <v>46155.47</v>
      </c>
      <c r="J1081" s="117">
        <v>46114</v>
      </c>
      <c r="K1081" s="78" t="s">
        <v>405</v>
      </c>
      <c r="L1081" s="78"/>
      <c r="M1081" s="119">
        <v>2450</v>
      </c>
    </row>
    <row r="1082" spans="5:13" x14ac:dyDescent="0.25">
      <c r="J1082" s="117">
        <v>46116</v>
      </c>
      <c r="K1082" s="78" t="s">
        <v>461</v>
      </c>
      <c r="L1082" s="78"/>
      <c r="M1082" s="119">
        <v>2350</v>
      </c>
    </row>
    <row r="1083" spans="5:13" x14ac:dyDescent="0.25">
      <c r="J1083" s="117">
        <v>46116</v>
      </c>
      <c r="K1083" s="78" t="s">
        <v>462</v>
      </c>
      <c r="L1083" s="78"/>
      <c r="M1083" s="119">
        <v>2300</v>
      </c>
    </row>
    <row r="1084" spans="5:13" ht="18.75" x14ac:dyDescent="0.3">
      <c r="G1084" s="99" t="s">
        <v>225</v>
      </c>
      <c r="H1084" s="125">
        <f>SUM(H1079+H1081)</f>
        <v>83509.87</v>
      </c>
      <c r="K1084" s="78"/>
      <c r="L1084" s="78"/>
      <c r="M1084" s="78"/>
    </row>
    <row r="1085" spans="5:13" ht="18.75" x14ac:dyDescent="0.3">
      <c r="E1085" s="121"/>
      <c r="J1085" s="78"/>
      <c r="K1085" s="126" t="s">
        <v>226</v>
      </c>
      <c r="L1085" s="126"/>
      <c r="M1085" s="127">
        <f>SUM(M1071:M1083)</f>
        <v>27465</v>
      </c>
    </row>
    <row r="1088" spans="5:13" x14ac:dyDescent="0.25">
      <c r="E1088" s="121"/>
    </row>
    <row r="1091" spans="5:13" ht="15.75" x14ac:dyDescent="0.25">
      <c r="J1091" s="316" t="s">
        <v>227</v>
      </c>
      <c r="K1091" s="317"/>
      <c r="L1091" s="140">
        <f>H1084-M1085</f>
        <v>56044.869999999995</v>
      </c>
    </row>
    <row r="1092" spans="5:13" ht="15.75" x14ac:dyDescent="0.25">
      <c r="L1092" s="89"/>
    </row>
    <row r="1093" spans="5:13" ht="15.75" x14ac:dyDescent="0.25">
      <c r="F1093" s="130" t="s">
        <v>235</v>
      </c>
      <c r="G1093" s="131">
        <v>11685.84</v>
      </c>
      <c r="J1093" s="128" t="s">
        <v>285</v>
      </c>
      <c r="L1093" s="124">
        <f>G1123</f>
        <v>17543.36</v>
      </c>
    </row>
    <row r="1094" spans="5:13" x14ac:dyDescent="0.25">
      <c r="E1094" s="91">
        <v>46111</v>
      </c>
      <c r="F1094" s="157" t="s">
        <v>430</v>
      </c>
      <c r="G1094" s="157">
        <v>4228</v>
      </c>
    </row>
    <row r="1095" spans="5:13" ht="18.75" x14ac:dyDescent="0.3">
      <c r="F1095" s="150" t="s">
        <v>417</v>
      </c>
      <c r="G1095" s="151">
        <v>-3100</v>
      </c>
      <c r="K1095" s="158" t="s">
        <v>286</v>
      </c>
      <c r="L1095" s="137">
        <f>SUM(L1091:L1093)</f>
        <v>73588.23</v>
      </c>
    </row>
    <row r="1096" spans="5:13" x14ac:dyDescent="0.25">
      <c r="E1096" s="91"/>
      <c r="F1096" s="150" t="s">
        <v>418</v>
      </c>
      <c r="G1096" s="151">
        <v>-2100</v>
      </c>
      <c r="L1096" s="157">
        <v>71939.13</v>
      </c>
      <c r="M1096" s="39" t="s">
        <v>76</v>
      </c>
    </row>
    <row r="1097" spans="5:13" x14ac:dyDescent="0.25">
      <c r="E1097" s="161">
        <v>46112</v>
      </c>
      <c r="F1097" s="163" t="s">
        <v>423</v>
      </c>
      <c r="G1097" s="164">
        <v>-2580</v>
      </c>
    </row>
    <row r="1098" spans="5:13" ht="18.75" x14ac:dyDescent="0.3">
      <c r="E1098" s="161">
        <v>46112</v>
      </c>
      <c r="F1098" s="163" t="s">
        <v>381</v>
      </c>
      <c r="G1098" s="164">
        <v>14235</v>
      </c>
      <c r="L1098" s="154">
        <f>L1095-L1096</f>
        <v>1649.0999999999913</v>
      </c>
    </row>
    <row r="1099" spans="5:13" x14ac:dyDescent="0.25">
      <c r="E1099" s="161"/>
      <c r="F1099" s="150" t="s">
        <v>344</v>
      </c>
      <c r="G1099" s="151">
        <v>-20</v>
      </c>
    </row>
    <row r="1100" spans="5:13" x14ac:dyDescent="0.25">
      <c r="E1100" s="161">
        <v>46113</v>
      </c>
      <c r="F1100" s="163" t="s">
        <v>433</v>
      </c>
      <c r="G1100" s="164">
        <v>2600</v>
      </c>
    </row>
    <row r="1101" spans="5:13" x14ac:dyDescent="0.25">
      <c r="F1101" s="163" t="s">
        <v>272</v>
      </c>
      <c r="G1101" s="164">
        <v>-350</v>
      </c>
    </row>
    <row r="1102" spans="5:13" x14ac:dyDescent="0.25">
      <c r="E1102" s="161"/>
      <c r="F1102" s="150" t="s">
        <v>437</v>
      </c>
      <c r="G1102" s="151">
        <v>-830</v>
      </c>
    </row>
    <row r="1103" spans="5:13" x14ac:dyDescent="0.25">
      <c r="E1103" s="161"/>
      <c r="F1103" s="150" t="s">
        <v>438</v>
      </c>
      <c r="G1103" s="151">
        <v>-390</v>
      </c>
    </row>
    <row r="1104" spans="5:13" x14ac:dyDescent="0.25">
      <c r="E1104" s="161"/>
      <c r="F1104" s="163" t="s">
        <v>430</v>
      </c>
      <c r="G1104" s="164">
        <v>7576.8</v>
      </c>
    </row>
    <row r="1105" spans="5:12" x14ac:dyDescent="0.25">
      <c r="E1105" s="161"/>
      <c r="F1105" s="150" t="s">
        <v>439</v>
      </c>
      <c r="G1105" s="151">
        <v>-10</v>
      </c>
    </row>
    <row r="1106" spans="5:12" x14ac:dyDescent="0.25">
      <c r="E1106" s="161">
        <v>46114</v>
      </c>
      <c r="F1106" s="150" t="s">
        <v>250</v>
      </c>
      <c r="G1106" s="151">
        <v>-432.08</v>
      </c>
    </row>
    <row r="1107" spans="5:12" x14ac:dyDescent="0.25">
      <c r="E1107" s="161"/>
      <c r="F1107" s="166" t="s">
        <v>443</v>
      </c>
      <c r="G1107" s="167">
        <v>145</v>
      </c>
      <c r="L1107" s="121"/>
    </row>
    <row r="1108" spans="5:12" x14ac:dyDescent="0.25">
      <c r="E1108" s="161"/>
      <c r="F1108" s="170" t="s">
        <v>444</v>
      </c>
      <c r="G1108" s="169">
        <v>1302</v>
      </c>
    </row>
    <row r="1109" spans="5:12" x14ac:dyDescent="0.25">
      <c r="E1109" s="161"/>
      <c r="F1109" s="150" t="s">
        <v>447</v>
      </c>
      <c r="G1109" s="151">
        <v>-4400</v>
      </c>
    </row>
    <row r="1110" spans="5:12" x14ac:dyDescent="0.25">
      <c r="E1110" s="161"/>
      <c r="F1110" s="163" t="s">
        <v>446</v>
      </c>
      <c r="G1110" s="164">
        <v>1200</v>
      </c>
    </row>
    <row r="1111" spans="5:12" x14ac:dyDescent="0.25">
      <c r="E1111" s="161"/>
      <c r="F1111" s="150" t="s">
        <v>448</v>
      </c>
      <c r="G1111" s="151">
        <v>-880</v>
      </c>
    </row>
    <row r="1112" spans="5:12" x14ac:dyDescent="0.25">
      <c r="E1112" s="161"/>
      <c r="F1112" s="150" t="s">
        <v>449</v>
      </c>
      <c r="G1112" s="151">
        <v>-10</v>
      </c>
    </row>
    <row r="1113" spans="5:12" x14ac:dyDescent="0.25">
      <c r="E1113" s="161"/>
      <c r="F1113" s="163" t="s">
        <v>381</v>
      </c>
      <c r="G1113" s="164">
        <v>8423.7999999999993</v>
      </c>
    </row>
    <row r="1114" spans="5:12" x14ac:dyDescent="0.25">
      <c r="E1114" s="161"/>
      <c r="F1114" s="163" t="s">
        <v>460</v>
      </c>
      <c r="G1114" s="164">
        <v>-23100</v>
      </c>
    </row>
    <row r="1115" spans="5:12" x14ac:dyDescent="0.25">
      <c r="E1115" s="161"/>
      <c r="F1115" s="163" t="s">
        <v>465</v>
      </c>
      <c r="G1115" s="164">
        <v>3300</v>
      </c>
    </row>
    <row r="1116" spans="5:12" x14ac:dyDescent="0.25">
      <c r="E1116" s="161"/>
      <c r="F1116" s="163" t="s">
        <v>468</v>
      </c>
      <c r="G1116" s="164">
        <v>2355</v>
      </c>
    </row>
    <row r="1117" spans="5:12" x14ac:dyDescent="0.25">
      <c r="E1117" s="161"/>
      <c r="F1117" s="150" t="s">
        <v>467</v>
      </c>
      <c r="G1117" s="151">
        <v>-356</v>
      </c>
    </row>
    <row r="1118" spans="5:12" x14ac:dyDescent="0.25">
      <c r="E1118" s="161"/>
      <c r="F1118" s="150" t="s">
        <v>284</v>
      </c>
      <c r="G1118" s="151">
        <v>-620</v>
      </c>
    </row>
    <row r="1119" spans="5:12" x14ac:dyDescent="0.25">
      <c r="E1119" s="161"/>
      <c r="F1119" s="163" t="s">
        <v>473</v>
      </c>
      <c r="G1119" s="164">
        <v>100</v>
      </c>
    </row>
    <row r="1120" spans="5:12" x14ac:dyDescent="0.25">
      <c r="E1120" s="161"/>
      <c r="F1120" s="150" t="s">
        <v>345</v>
      </c>
      <c r="G1120" s="151">
        <v>-440</v>
      </c>
    </row>
    <row r="1121" spans="5:7" x14ac:dyDescent="0.25">
      <c r="E1121" s="161"/>
      <c r="F1121" s="163" t="s">
        <v>361</v>
      </c>
      <c r="G1121" s="164">
        <v>10</v>
      </c>
    </row>
    <row r="1122" spans="5:7" x14ac:dyDescent="0.25">
      <c r="E1122" s="161"/>
      <c r="F1122" s="163"/>
      <c r="G1122" s="164"/>
    </row>
    <row r="1123" spans="5:7" ht="15.75" x14ac:dyDescent="0.25">
      <c r="F1123" s="132" t="s">
        <v>236</v>
      </c>
      <c r="G1123" s="133">
        <f>SUM(G1093:G1122)</f>
        <v>17543.36</v>
      </c>
    </row>
    <row r="1126" spans="5:7" x14ac:dyDescent="0.25">
      <c r="G1126">
        <v>-11.9</v>
      </c>
    </row>
    <row r="1128" spans="5:7" x14ac:dyDescent="0.25">
      <c r="F1128" s="39"/>
      <c r="G1128" s="157">
        <f>SUM(G1123:G1127)</f>
        <v>17531.46</v>
      </c>
    </row>
    <row r="1141" spans="6:8" x14ac:dyDescent="0.25">
      <c r="F1141" s="166" t="s">
        <v>429</v>
      </c>
      <c r="G1141" s="167">
        <v>5611.9</v>
      </c>
      <c r="H1141" s="173" t="s">
        <v>455</v>
      </c>
    </row>
    <row r="1143" spans="6:8" x14ac:dyDescent="0.25">
      <c r="F1143" t="s">
        <v>456</v>
      </c>
      <c r="G1143">
        <v>-300</v>
      </c>
    </row>
    <row r="1144" spans="6:8" x14ac:dyDescent="0.25">
      <c r="F1144" t="s">
        <v>457</v>
      </c>
      <c r="G1144">
        <v>-3320</v>
      </c>
    </row>
    <row r="1145" spans="6:8" x14ac:dyDescent="0.25">
      <c r="F1145" t="s">
        <v>469</v>
      </c>
      <c r="G1145">
        <v>3720</v>
      </c>
    </row>
    <row r="1147" spans="6:8" ht="15.75" x14ac:dyDescent="0.25">
      <c r="G1147" s="131">
        <f>SUM(G1141:G1146)</f>
        <v>5711.9</v>
      </c>
    </row>
    <row r="1164" spans="5:13" ht="18.75" x14ac:dyDescent="0.3">
      <c r="E1164" s="314" t="s">
        <v>474</v>
      </c>
      <c r="F1164" s="315"/>
      <c r="G1164" s="315"/>
      <c r="H1164" s="315"/>
      <c r="I1164" s="315"/>
      <c r="J1164" s="315"/>
      <c r="K1164" s="315"/>
      <c r="L1164" s="315"/>
      <c r="M1164" s="315"/>
    </row>
    <row r="1165" spans="5:13" x14ac:dyDescent="0.25">
      <c r="E1165" s="78"/>
      <c r="F1165" s="78"/>
      <c r="G1165" s="78"/>
      <c r="H1165" s="78"/>
      <c r="I1165" s="78"/>
      <c r="J1165" s="78"/>
      <c r="K1165" s="78"/>
      <c r="L1165" s="78"/>
      <c r="M1165" s="78"/>
    </row>
    <row r="1166" spans="5:13" ht="15.75" x14ac:dyDescent="0.25">
      <c r="E1166" s="118" t="s">
        <v>223</v>
      </c>
      <c r="F1166" s="118" t="s">
        <v>206</v>
      </c>
      <c r="G1166" s="118" t="s">
        <v>207</v>
      </c>
      <c r="H1166" s="118" t="s">
        <v>218</v>
      </c>
      <c r="I1166" s="78"/>
      <c r="J1166" s="120" t="s">
        <v>6</v>
      </c>
      <c r="K1166" s="120" t="s">
        <v>217</v>
      </c>
      <c r="L1166" s="120" t="s">
        <v>207</v>
      </c>
      <c r="M1166" s="120" t="s">
        <v>218</v>
      </c>
    </row>
    <row r="1167" spans="5:13" x14ac:dyDescent="0.25">
      <c r="E1167" s="117"/>
      <c r="F1167" s="78" t="s">
        <v>459</v>
      </c>
      <c r="G1167" s="78" t="s">
        <v>463</v>
      </c>
      <c r="H1167" s="119">
        <v>15600</v>
      </c>
      <c r="I1167" s="175" t="s">
        <v>464</v>
      </c>
      <c r="J1167" s="117"/>
      <c r="K1167" s="78"/>
      <c r="L1167" s="78"/>
      <c r="M1167" s="119"/>
    </row>
    <row r="1168" spans="5:13" x14ac:dyDescent="0.25">
      <c r="E1168" s="117">
        <v>46087</v>
      </c>
      <c r="F1168" s="78" t="s">
        <v>148</v>
      </c>
      <c r="G1168" s="78" t="s">
        <v>209</v>
      </c>
      <c r="H1168" s="119">
        <v>6420</v>
      </c>
      <c r="I1168" s="78"/>
      <c r="J1168" s="117">
        <v>46037</v>
      </c>
      <c r="K1168" s="149" t="s">
        <v>66</v>
      </c>
      <c r="L1168" s="78" t="s">
        <v>222</v>
      </c>
      <c r="M1168" s="119">
        <v>2120</v>
      </c>
    </row>
    <row r="1169" spans="5:13" x14ac:dyDescent="0.25">
      <c r="E1169" s="117">
        <v>46087</v>
      </c>
      <c r="F1169" s="78" t="s">
        <v>214</v>
      </c>
      <c r="G1169" s="155" t="s">
        <v>211</v>
      </c>
      <c r="H1169" s="156">
        <v>3700</v>
      </c>
      <c r="I1169" s="78"/>
      <c r="J1169" s="117">
        <v>46104</v>
      </c>
      <c r="K1169" s="78" t="s">
        <v>348</v>
      </c>
      <c r="L1169" s="78" t="s">
        <v>281</v>
      </c>
      <c r="M1169" s="119">
        <v>1840</v>
      </c>
    </row>
    <row r="1170" spans="5:13" x14ac:dyDescent="0.25">
      <c r="E1170" s="117"/>
      <c r="F1170" s="78" t="s">
        <v>401</v>
      </c>
      <c r="G1170" s="78" t="s">
        <v>402</v>
      </c>
      <c r="H1170" s="119">
        <v>2880</v>
      </c>
      <c r="I1170" s="119"/>
      <c r="J1170" s="117">
        <v>46106</v>
      </c>
      <c r="K1170" s="78" t="s">
        <v>348</v>
      </c>
      <c r="L1170" s="78" t="s">
        <v>281</v>
      </c>
      <c r="M1170" s="119">
        <v>1840</v>
      </c>
    </row>
    <row r="1171" spans="5:13" x14ac:dyDescent="0.25">
      <c r="E1171" s="117">
        <v>46113</v>
      </c>
      <c r="F1171" s="78" t="s">
        <v>436</v>
      </c>
      <c r="G1171" s="78"/>
      <c r="H1171" s="119">
        <v>2600</v>
      </c>
      <c r="I1171" s="119"/>
      <c r="J1171" s="117">
        <v>46108</v>
      </c>
      <c r="K1171" s="78" t="s">
        <v>348</v>
      </c>
      <c r="L1171" s="78" t="s">
        <v>216</v>
      </c>
      <c r="M1171" s="119">
        <v>1840</v>
      </c>
    </row>
    <row r="1172" spans="5:13" x14ac:dyDescent="0.25">
      <c r="E1172" s="78"/>
      <c r="F1172" s="166" t="s">
        <v>429</v>
      </c>
      <c r="G1172" s="166"/>
      <c r="H1172" s="167">
        <v>1794.4</v>
      </c>
      <c r="I1172" s="78"/>
      <c r="J1172" s="117">
        <v>46109</v>
      </c>
      <c r="K1172" s="78" t="s">
        <v>405</v>
      </c>
      <c r="L1172" s="78"/>
      <c r="M1172" s="119">
        <v>2450</v>
      </c>
    </row>
    <row r="1173" spans="5:13" x14ac:dyDescent="0.25">
      <c r="E1173" s="117"/>
      <c r="F1173" s="177"/>
      <c r="G1173" s="178"/>
      <c r="H1173" s="179"/>
      <c r="I1173" s="78"/>
      <c r="J1173" s="117">
        <v>46111</v>
      </c>
      <c r="K1173" s="78" t="s">
        <v>411</v>
      </c>
      <c r="L1173" s="78"/>
      <c r="M1173" s="119">
        <v>3525</v>
      </c>
    </row>
    <row r="1174" spans="5:13" x14ac:dyDescent="0.25">
      <c r="E1174" s="78"/>
      <c r="F1174" s="78" t="s">
        <v>493</v>
      </c>
      <c r="G1174" s="166"/>
      <c r="H1174" s="167">
        <v>2600</v>
      </c>
      <c r="I1174" s="78"/>
      <c r="J1174" s="117">
        <v>46111</v>
      </c>
      <c r="K1174" s="78" t="s">
        <v>413</v>
      </c>
      <c r="L1174" s="78" t="s">
        <v>281</v>
      </c>
      <c r="M1174" s="119">
        <v>2460</v>
      </c>
    </row>
    <row r="1175" spans="5:13" x14ac:dyDescent="0.25">
      <c r="E1175" s="78"/>
      <c r="F1175" s="78" t="s">
        <v>481</v>
      </c>
      <c r="G1175" s="166"/>
      <c r="H1175" s="167">
        <v>6600</v>
      </c>
      <c r="J1175" s="117">
        <v>46113</v>
      </c>
      <c r="K1175" s="78" t="s">
        <v>405</v>
      </c>
      <c r="L1175" s="78"/>
      <c r="M1175" s="119">
        <v>2450</v>
      </c>
    </row>
    <row r="1176" spans="5:13" x14ac:dyDescent="0.25">
      <c r="E1176" s="78"/>
      <c r="F1176" s="78" t="s">
        <v>491</v>
      </c>
      <c r="G1176" s="78"/>
      <c r="H1176" s="119">
        <v>2895</v>
      </c>
      <c r="J1176" s="117">
        <v>46113</v>
      </c>
      <c r="K1176" s="78" t="s">
        <v>348</v>
      </c>
      <c r="L1176" s="78"/>
      <c r="M1176" s="119">
        <v>1840</v>
      </c>
    </row>
    <row r="1177" spans="5:13" x14ac:dyDescent="0.25">
      <c r="E1177" s="78"/>
      <c r="F1177" s="78"/>
      <c r="G1177" s="78"/>
      <c r="H1177" s="122">
        <f>SUM(H1167:H1176)</f>
        <v>45089.4</v>
      </c>
      <c r="J1177" s="117">
        <v>46114</v>
      </c>
      <c r="K1177" s="78" t="s">
        <v>405</v>
      </c>
      <c r="L1177" s="78"/>
      <c r="M1177" s="119">
        <v>2450</v>
      </c>
    </row>
    <row r="1178" spans="5:13" x14ac:dyDescent="0.25">
      <c r="E1178" s="78"/>
      <c r="H1178" s="157"/>
      <c r="J1178" s="117">
        <v>46116</v>
      </c>
      <c r="K1178" s="78" t="s">
        <v>461</v>
      </c>
      <c r="L1178" s="78"/>
      <c r="M1178" s="119">
        <v>2350</v>
      </c>
    </row>
    <row r="1179" spans="5:13" x14ac:dyDescent="0.25">
      <c r="G1179" s="101" t="s">
        <v>224</v>
      </c>
      <c r="H1179" s="101">
        <v>40856.97</v>
      </c>
      <c r="J1179" s="117">
        <v>46116</v>
      </c>
      <c r="K1179" s="78" t="s">
        <v>462</v>
      </c>
      <c r="L1179" s="78"/>
      <c r="M1179" s="119">
        <v>2300</v>
      </c>
    </row>
    <row r="1180" spans="5:13" x14ac:dyDescent="0.25">
      <c r="J1180" s="117">
        <v>46118</v>
      </c>
      <c r="K1180" s="78" t="s">
        <v>475</v>
      </c>
      <c r="L1180" s="78" t="s">
        <v>281</v>
      </c>
      <c r="M1180" s="119">
        <v>2050</v>
      </c>
    </row>
    <row r="1181" spans="5:13" x14ac:dyDescent="0.25">
      <c r="J1181" s="117">
        <v>46118</v>
      </c>
      <c r="K1181" s="78" t="s">
        <v>462</v>
      </c>
      <c r="L1181" s="78" t="s">
        <v>216</v>
      </c>
      <c r="M1181" s="119">
        <v>2300</v>
      </c>
    </row>
    <row r="1182" spans="5:13" ht="18.75" x14ac:dyDescent="0.3">
      <c r="E1182" s="121"/>
      <c r="G1182" s="99" t="s">
        <v>225</v>
      </c>
      <c r="H1182" s="125">
        <f>SUM(H1177+H1179)</f>
        <v>85946.37</v>
      </c>
      <c r="J1182" s="117">
        <v>46118</v>
      </c>
      <c r="K1182" s="78" t="s">
        <v>477</v>
      </c>
      <c r="L1182" s="78"/>
      <c r="M1182" s="119">
        <v>890</v>
      </c>
    </row>
    <row r="1183" spans="5:13" x14ac:dyDescent="0.25">
      <c r="J1183" s="117">
        <v>46118</v>
      </c>
      <c r="K1183" s="78" t="s">
        <v>483</v>
      </c>
      <c r="L1183" s="78"/>
      <c r="M1183" s="119">
        <v>2800</v>
      </c>
    </row>
    <row r="1184" spans="5:13" x14ac:dyDescent="0.25">
      <c r="J1184" s="117"/>
      <c r="K1184" s="78"/>
      <c r="L1184" s="78"/>
      <c r="M1184" s="119"/>
    </row>
    <row r="1185" spans="5:13" x14ac:dyDescent="0.25">
      <c r="E1185" s="121"/>
      <c r="J1185" s="78"/>
      <c r="K1185" s="78"/>
      <c r="L1185" s="78"/>
      <c r="M1185" s="78"/>
    </row>
    <row r="1186" spans="5:13" ht="18.75" x14ac:dyDescent="0.3">
      <c r="J1186" s="78"/>
      <c r="K1186" s="126" t="s">
        <v>226</v>
      </c>
      <c r="L1186" s="126"/>
      <c r="M1186" s="127">
        <f>SUM(M1167:M1184)</f>
        <v>35505</v>
      </c>
    </row>
    <row r="1191" spans="5:13" ht="15.75" x14ac:dyDescent="0.25">
      <c r="E1191" s="91"/>
      <c r="F1191" s="130" t="s">
        <v>235</v>
      </c>
      <c r="G1191" s="131">
        <v>17543.36</v>
      </c>
    </row>
    <row r="1192" spans="5:13" ht="15.75" x14ac:dyDescent="0.25">
      <c r="F1192" s="157" t="s">
        <v>476</v>
      </c>
      <c r="G1192" s="157">
        <v>2580</v>
      </c>
      <c r="J1192" s="316" t="s">
        <v>227</v>
      </c>
      <c r="K1192" s="317"/>
      <c r="L1192" s="140">
        <f>H1182-M1186</f>
        <v>50441.369999999995</v>
      </c>
    </row>
    <row r="1193" spans="5:13" ht="15.75" x14ac:dyDescent="0.25">
      <c r="E1193" s="91"/>
      <c r="F1193" s="163" t="s">
        <v>478</v>
      </c>
      <c r="G1193" s="164">
        <v>2900</v>
      </c>
      <c r="L1193" s="89"/>
    </row>
    <row r="1194" spans="5:13" ht="15.75" x14ac:dyDescent="0.25">
      <c r="E1194" s="161"/>
      <c r="F1194" s="163" t="s">
        <v>479</v>
      </c>
      <c r="G1194" s="164">
        <v>500</v>
      </c>
      <c r="J1194" s="128" t="s">
        <v>285</v>
      </c>
      <c r="L1194" s="124">
        <f>G1201</f>
        <v>26103.360000000001</v>
      </c>
    </row>
    <row r="1195" spans="5:13" x14ac:dyDescent="0.25">
      <c r="E1195" s="161"/>
      <c r="F1195" s="150" t="s">
        <v>250</v>
      </c>
      <c r="G1195" s="151">
        <v>-300</v>
      </c>
    </row>
    <row r="1196" spans="5:13" ht="18.75" x14ac:dyDescent="0.3">
      <c r="E1196" s="161"/>
      <c r="F1196" s="150" t="s">
        <v>490</v>
      </c>
      <c r="G1196" s="151">
        <v>-20</v>
      </c>
      <c r="K1196" s="158" t="s">
        <v>286</v>
      </c>
      <c r="L1196" s="137">
        <f>SUM(L1192:L1194)</f>
        <v>76544.73</v>
      </c>
    </row>
    <row r="1197" spans="5:13" x14ac:dyDescent="0.25">
      <c r="E1197" s="161"/>
      <c r="F1197" s="163" t="s">
        <v>492</v>
      </c>
      <c r="G1197" s="164">
        <v>3000</v>
      </c>
      <c r="L1197" s="157">
        <v>73588.23</v>
      </c>
      <c r="M1197" s="39" t="s">
        <v>76</v>
      </c>
    </row>
    <row r="1198" spans="5:13" x14ac:dyDescent="0.25">
      <c r="E1198" s="161"/>
      <c r="F1198" s="150" t="s">
        <v>494</v>
      </c>
      <c r="G1198" s="151">
        <v>-100</v>
      </c>
    </row>
    <row r="1199" spans="5:13" ht="18.75" x14ac:dyDescent="0.3">
      <c r="E1199" s="161"/>
      <c r="F1199" s="150"/>
      <c r="G1199" s="151"/>
      <c r="L1199" s="154">
        <f>L1196-L1197</f>
        <v>2956.5</v>
      </c>
    </row>
    <row r="1200" spans="5:13" x14ac:dyDescent="0.25">
      <c r="E1200" s="161"/>
      <c r="F1200" s="150"/>
      <c r="G1200" s="151"/>
    </row>
    <row r="1201" spans="5:13" ht="15.75" x14ac:dyDescent="0.25">
      <c r="F1201" s="132" t="s">
        <v>236</v>
      </c>
      <c r="G1201" s="133">
        <f>SUM(G1191:G1200)</f>
        <v>26103.360000000001</v>
      </c>
    </row>
    <row r="1204" spans="5:13" x14ac:dyDescent="0.25">
      <c r="G1204">
        <v>-11.9</v>
      </c>
    </row>
    <row r="1206" spans="5:13" x14ac:dyDescent="0.25">
      <c r="F1206" s="39"/>
      <c r="G1206" s="157">
        <f>SUM(G1201:G1205)</f>
        <v>26091.46</v>
      </c>
    </row>
    <row r="1208" spans="5:13" ht="15.75" x14ac:dyDescent="0.25">
      <c r="L1208" s="327" t="s">
        <v>152</v>
      </c>
      <c r="M1208" s="327"/>
    </row>
    <row r="1210" spans="5:13" x14ac:dyDescent="0.25">
      <c r="L1210" t="s">
        <v>484</v>
      </c>
      <c r="M1210">
        <v>442.5</v>
      </c>
    </row>
    <row r="1211" spans="5:13" x14ac:dyDescent="0.25">
      <c r="F1211" s="166" t="s">
        <v>429</v>
      </c>
      <c r="G1211" s="167">
        <v>5711.9</v>
      </c>
      <c r="L1211" t="s">
        <v>485</v>
      </c>
      <c r="M1211">
        <v>1000</v>
      </c>
    </row>
    <row r="1212" spans="5:13" x14ac:dyDescent="0.25">
      <c r="F1212" t="s">
        <v>482</v>
      </c>
      <c r="G1212" s="121">
        <v>-400</v>
      </c>
      <c r="H1212" s="176" t="s">
        <v>455</v>
      </c>
      <c r="L1212" t="s">
        <v>486</v>
      </c>
      <c r="M1212">
        <v>540</v>
      </c>
    </row>
    <row r="1213" spans="5:13" x14ac:dyDescent="0.25">
      <c r="E1213" s="91">
        <v>46118</v>
      </c>
      <c r="F1213" t="s">
        <v>480</v>
      </c>
      <c r="G1213" s="121">
        <v>-4600</v>
      </c>
      <c r="L1213" t="s">
        <v>488</v>
      </c>
      <c r="M1213">
        <v>1800</v>
      </c>
    </row>
    <row r="1214" spans="5:13" x14ac:dyDescent="0.25">
      <c r="E1214" s="91">
        <v>46118</v>
      </c>
      <c r="F1214" t="s">
        <v>519</v>
      </c>
      <c r="G1214" s="121">
        <v>50</v>
      </c>
      <c r="L1214" t="s">
        <v>487</v>
      </c>
      <c r="M1214">
        <v>-1000</v>
      </c>
    </row>
    <row r="1215" spans="5:13" x14ac:dyDescent="0.25">
      <c r="E1215" s="91"/>
      <c r="F1215" t="s">
        <v>519</v>
      </c>
      <c r="G1215" s="121">
        <v>1032.5</v>
      </c>
      <c r="L1215" t="s">
        <v>480</v>
      </c>
      <c r="M1215">
        <v>-1700</v>
      </c>
    </row>
    <row r="1216" spans="5:13" x14ac:dyDescent="0.25">
      <c r="E1216" s="91"/>
      <c r="G1216" s="121"/>
    </row>
    <row r="1217" spans="5:14" ht="15.75" x14ac:dyDescent="0.25">
      <c r="E1217" s="91"/>
      <c r="G1217" s="131">
        <f>SUM(G1211:G1216)</f>
        <v>1794.3999999999996</v>
      </c>
      <c r="L1217" s="101" t="s">
        <v>489</v>
      </c>
      <c r="M1217" s="101">
        <f>SUM(M1210:M1216)</f>
        <v>1082.5</v>
      </c>
      <c r="N1217" t="s">
        <v>495</v>
      </c>
    </row>
    <row r="1232" spans="5:14" ht="18.75" x14ac:dyDescent="0.3">
      <c r="E1232" s="314" t="s">
        <v>496</v>
      </c>
      <c r="F1232" s="315"/>
      <c r="G1232" s="315"/>
      <c r="H1232" s="315"/>
      <c r="I1232" s="315"/>
      <c r="J1232" s="315"/>
      <c r="K1232" s="315"/>
      <c r="L1232" s="315"/>
      <c r="M1232" s="315"/>
    </row>
    <row r="1233" spans="5:13" x14ac:dyDescent="0.25">
      <c r="E1233" s="78"/>
      <c r="F1233" s="78"/>
      <c r="G1233" s="78"/>
      <c r="H1233" s="78"/>
      <c r="I1233" s="78"/>
      <c r="J1233" s="78"/>
      <c r="K1233" s="78"/>
      <c r="L1233" s="78"/>
      <c r="M1233" s="78"/>
    </row>
    <row r="1234" spans="5:13" ht="15.75" x14ac:dyDescent="0.25">
      <c r="E1234" s="118" t="s">
        <v>223</v>
      </c>
      <c r="F1234" s="118" t="s">
        <v>206</v>
      </c>
      <c r="G1234" s="118" t="s">
        <v>207</v>
      </c>
      <c r="H1234" s="118" t="s">
        <v>218</v>
      </c>
      <c r="I1234" s="78"/>
      <c r="J1234" s="120" t="s">
        <v>6</v>
      </c>
      <c r="K1234" s="120" t="s">
        <v>217</v>
      </c>
      <c r="L1234" s="120" t="s">
        <v>207</v>
      </c>
      <c r="M1234" s="120" t="s">
        <v>218</v>
      </c>
    </row>
    <row r="1235" spans="5:13" x14ac:dyDescent="0.25">
      <c r="E1235" s="117"/>
      <c r="F1235" s="78" t="s">
        <v>459</v>
      </c>
      <c r="G1235" s="78" t="s">
        <v>463</v>
      </c>
      <c r="H1235" s="119">
        <v>15600</v>
      </c>
      <c r="I1235" s="175" t="s">
        <v>464</v>
      </c>
      <c r="J1235" s="117"/>
      <c r="K1235" s="78"/>
      <c r="L1235" s="78"/>
      <c r="M1235" s="119"/>
    </row>
    <row r="1236" spans="5:13" x14ac:dyDescent="0.25">
      <c r="E1236" s="117">
        <v>46087</v>
      </c>
      <c r="F1236" s="78" t="s">
        <v>148</v>
      </c>
      <c r="G1236" s="78" t="s">
        <v>209</v>
      </c>
      <c r="H1236" s="119">
        <v>4420</v>
      </c>
      <c r="I1236" s="78"/>
      <c r="J1236" s="117">
        <v>46037</v>
      </c>
      <c r="K1236" s="149" t="s">
        <v>66</v>
      </c>
      <c r="L1236" s="78" t="s">
        <v>222</v>
      </c>
      <c r="M1236" s="119">
        <v>2120</v>
      </c>
    </row>
    <row r="1237" spans="5:13" x14ac:dyDescent="0.25">
      <c r="E1237" s="117">
        <v>46087</v>
      </c>
      <c r="F1237" s="78" t="s">
        <v>214</v>
      </c>
      <c r="G1237" s="155" t="s">
        <v>211</v>
      </c>
      <c r="H1237" s="156">
        <v>3700</v>
      </c>
      <c r="I1237" s="78"/>
      <c r="J1237" s="117">
        <v>46109</v>
      </c>
      <c r="K1237" s="78" t="s">
        <v>405</v>
      </c>
      <c r="L1237" s="78"/>
      <c r="M1237" s="119">
        <v>2450</v>
      </c>
    </row>
    <row r="1238" spans="5:13" x14ac:dyDescent="0.25">
      <c r="E1238" s="117"/>
      <c r="F1238" s="78" t="s">
        <v>401</v>
      </c>
      <c r="G1238" s="78" t="s">
        <v>402</v>
      </c>
      <c r="H1238" s="119">
        <v>2880</v>
      </c>
      <c r="I1238" s="119"/>
      <c r="J1238" s="117">
        <v>46111</v>
      </c>
      <c r="K1238" s="78" t="s">
        <v>411</v>
      </c>
      <c r="L1238" s="78"/>
      <c r="M1238" s="119">
        <v>3525</v>
      </c>
    </row>
    <row r="1239" spans="5:13" x14ac:dyDescent="0.25">
      <c r="E1239" s="117">
        <v>46113</v>
      </c>
      <c r="F1239" s="78" t="s">
        <v>436</v>
      </c>
      <c r="G1239" s="78"/>
      <c r="H1239" s="119">
        <v>2600</v>
      </c>
      <c r="I1239" s="119"/>
      <c r="J1239" s="117">
        <v>46113</v>
      </c>
      <c r="K1239" s="78" t="s">
        <v>405</v>
      </c>
      <c r="L1239" s="78"/>
      <c r="M1239" s="119">
        <v>2450</v>
      </c>
    </row>
    <row r="1240" spans="5:13" x14ac:dyDescent="0.25">
      <c r="E1240" s="78"/>
      <c r="F1240" s="166" t="s">
        <v>429</v>
      </c>
      <c r="G1240" s="166"/>
      <c r="H1240" s="167">
        <v>3647.9</v>
      </c>
      <c r="I1240" s="78"/>
      <c r="J1240" s="117">
        <v>46114</v>
      </c>
      <c r="K1240" s="78" t="s">
        <v>405</v>
      </c>
      <c r="L1240" s="78"/>
      <c r="M1240" s="119">
        <v>2450</v>
      </c>
    </row>
    <row r="1241" spans="5:13" x14ac:dyDescent="0.25">
      <c r="E1241" s="78"/>
      <c r="F1241" s="78" t="s">
        <v>502</v>
      </c>
      <c r="G1241" s="166"/>
      <c r="H1241" s="167">
        <v>2600</v>
      </c>
      <c r="I1241" s="78"/>
      <c r="J1241" s="117">
        <v>46116</v>
      </c>
      <c r="K1241" s="78" t="s">
        <v>461</v>
      </c>
      <c r="L1241" s="78"/>
      <c r="M1241" s="119">
        <v>2350</v>
      </c>
    </row>
    <row r="1242" spans="5:13" x14ac:dyDescent="0.25">
      <c r="E1242" s="78"/>
      <c r="F1242" s="78" t="s">
        <v>501</v>
      </c>
      <c r="G1242" s="166"/>
      <c r="H1242" s="167">
        <v>4125</v>
      </c>
      <c r="I1242" s="78"/>
      <c r="J1242" s="117">
        <v>46118</v>
      </c>
      <c r="K1242" s="78" t="s">
        <v>477</v>
      </c>
      <c r="L1242" s="78"/>
      <c r="M1242" s="119">
        <v>890</v>
      </c>
    </row>
    <row r="1243" spans="5:13" x14ac:dyDescent="0.25">
      <c r="E1243" s="78"/>
      <c r="F1243" s="78"/>
      <c r="G1243" s="166"/>
      <c r="H1243" s="167"/>
      <c r="J1243" s="117">
        <v>46118</v>
      </c>
      <c r="K1243" s="78" t="s">
        <v>483</v>
      </c>
      <c r="L1243" s="78"/>
      <c r="M1243" s="119">
        <v>2800</v>
      </c>
    </row>
    <row r="1244" spans="5:13" x14ac:dyDescent="0.25">
      <c r="E1244" s="78"/>
      <c r="F1244" s="78"/>
      <c r="G1244" s="78"/>
      <c r="H1244" s="119"/>
      <c r="J1244" s="180">
        <v>46119</v>
      </c>
      <c r="K1244" s="149" t="s">
        <v>499</v>
      </c>
      <c r="L1244" s="149"/>
      <c r="M1244" s="122">
        <v>1720</v>
      </c>
    </row>
    <row r="1245" spans="5:13" x14ac:dyDescent="0.25">
      <c r="E1245" s="78"/>
      <c r="F1245" s="78"/>
      <c r="G1245" s="78"/>
      <c r="H1245" s="122">
        <f>SUM(H1235:H1244)</f>
        <v>39572.9</v>
      </c>
      <c r="J1245" s="117">
        <v>46119</v>
      </c>
      <c r="K1245" s="78" t="s">
        <v>461</v>
      </c>
      <c r="L1245" s="78"/>
      <c r="M1245" s="119">
        <v>2350</v>
      </c>
    </row>
    <row r="1246" spans="5:13" x14ac:dyDescent="0.25">
      <c r="H1246" s="157"/>
      <c r="J1246" s="78"/>
      <c r="K1246" s="78"/>
      <c r="L1246" s="78"/>
      <c r="M1246" s="119"/>
    </row>
    <row r="1247" spans="5:13" ht="18.75" x14ac:dyDescent="0.3">
      <c r="G1247" s="101" t="s">
        <v>224</v>
      </c>
      <c r="H1247" s="101">
        <v>42872.97</v>
      </c>
      <c r="J1247" s="78"/>
      <c r="K1247" s="126" t="s">
        <v>226</v>
      </c>
      <c r="L1247" s="126"/>
      <c r="M1247" s="127">
        <f>SUM(M1235:M1246)</f>
        <v>23105</v>
      </c>
    </row>
    <row r="1249" spans="5:13" x14ac:dyDescent="0.25">
      <c r="E1249" s="121"/>
    </row>
    <row r="1250" spans="5:13" ht="18.75" x14ac:dyDescent="0.3">
      <c r="G1250" s="99" t="s">
        <v>225</v>
      </c>
      <c r="H1250" s="125">
        <f>SUM(H1245+H1247)</f>
        <v>82445.87</v>
      </c>
      <c r="L1250" s="121"/>
    </row>
    <row r="1251" spans="5:13" x14ac:dyDescent="0.25">
      <c r="L1251" s="121">
        <f>M1237+M1238+M1239+M1240+M1241</f>
        <v>13225</v>
      </c>
    </row>
    <row r="1252" spans="5:13" x14ac:dyDescent="0.25">
      <c r="E1252" s="121"/>
    </row>
    <row r="1253" spans="5:13" ht="15.75" x14ac:dyDescent="0.25">
      <c r="J1253" s="316" t="s">
        <v>227</v>
      </c>
      <c r="K1253" s="317"/>
      <c r="L1253" s="140">
        <f>H1250-M1247</f>
        <v>59340.869999999995</v>
      </c>
    </row>
    <row r="1254" spans="5:13" ht="15.75" x14ac:dyDescent="0.25">
      <c r="L1254" s="89"/>
    </row>
    <row r="1255" spans="5:13" ht="15.75" x14ac:dyDescent="0.25">
      <c r="J1255" s="128" t="s">
        <v>285</v>
      </c>
      <c r="L1255" s="124">
        <f>G1275</f>
        <v>17210.36</v>
      </c>
    </row>
    <row r="1257" spans="5:13" ht="18.75" x14ac:dyDescent="0.3">
      <c r="K1257" s="158" t="s">
        <v>286</v>
      </c>
      <c r="L1257" s="137">
        <f>SUM(L1253:L1255)</f>
        <v>76551.23</v>
      </c>
    </row>
    <row r="1258" spans="5:13" x14ac:dyDescent="0.25">
      <c r="E1258" s="91"/>
      <c r="L1258" s="157">
        <v>76544.73</v>
      </c>
      <c r="M1258" s="39" t="s">
        <v>76</v>
      </c>
    </row>
    <row r="1259" spans="5:13" ht="15.75" x14ac:dyDescent="0.25">
      <c r="F1259" s="130" t="s">
        <v>235</v>
      </c>
      <c r="G1259" s="131">
        <v>17543.36</v>
      </c>
    </row>
    <row r="1260" spans="5:13" ht="18.75" x14ac:dyDescent="0.3">
      <c r="E1260" s="91"/>
      <c r="F1260" s="157" t="s">
        <v>476</v>
      </c>
      <c r="G1260" s="157">
        <v>2580</v>
      </c>
      <c r="L1260" s="154">
        <f>L1257-L1258</f>
        <v>6.5</v>
      </c>
    </row>
    <row r="1261" spans="5:13" ht="18.75" x14ac:dyDescent="0.3">
      <c r="E1261" s="161"/>
      <c r="F1261" s="163" t="s">
        <v>478</v>
      </c>
      <c r="G1261" s="164">
        <v>2900</v>
      </c>
      <c r="L1261" s="125"/>
    </row>
    <row r="1262" spans="5:13" ht="18.75" x14ac:dyDescent="0.3">
      <c r="E1262" s="161"/>
      <c r="F1262" s="163" t="s">
        <v>479</v>
      </c>
      <c r="G1262" s="164">
        <v>500</v>
      </c>
      <c r="L1262" s="125"/>
    </row>
    <row r="1263" spans="5:13" ht="18.75" x14ac:dyDescent="0.3">
      <c r="E1263" s="161"/>
      <c r="F1263" s="150" t="s">
        <v>250</v>
      </c>
      <c r="G1263" s="151">
        <v>-300</v>
      </c>
      <c r="L1263" s="125"/>
    </row>
    <row r="1264" spans="5:13" ht="18.75" x14ac:dyDescent="0.3">
      <c r="E1264" s="161"/>
      <c r="F1264" s="150" t="s">
        <v>490</v>
      </c>
      <c r="G1264" s="151">
        <v>-20</v>
      </c>
      <c r="L1264" s="125"/>
    </row>
    <row r="1265" spans="5:12" ht="18.75" x14ac:dyDescent="0.3">
      <c r="E1265" s="161"/>
      <c r="F1265" s="163" t="s">
        <v>492</v>
      </c>
      <c r="G1265" s="164">
        <v>3000</v>
      </c>
      <c r="L1265" s="125"/>
    </row>
    <row r="1266" spans="5:12" x14ac:dyDescent="0.25">
      <c r="E1266" s="161"/>
      <c r="F1266" s="150" t="s">
        <v>494</v>
      </c>
      <c r="G1266" s="151">
        <v>-100</v>
      </c>
    </row>
    <row r="1267" spans="5:12" x14ac:dyDescent="0.25">
      <c r="F1267" s="163" t="s">
        <v>505</v>
      </c>
      <c r="G1267" s="164">
        <v>200</v>
      </c>
    </row>
    <row r="1268" spans="5:12" x14ac:dyDescent="0.25">
      <c r="E1268" s="161">
        <v>46119</v>
      </c>
      <c r="F1268" s="150" t="s">
        <v>272</v>
      </c>
      <c r="G1268" s="151">
        <v>-400</v>
      </c>
    </row>
    <row r="1269" spans="5:12" x14ac:dyDescent="0.25">
      <c r="E1269" s="161"/>
      <c r="F1269" s="150" t="s">
        <v>500</v>
      </c>
      <c r="G1269" s="151">
        <v>-14750</v>
      </c>
    </row>
    <row r="1270" spans="5:12" x14ac:dyDescent="0.25">
      <c r="E1270" s="161"/>
      <c r="F1270" s="163" t="s">
        <v>513</v>
      </c>
      <c r="G1270" s="164">
        <v>360</v>
      </c>
    </row>
    <row r="1271" spans="5:12" x14ac:dyDescent="0.25">
      <c r="E1271" s="161"/>
      <c r="F1271" s="163" t="s">
        <v>514</v>
      </c>
      <c r="G1271" s="164">
        <v>2000</v>
      </c>
    </row>
    <row r="1272" spans="5:12" x14ac:dyDescent="0.25">
      <c r="E1272" s="161"/>
      <c r="F1272" s="163" t="s">
        <v>357</v>
      </c>
      <c r="G1272" s="164">
        <v>4522</v>
      </c>
    </row>
    <row r="1273" spans="5:12" x14ac:dyDescent="0.25">
      <c r="E1273" s="161"/>
      <c r="F1273" s="150" t="s">
        <v>515</v>
      </c>
      <c r="G1273" s="151">
        <v>-825</v>
      </c>
    </row>
    <row r="1274" spans="5:12" x14ac:dyDescent="0.25">
      <c r="F1274" s="150"/>
      <c r="G1274" s="151"/>
    </row>
    <row r="1275" spans="5:12" ht="15.75" x14ac:dyDescent="0.25">
      <c r="F1275" s="132" t="s">
        <v>236</v>
      </c>
      <c r="G1275" s="133">
        <f>SUM(G1259:G1274)</f>
        <v>17210.36</v>
      </c>
    </row>
    <row r="1278" spans="5:12" x14ac:dyDescent="0.25">
      <c r="G1278">
        <v>-11.9</v>
      </c>
    </row>
    <row r="1280" spans="5:12" x14ac:dyDescent="0.25">
      <c r="F1280" s="39"/>
      <c r="G1280" s="157">
        <f>SUM(G1275:G1279)</f>
        <v>17198.46</v>
      </c>
    </row>
    <row r="1285" spans="5:8" x14ac:dyDescent="0.25">
      <c r="F1285" s="166" t="s">
        <v>429</v>
      </c>
      <c r="G1285" s="167">
        <v>5711.9</v>
      </c>
    </row>
    <row r="1286" spans="5:8" x14ac:dyDescent="0.25">
      <c r="E1286" s="91">
        <v>46118</v>
      </c>
      <c r="F1286" t="s">
        <v>482</v>
      </c>
      <c r="G1286" s="121">
        <v>-400</v>
      </c>
      <c r="H1286" s="176"/>
    </row>
    <row r="1287" spans="5:8" x14ac:dyDescent="0.25">
      <c r="E1287" s="91">
        <v>46118</v>
      </c>
      <c r="F1287" s="139" t="s">
        <v>480</v>
      </c>
      <c r="G1287" s="138">
        <v>-4600</v>
      </c>
    </row>
    <row r="1288" spans="5:8" x14ac:dyDescent="0.25">
      <c r="E1288" s="91"/>
      <c r="F1288" t="s">
        <v>497</v>
      </c>
      <c r="G1288" s="121">
        <v>50</v>
      </c>
    </row>
    <row r="1289" spans="5:8" x14ac:dyDescent="0.25">
      <c r="E1289" s="91"/>
      <c r="F1289" t="s">
        <v>497</v>
      </c>
      <c r="G1289" s="121">
        <v>1032.5</v>
      </c>
    </row>
    <row r="1290" spans="5:8" x14ac:dyDescent="0.25">
      <c r="E1290" s="91">
        <v>46119</v>
      </c>
      <c r="F1290" s="139" t="s">
        <v>498</v>
      </c>
      <c r="G1290" s="138">
        <v>-200</v>
      </c>
    </row>
    <row r="1291" spans="5:8" x14ac:dyDescent="0.25">
      <c r="E1291" s="91"/>
      <c r="F1291" t="s">
        <v>768</v>
      </c>
      <c r="G1291" s="121">
        <v>4558.5</v>
      </c>
    </row>
    <row r="1292" spans="5:8" x14ac:dyDescent="0.25">
      <c r="E1292" s="91"/>
      <c r="F1292" t="s">
        <v>504</v>
      </c>
      <c r="G1292" s="121">
        <v>825</v>
      </c>
    </row>
    <row r="1293" spans="5:8" x14ac:dyDescent="0.25">
      <c r="E1293" s="91"/>
      <c r="F1293" s="139" t="s">
        <v>506</v>
      </c>
      <c r="G1293" s="138">
        <v>-10</v>
      </c>
    </row>
    <row r="1294" spans="5:8" x14ac:dyDescent="0.25">
      <c r="E1294" s="91"/>
      <c r="F1294" t="s">
        <v>509</v>
      </c>
      <c r="G1294" s="121">
        <v>-3320</v>
      </c>
    </row>
    <row r="1295" spans="5:8" x14ac:dyDescent="0.25">
      <c r="E1295" s="91"/>
      <c r="G1295" s="121"/>
    </row>
    <row r="1296" spans="5:8" ht="15.75" x14ac:dyDescent="0.25">
      <c r="G1296" s="131">
        <f>SUM(G1285:G1295)</f>
        <v>3647.8999999999996</v>
      </c>
    </row>
    <row r="1306" spans="5:13" ht="18.75" x14ac:dyDescent="0.3">
      <c r="E1306" s="314" t="s">
        <v>516</v>
      </c>
      <c r="F1306" s="315"/>
      <c r="G1306" s="315"/>
      <c r="H1306" s="315"/>
      <c r="I1306" s="315"/>
      <c r="J1306" s="315"/>
      <c r="K1306" s="315"/>
      <c r="L1306" s="315"/>
      <c r="M1306" s="315"/>
    </row>
    <row r="1307" spans="5:13" x14ac:dyDescent="0.25">
      <c r="E1307" s="78"/>
      <c r="F1307" s="78"/>
      <c r="G1307" s="78"/>
      <c r="H1307" s="78"/>
      <c r="I1307" s="78"/>
      <c r="J1307" s="78"/>
      <c r="K1307" s="78"/>
      <c r="L1307" s="78"/>
      <c r="M1307" s="78"/>
    </row>
    <row r="1308" spans="5:13" ht="15.75" x14ac:dyDescent="0.25">
      <c r="E1308" s="118" t="s">
        <v>223</v>
      </c>
      <c r="F1308" s="118" t="s">
        <v>206</v>
      </c>
      <c r="G1308" s="118" t="s">
        <v>207</v>
      </c>
      <c r="H1308" s="118" t="s">
        <v>218</v>
      </c>
      <c r="I1308" s="78"/>
      <c r="J1308" s="120" t="s">
        <v>6</v>
      </c>
      <c r="K1308" s="120" t="s">
        <v>217</v>
      </c>
      <c r="L1308" s="120" t="s">
        <v>207</v>
      </c>
      <c r="M1308" s="120" t="s">
        <v>218</v>
      </c>
    </row>
    <row r="1309" spans="5:13" x14ac:dyDescent="0.25">
      <c r="E1309" s="117"/>
      <c r="F1309" s="78" t="s">
        <v>459</v>
      </c>
      <c r="G1309" s="78" t="s">
        <v>522</v>
      </c>
      <c r="H1309" s="119">
        <v>13260</v>
      </c>
      <c r="I1309" s="175" t="s">
        <v>523</v>
      </c>
      <c r="J1309" s="117"/>
      <c r="K1309" s="78"/>
      <c r="L1309" s="78"/>
      <c r="M1309" s="119"/>
    </row>
    <row r="1310" spans="5:13" x14ac:dyDescent="0.25">
      <c r="E1310" s="117">
        <v>46087</v>
      </c>
      <c r="F1310" s="78" t="s">
        <v>148</v>
      </c>
      <c r="G1310" s="78" t="s">
        <v>209</v>
      </c>
      <c r="H1310" s="119">
        <v>4420</v>
      </c>
      <c r="I1310" s="78"/>
      <c r="J1310" s="117">
        <v>46037</v>
      </c>
      <c r="K1310" s="149" t="s">
        <v>66</v>
      </c>
      <c r="L1310" s="78" t="s">
        <v>222</v>
      </c>
      <c r="M1310" s="119">
        <v>2120</v>
      </c>
    </row>
    <row r="1311" spans="5:13" x14ac:dyDescent="0.25">
      <c r="E1311" s="117">
        <v>46087</v>
      </c>
      <c r="F1311" s="78" t="s">
        <v>214</v>
      </c>
      <c r="G1311" s="155" t="s">
        <v>211</v>
      </c>
      <c r="H1311" s="156">
        <v>3700</v>
      </c>
      <c r="I1311" s="78"/>
      <c r="J1311" s="117">
        <v>46109</v>
      </c>
      <c r="K1311" s="78" t="s">
        <v>405</v>
      </c>
      <c r="L1311" s="78"/>
      <c r="M1311" s="119">
        <v>2450</v>
      </c>
    </row>
    <row r="1312" spans="5:13" x14ac:dyDescent="0.25">
      <c r="E1312" s="117"/>
      <c r="F1312" s="78" t="s">
        <v>401</v>
      </c>
      <c r="G1312" s="78" t="s">
        <v>402</v>
      </c>
      <c r="H1312" s="119">
        <v>2880</v>
      </c>
      <c r="I1312" s="119"/>
      <c r="J1312" s="117">
        <v>46111</v>
      </c>
      <c r="K1312" s="78" t="s">
        <v>411</v>
      </c>
      <c r="L1312" s="78"/>
      <c r="M1312" s="119">
        <v>3525</v>
      </c>
    </row>
    <row r="1313" spans="5:15" x14ac:dyDescent="0.25">
      <c r="E1313" s="117">
        <v>46113</v>
      </c>
      <c r="F1313" s="78" t="s">
        <v>436</v>
      </c>
      <c r="G1313" s="78"/>
      <c r="H1313" s="119">
        <v>2600</v>
      </c>
      <c r="I1313" s="119"/>
      <c r="J1313" s="117">
        <v>46113</v>
      </c>
      <c r="K1313" s="78" t="s">
        <v>405</v>
      </c>
      <c r="L1313" s="78"/>
      <c r="M1313" s="119">
        <v>2450</v>
      </c>
    </row>
    <row r="1314" spans="5:15" x14ac:dyDescent="0.25">
      <c r="E1314" s="78"/>
      <c r="F1314" s="166" t="s">
        <v>429</v>
      </c>
      <c r="G1314" s="166"/>
      <c r="H1314" s="167">
        <v>81179.28</v>
      </c>
      <c r="I1314" s="78"/>
      <c r="J1314" s="117">
        <v>46114</v>
      </c>
      <c r="K1314" s="78" t="s">
        <v>405</v>
      </c>
      <c r="L1314" s="78"/>
      <c r="M1314" s="119">
        <v>2450</v>
      </c>
    </row>
    <row r="1315" spans="5:15" x14ac:dyDescent="0.25">
      <c r="E1315" s="78"/>
      <c r="F1315" s="78" t="s">
        <v>502</v>
      </c>
      <c r="G1315" s="166"/>
      <c r="H1315" s="167">
        <v>2600</v>
      </c>
      <c r="I1315" s="78"/>
      <c r="J1315" s="117">
        <v>46116</v>
      </c>
      <c r="K1315" s="78" t="s">
        <v>461</v>
      </c>
      <c r="L1315" s="78"/>
      <c r="M1315" s="119">
        <v>2350</v>
      </c>
    </row>
    <row r="1316" spans="5:15" x14ac:dyDescent="0.25">
      <c r="E1316" s="78"/>
      <c r="F1316" s="78" t="s">
        <v>527</v>
      </c>
      <c r="G1316" s="166"/>
      <c r="H1316" s="167">
        <v>3465</v>
      </c>
      <c r="I1316" s="78"/>
      <c r="J1316" s="117">
        <v>46118</v>
      </c>
      <c r="K1316" s="78" t="s">
        <v>477</v>
      </c>
      <c r="L1316" s="78"/>
      <c r="M1316" s="119">
        <v>890</v>
      </c>
    </row>
    <row r="1317" spans="5:15" x14ac:dyDescent="0.25">
      <c r="E1317" s="78"/>
      <c r="F1317" s="78" t="s">
        <v>526</v>
      </c>
      <c r="G1317" s="166"/>
      <c r="H1317" s="167">
        <v>660</v>
      </c>
      <c r="J1317" s="117">
        <v>46118</v>
      </c>
      <c r="K1317" s="78" t="s">
        <v>483</v>
      </c>
      <c r="L1317" s="78"/>
      <c r="M1317" s="119">
        <v>2800</v>
      </c>
    </row>
    <row r="1318" spans="5:15" x14ac:dyDescent="0.25">
      <c r="E1318" s="78"/>
      <c r="F1318" s="78" t="s">
        <v>528</v>
      </c>
      <c r="G1318" s="166"/>
      <c r="H1318" s="167">
        <v>3480</v>
      </c>
      <c r="J1318" s="180">
        <v>46119</v>
      </c>
      <c r="K1318" s="149" t="s">
        <v>499</v>
      </c>
      <c r="L1318" s="149"/>
      <c r="M1318" s="122">
        <v>1720</v>
      </c>
    </row>
    <row r="1319" spans="5:15" x14ac:dyDescent="0.25">
      <c r="E1319" s="78"/>
      <c r="F1319" s="78"/>
      <c r="G1319" s="78"/>
      <c r="H1319" s="119"/>
      <c r="J1319" s="117">
        <v>46119</v>
      </c>
      <c r="K1319" s="78" t="s">
        <v>461</v>
      </c>
      <c r="L1319" s="78"/>
      <c r="M1319" s="119">
        <v>2350</v>
      </c>
    </row>
    <row r="1320" spans="5:15" ht="15.75" x14ac:dyDescent="0.25">
      <c r="E1320" s="78"/>
      <c r="F1320" s="78"/>
      <c r="G1320" s="78"/>
      <c r="H1320" s="122">
        <f>SUM(H1309:H1319)</f>
        <v>118244.28</v>
      </c>
      <c r="J1320" s="181">
        <v>46120</v>
      </c>
      <c r="K1320" s="182" t="s">
        <v>520</v>
      </c>
      <c r="L1320" s="182"/>
      <c r="M1320" s="183">
        <v>53337.599999999999</v>
      </c>
    </row>
    <row r="1321" spans="5:15" ht="15.75" x14ac:dyDescent="0.25">
      <c r="H1321" s="157"/>
      <c r="J1321" s="184">
        <v>46120</v>
      </c>
      <c r="K1321" s="185" t="s">
        <v>348</v>
      </c>
      <c r="L1321" s="185"/>
      <c r="M1321" s="140">
        <v>1840</v>
      </c>
      <c r="O1321" s="121"/>
    </row>
    <row r="1322" spans="5:15" ht="15.75" x14ac:dyDescent="0.25">
      <c r="G1322" s="101" t="s">
        <v>224</v>
      </c>
      <c r="H1322" s="101">
        <v>42192.97</v>
      </c>
      <c r="J1322" s="184">
        <v>46120</v>
      </c>
      <c r="K1322" s="185" t="s">
        <v>529</v>
      </c>
      <c r="L1322" s="185"/>
      <c r="M1322" s="140">
        <v>4200</v>
      </c>
    </row>
    <row r="1323" spans="5:15" ht="15.75" x14ac:dyDescent="0.25">
      <c r="J1323" s="184"/>
      <c r="K1323" s="185"/>
      <c r="L1323" s="185"/>
      <c r="M1323" s="140"/>
      <c r="O1323" s="121"/>
    </row>
    <row r="1324" spans="5:15" x14ac:dyDescent="0.25">
      <c r="E1324" s="121"/>
      <c r="J1324" s="78"/>
      <c r="K1324" s="78"/>
      <c r="L1324" s="78"/>
      <c r="M1324" s="119"/>
    </row>
    <row r="1325" spans="5:15" ht="18.75" x14ac:dyDescent="0.3">
      <c r="G1325" s="99" t="s">
        <v>225</v>
      </c>
      <c r="H1325" s="125">
        <f>SUM(H1320+H1322)</f>
        <v>160437.25</v>
      </c>
      <c r="J1325" s="78"/>
      <c r="K1325" s="126" t="s">
        <v>226</v>
      </c>
      <c r="L1325" s="126"/>
      <c r="M1325" s="127">
        <f>SUM(M1309:M1324)</f>
        <v>82482.600000000006</v>
      </c>
    </row>
    <row r="1327" spans="5:15" x14ac:dyDescent="0.25">
      <c r="E1327" s="121"/>
    </row>
    <row r="1328" spans="5:15" x14ac:dyDescent="0.25">
      <c r="L1328" s="121"/>
    </row>
    <row r="1329" spans="5:15" x14ac:dyDescent="0.25">
      <c r="L1329" s="121"/>
    </row>
    <row r="1331" spans="5:15" ht="15.75" x14ac:dyDescent="0.25">
      <c r="J1331" s="316" t="s">
        <v>227</v>
      </c>
      <c r="K1331" s="317"/>
      <c r="L1331" s="140">
        <f>H1325-M1325</f>
        <v>77954.649999999994</v>
      </c>
    </row>
    <row r="1332" spans="5:15" ht="15.75" x14ac:dyDescent="0.25">
      <c r="L1332" s="89"/>
      <c r="O1332" s="121"/>
    </row>
    <row r="1333" spans="5:15" ht="15.75" x14ac:dyDescent="0.25">
      <c r="E1333" s="91"/>
      <c r="J1333" s="128" t="s">
        <v>285</v>
      </c>
      <c r="L1333" s="124">
        <f>G1354</f>
        <v>30.360000000000582</v>
      </c>
    </row>
    <row r="1334" spans="5:15" ht="15.75" x14ac:dyDescent="0.25">
      <c r="F1334" s="130" t="s">
        <v>235</v>
      </c>
      <c r="G1334" s="131">
        <v>17543.36</v>
      </c>
    </row>
    <row r="1335" spans="5:15" ht="18.75" x14ac:dyDescent="0.3">
      <c r="E1335" s="91"/>
      <c r="F1335" s="157" t="s">
        <v>476</v>
      </c>
      <c r="G1335" s="157">
        <v>2580</v>
      </c>
      <c r="K1335" s="158" t="s">
        <v>286</v>
      </c>
      <c r="L1335" s="137">
        <f>SUM(L1331:L1333)</f>
        <v>77985.009999999995</v>
      </c>
    </row>
    <row r="1336" spans="5:15" x14ac:dyDescent="0.25">
      <c r="E1336" s="161"/>
      <c r="F1336" s="163" t="s">
        <v>478</v>
      </c>
      <c r="G1336" s="164">
        <v>2900</v>
      </c>
      <c r="L1336" s="157">
        <v>76551.23</v>
      </c>
      <c r="M1336" s="39" t="s">
        <v>76</v>
      </c>
    </row>
    <row r="1337" spans="5:15" x14ac:dyDescent="0.25">
      <c r="E1337" s="161"/>
      <c r="F1337" s="163" t="s">
        <v>479</v>
      </c>
      <c r="G1337" s="164">
        <v>500</v>
      </c>
    </row>
    <row r="1338" spans="5:15" ht="18.75" x14ac:dyDescent="0.3">
      <c r="E1338" s="161"/>
      <c r="F1338" s="150" t="s">
        <v>250</v>
      </c>
      <c r="G1338" s="151">
        <v>-300</v>
      </c>
      <c r="L1338" s="154">
        <f>L1335-L1336</f>
        <v>1433.7799999999988</v>
      </c>
    </row>
    <row r="1339" spans="5:15" ht="18.75" x14ac:dyDescent="0.3">
      <c r="E1339" s="161"/>
      <c r="F1339" s="150" t="s">
        <v>490</v>
      </c>
      <c r="G1339" s="151">
        <v>-20</v>
      </c>
      <c r="L1339" s="125"/>
    </row>
    <row r="1340" spans="5:15" ht="18.75" x14ac:dyDescent="0.3">
      <c r="E1340" s="161"/>
      <c r="F1340" s="163" t="s">
        <v>492</v>
      </c>
      <c r="G1340" s="164">
        <v>3000</v>
      </c>
      <c r="L1340" s="125"/>
    </row>
    <row r="1341" spans="5:15" ht="18.75" x14ac:dyDescent="0.3">
      <c r="E1341" s="161"/>
      <c r="F1341" s="150" t="s">
        <v>494</v>
      </c>
      <c r="G1341" s="151">
        <v>-100</v>
      </c>
      <c r="L1341" s="125"/>
    </row>
    <row r="1342" spans="5:15" ht="18.75" x14ac:dyDescent="0.3">
      <c r="F1342" s="163" t="s">
        <v>505</v>
      </c>
      <c r="G1342" s="164">
        <v>200</v>
      </c>
      <c r="L1342" s="125"/>
    </row>
    <row r="1343" spans="5:15" ht="18.75" x14ac:dyDescent="0.3">
      <c r="E1343" s="161">
        <v>46119</v>
      </c>
      <c r="F1343" s="150" t="s">
        <v>272</v>
      </c>
      <c r="G1343" s="151">
        <v>-400</v>
      </c>
      <c r="L1343" s="125"/>
    </row>
    <row r="1344" spans="5:15" x14ac:dyDescent="0.25">
      <c r="E1344" s="161"/>
      <c r="F1344" s="150" t="s">
        <v>500</v>
      </c>
      <c r="G1344" s="151">
        <v>-14750</v>
      </c>
    </row>
    <row r="1345" spans="5:7" x14ac:dyDescent="0.25">
      <c r="E1345" s="161"/>
      <c r="F1345" s="163" t="s">
        <v>513</v>
      </c>
      <c r="G1345" s="164">
        <v>360</v>
      </c>
    </row>
    <row r="1346" spans="5:7" x14ac:dyDescent="0.25">
      <c r="E1346" s="161"/>
      <c r="F1346" s="163" t="s">
        <v>514</v>
      </c>
      <c r="G1346" s="164">
        <v>2000</v>
      </c>
    </row>
    <row r="1347" spans="5:7" x14ac:dyDescent="0.25">
      <c r="E1347" s="161"/>
      <c r="F1347" s="163" t="s">
        <v>357</v>
      </c>
      <c r="G1347" s="164">
        <v>4522</v>
      </c>
    </row>
    <row r="1348" spans="5:7" x14ac:dyDescent="0.25">
      <c r="E1348" s="161"/>
      <c r="F1348" s="150" t="s">
        <v>515</v>
      </c>
      <c r="G1348" s="151">
        <v>-825</v>
      </c>
    </row>
    <row r="1349" spans="5:7" x14ac:dyDescent="0.25">
      <c r="E1349" s="161">
        <v>46120</v>
      </c>
      <c r="F1349" s="170" t="s">
        <v>517</v>
      </c>
      <c r="G1349" s="169">
        <v>-17000</v>
      </c>
    </row>
    <row r="1350" spans="5:7" x14ac:dyDescent="0.25">
      <c r="E1350" s="161"/>
      <c r="F1350" s="150" t="s">
        <v>505</v>
      </c>
      <c r="G1350" s="151">
        <v>-10</v>
      </c>
    </row>
    <row r="1351" spans="5:7" x14ac:dyDescent="0.25">
      <c r="E1351" s="161"/>
      <c r="F1351" s="150" t="s">
        <v>533</v>
      </c>
      <c r="G1351" s="151">
        <v>-20</v>
      </c>
    </row>
    <row r="1352" spans="5:7" x14ac:dyDescent="0.25">
      <c r="E1352" s="161"/>
      <c r="F1352" s="150" t="s">
        <v>534</v>
      </c>
      <c r="G1352" s="151">
        <v>-150</v>
      </c>
    </row>
    <row r="1353" spans="5:7" x14ac:dyDescent="0.25">
      <c r="F1353" s="150"/>
      <c r="G1353" s="151"/>
    </row>
    <row r="1354" spans="5:7" ht="15.75" x14ac:dyDescent="0.25">
      <c r="F1354" s="132" t="s">
        <v>236</v>
      </c>
      <c r="G1354" s="133">
        <f>SUM(G1334:G1353)</f>
        <v>30.360000000000582</v>
      </c>
    </row>
    <row r="1357" spans="5:7" x14ac:dyDescent="0.25">
      <c r="G1357">
        <v>-11.9</v>
      </c>
    </row>
    <row r="1359" spans="5:7" x14ac:dyDescent="0.25">
      <c r="F1359" s="39"/>
      <c r="G1359" s="157">
        <f>SUM(G1354:G1358)</f>
        <v>18.460000000000583</v>
      </c>
    </row>
    <row r="1364" spans="5:11" x14ac:dyDescent="0.25">
      <c r="F1364" s="166" t="s">
        <v>429</v>
      </c>
      <c r="G1364" s="167">
        <v>5711.9</v>
      </c>
    </row>
    <row r="1365" spans="5:11" x14ac:dyDescent="0.25">
      <c r="E1365" s="91">
        <v>46118</v>
      </c>
      <c r="F1365" t="s">
        <v>482</v>
      </c>
      <c r="G1365" s="121">
        <v>-400</v>
      </c>
      <c r="H1365" s="176"/>
    </row>
    <row r="1366" spans="5:11" x14ac:dyDescent="0.25">
      <c r="E1366" s="91">
        <v>46118</v>
      </c>
      <c r="F1366" s="139" t="s">
        <v>480</v>
      </c>
      <c r="G1366" s="138">
        <v>-4600</v>
      </c>
    </row>
    <row r="1367" spans="5:11" x14ac:dyDescent="0.25">
      <c r="E1367" s="91"/>
      <c r="F1367" t="s">
        <v>497</v>
      </c>
      <c r="G1367" s="121">
        <v>50</v>
      </c>
    </row>
    <row r="1368" spans="5:11" x14ac:dyDescent="0.25">
      <c r="E1368" s="91"/>
      <c r="F1368" t="s">
        <v>497</v>
      </c>
      <c r="G1368" s="121">
        <v>1032.5</v>
      </c>
    </row>
    <row r="1369" spans="5:11" x14ac:dyDescent="0.25">
      <c r="E1369" s="91">
        <v>46119</v>
      </c>
      <c r="F1369" s="139" t="s">
        <v>498</v>
      </c>
      <c r="G1369" s="138">
        <v>-200</v>
      </c>
    </row>
    <row r="1370" spans="5:11" x14ac:dyDescent="0.25">
      <c r="E1370" s="91"/>
      <c r="F1370" t="s">
        <v>503</v>
      </c>
      <c r="G1370" s="121">
        <v>4558.5</v>
      </c>
    </row>
    <row r="1371" spans="5:11" x14ac:dyDescent="0.25">
      <c r="E1371" s="91"/>
      <c r="F1371" t="s">
        <v>504</v>
      </c>
      <c r="G1371" s="121">
        <v>825</v>
      </c>
    </row>
    <row r="1372" spans="5:11" x14ac:dyDescent="0.25">
      <c r="E1372" s="91"/>
      <c r="F1372" s="139" t="s">
        <v>506</v>
      </c>
      <c r="G1372" s="138">
        <v>-10</v>
      </c>
    </row>
    <row r="1373" spans="5:11" x14ac:dyDescent="0.25">
      <c r="E1373" s="91"/>
      <c r="F1373" t="s">
        <v>509</v>
      </c>
      <c r="G1373" s="121">
        <v>-3320</v>
      </c>
    </row>
    <row r="1374" spans="5:11" x14ac:dyDescent="0.25">
      <c r="E1374" s="91">
        <v>46120</v>
      </c>
      <c r="F1374" s="170" t="s">
        <v>518</v>
      </c>
      <c r="G1374" s="169">
        <v>17000</v>
      </c>
      <c r="K1374" s="121"/>
    </row>
    <row r="1375" spans="5:11" x14ac:dyDescent="0.25">
      <c r="E1375" s="91"/>
      <c r="F1375" s="39" t="s">
        <v>519</v>
      </c>
      <c r="G1375" s="157">
        <v>37949.599999999999</v>
      </c>
    </row>
    <row r="1376" spans="5:11" x14ac:dyDescent="0.25">
      <c r="E1376" s="91"/>
      <c r="F1376" t="s">
        <v>521</v>
      </c>
      <c r="G1376" s="121">
        <v>4030</v>
      </c>
    </row>
    <row r="1377" spans="5:11" x14ac:dyDescent="0.25">
      <c r="E1377" s="91"/>
      <c r="F1377" s="139" t="s">
        <v>524</v>
      </c>
      <c r="G1377" s="138">
        <v>-481.53</v>
      </c>
    </row>
    <row r="1378" spans="5:11" x14ac:dyDescent="0.25">
      <c r="E1378" s="91"/>
      <c r="F1378" s="139" t="s">
        <v>525</v>
      </c>
      <c r="G1378" s="138">
        <v>-20</v>
      </c>
      <c r="K1378" s="121"/>
    </row>
    <row r="1379" spans="5:11" x14ac:dyDescent="0.25">
      <c r="E1379" s="91"/>
      <c r="F1379" s="39" t="s">
        <v>519</v>
      </c>
      <c r="G1379" s="121">
        <v>15388</v>
      </c>
    </row>
    <row r="1380" spans="5:11" x14ac:dyDescent="0.25">
      <c r="E1380" s="91"/>
      <c r="F1380" s="139" t="s">
        <v>530</v>
      </c>
      <c r="G1380" s="138">
        <v>-4200</v>
      </c>
    </row>
    <row r="1381" spans="5:11" x14ac:dyDescent="0.25">
      <c r="E1381" s="91"/>
      <c r="F1381" s="163" t="s">
        <v>531</v>
      </c>
      <c r="G1381" s="157">
        <v>4600</v>
      </c>
    </row>
    <row r="1382" spans="5:11" x14ac:dyDescent="0.25">
      <c r="E1382" s="91"/>
      <c r="F1382" s="139" t="s">
        <v>381</v>
      </c>
      <c r="G1382" s="121">
        <v>3270</v>
      </c>
    </row>
    <row r="1383" spans="5:11" x14ac:dyDescent="0.25">
      <c r="E1383" s="91"/>
      <c r="F1383" s="139" t="s">
        <v>535</v>
      </c>
      <c r="G1383" s="138">
        <v>-4.6900000000000004</v>
      </c>
    </row>
    <row r="1384" spans="5:11" x14ac:dyDescent="0.25">
      <c r="E1384" s="91"/>
      <c r="G1384" s="121"/>
    </row>
    <row r="1385" spans="5:11" ht="15.75" x14ac:dyDescent="0.25">
      <c r="G1385" s="131">
        <f>SUM(G1364:G1384)</f>
        <v>81179.28</v>
      </c>
    </row>
    <row r="1400" spans="5:13" ht="18.75" x14ac:dyDescent="0.3">
      <c r="E1400" s="314" t="s">
        <v>539</v>
      </c>
      <c r="F1400" s="315"/>
      <c r="G1400" s="315"/>
      <c r="H1400" s="315"/>
      <c r="I1400" s="315"/>
      <c r="J1400" s="315"/>
      <c r="K1400" s="315"/>
      <c r="L1400" s="315"/>
      <c r="M1400" s="315"/>
    </row>
    <row r="1401" spans="5:13" x14ac:dyDescent="0.25">
      <c r="E1401" s="78"/>
      <c r="F1401" s="78"/>
      <c r="G1401" s="78"/>
      <c r="H1401" s="78"/>
      <c r="I1401" s="78"/>
      <c r="J1401" s="78"/>
      <c r="K1401" s="78"/>
      <c r="L1401" s="78"/>
      <c r="M1401" s="78"/>
    </row>
    <row r="1402" spans="5:13" ht="15.75" x14ac:dyDescent="0.25">
      <c r="E1402" s="118" t="s">
        <v>223</v>
      </c>
      <c r="F1402" s="118" t="s">
        <v>206</v>
      </c>
      <c r="G1402" s="118" t="s">
        <v>207</v>
      </c>
      <c r="H1402" s="118" t="s">
        <v>218</v>
      </c>
      <c r="I1402" s="78"/>
      <c r="J1402" s="120" t="s">
        <v>6</v>
      </c>
      <c r="K1402" s="120" t="s">
        <v>217</v>
      </c>
      <c r="L1402" s="120" t="s">
        <v>207</v>
      </c>
      <c r="M1402" s="120" t="s">
        <v>218</v>
      </c>
    </row>
    <row r="1403" spans="5:13" x14ac:dyDescent="0.25">
      <c r="E1403" s="117"/>
      <c r="F1403" s="78" t="s">
        <v>459</v>
      </c>
      <c r="G1403" s="78" t="s">
        <v>522</v>
      </c>
      <c r="H1403" s="119">
        <v>13260</v>
      </c>
      <c r="I1403" s="175" t="s">
        <v>523</v>
      </c>
      <c r="J1403" s="117"/>
      <c r="K1403" s="78"/>
      <c r="L1403" s="78"/>
      <c r="M1403" s="119"/>
    </row>
    <row r="1404" spans="5:13" x14ac:dyDescent="0.25">
      <c r="E1404" s="117">
        <v>46087</v>
      </c>
      <c r="F1404" s="78" t="s">
        <v>148</v>
      </c>
      <c r="G1404" s="78" t="s">
        <v>209</v>
      </c>
      <c r="H1404" s="119">
        <v>4420</v>
      </c>
      <c r="I1404" s="78"/>
      <c r="J1404" s="117">
        <v>46037</v>
      </c>
      <c r="K1404" s="149" t="s">
        <v>66</v>
      </c>
      <c r="L1404" s="78" t="s">
        <v>222</v>
      </c>
      <c r="M1404" s="119">
        <v>2120</v>
      </c>
    </row>
    <row r="1405" spans="5:13" x14ac:dyDescent="0.25">
      <c r="E1405" s="117">
        <v>46087</v>
      </c>
      <c r="F1405" s="78" t="s">
        <v>214</v>
      </c>
      <c r="G1405" s="155" t="s">
        <v>211</v>
      </c>
      <c r="H1405" s="156">
        <v>3700</v>
      </c>
      <c r="I1405" s="78"/>
      <c r="J1405" s="117">
        <v>46118</v>
      </c>
      <c r="K1405" s="78" t="s">
        <v>477</v>
      </c>
      <c r="L1405" s="78"/>
      <c r="M1405" s="119">
        <v>890</v>
      </c>
    </row>
    <row r="1406" spans="5:13" x14ac:dyDescent="0.25">
      <c r="E1406" s="117"/>
      <c r="F1406" s="78" t="s">
        <v>401</v>
      </c>
      <c r="G1406" s="78" t="s">
        <v>402</v>
      </c>
      <c r="H1406" s="119">
        <v>2880</v>
      </c>
      <c r="I1406" s="119"/>
      <c r="J1406" s="117">
        <v>46118</v>
      </c>
      <c r="K1406" s="78" t="s">
        <v>483</v>
      </c>
      <c r="L1406" s="78"/>
      <c r="M1406" s="119">
        <v>2800</v>
      </c>
    </row>
    <row r="1407" spans="5:13" x14ac:dyDescent="0.25">
      <c r="E1407" s="117">
        <v>46113</v>
      </c>
      <c r="F1407" s="78" t="s">
        <v>436</v>
      </c>
      <c r="G1407" s="78"/>
      <c r="H1407" s="119">
        <v>1600</v>
      </c>
      <c r="I1407" s="119"/>
      <c r="J1407" s="180">
        <v>46119</v>
      </c>
      <c r="K1407" s="149" t="s">
        <v>499</v>
      </c>
      <c r="L1407" s="149"/>
      <c r="M1407" s="122">
        <v>1720</v>
      </c>
    </row>
    <row r="1408" spans="5:13" ht="15.75" x14ac:dyDescent="0.25">
      <c r="E1408" s="78"/>
      <c r="F1408" s="166" t="s">
        <v>429</v>
      </c>
      <c r="G1408" s="166"/>
      <c r="H1408" s="167">
        <v>51154.28</v>
      </c>
      <c r="I1408" s="78"/>
      <c r="J1408" s="181">
        <v>46120</v>
      </c>
      <c r="K1408" s="182" t="s">
        <v>520</v>
      </c>
      <c r="L1408" s="182"/>
      <c r="M1408" s="183">
        <v>40797.599999999999</v>
      </c>
    </row>
    <row r="1409" spans="5:13" ht="15.75" x14ac:dyDescent="0.25">
      <c r="E1409" s="78"/>
      <c r="F1409" s="78" t="s">
        <v>502</v>
      </c>
      <c r="G1409" s="166"/>
      <c r="H1409" s="167">
        <v>2600</v>
      </c>
      <c r="I1409" s="78"/>
      <c r="J1409" s="184">
        <v>46120</v>
      </c>
      <c r="K1409" s="185" t="s">
        <v>348</v>
      </c>
      <c r="L1409" s="185"/>
      <c r="M1409" s="140">
        <v>1840</v>
      </c>
    </row>
    <row r="1410" spans="5:13" ht="15.75" x14ac:dyDescent="0.25">
      <c r="E1410" s="78"/>
      <c r="F1410" s="78" t="s">
        <v>527</v>
      </c>
      <c r="G1410" s="166"/>
      <c r="H1410" s="167">
        <v>3465</v>
      </c>
      <c r="I1410" s="78"/>
      <c r="J1410" s="184">
        <v>46120</v>
      </c>
      <c r="K1410" s="185" t="s">
        <v>529</v>
      </c>
      <c r="L1410" s="185"/>
      <c r="M1410" s="140">
        <v>4200</v>
      </c>
    </row>
    <row r="1411" spans="5:13" ht="15.75" x14ac:dyDescent="0.25">
      <c r="E1411" s="78"/>
      <c r="F1411" s="78" t="s">
        <v>528</v>
      </c>
      <c r="G1411" s="166"/>
      <c r="H1411" s="167">
        <v>3480</v>
      </c>
      <c r="J1411" s="184">
        <v>46121</v>
      </c>
      <c r="K1411" s="185" t="s">
        <v>546</v>
      </c>
      <c r="L1411" s="185"/>
      <c r="M1411" s="140">
        <v>1400</v>
      </c>
    </row>
    <row r="1412" spans="5:13" x14ac:dyDescent="0.25">
      <c r="E1412" s="117">
        <v>46121</v>
      </c>
      <c r="F1412" s="78" t="s">
        <v>540</v>
      </c>
      <c r="G1412" s="166"/>
      <c r="H1412" s="167">
        <v>3120</v>
      </c>
      <c r="J1412" s="78"/>
      <c r="K1412" s="78"/>
      <c r="L1412" s="78"/>
      <c r="M1412" s="119"/>
    </row>
    <row r="1413" spans="5:13" ht="18.75" x14ac:dyDescent="0.3">
      <c r="E1413" s="117"/>
      <c r="F1413" s="78"/>
      <c r="G1413" s="166"/>
      <c r="H1413" s="167"/>
      <c r="J1413" s="78"/>
      <c r="K1413" s="126" t="s">
        <v>226</v>
      </c>
      <c r="L1413" s="126"/>
      <c r="M1413" s="127">
        <f>SUM(M1403:M1412)</f>
        <v>55767.6</v>
      </c>
    </row>
    <row r="1414" spans="5:13" x14ac:dyDescent="0.25">
      <c r="E1414" s="78"/>
      <c r="F1414" s="78"/>
      <c r="G1414" s="78"/>
      <c r="H1414" s="119"/>
    </row>
    <row r="1415" spans="5:13" x14ac:dyDescent="0.25">
      <c r="E1415" s="78"/>
      <c r="F1415" s="78"/>
      <c r="G1415" s="78"/>
      <c r="H1415" s="122">
        <f>SUM(H1403:H1414)</f>
        <v>89679.28</v>
      </c>
    </row>
    <row r="1416" spans="5:13" x14ac:dyDescent="0.25">
      <c r="H1416" s="157"/>
      <c r="L1416" s="121"/>
    </row>
    <row r="1417" spans="5:13" x14ac:dyDescent="0.25">
      <c r="G1417" s="101" t="s">
        <v>224</v>
      </c>
      <c r="H1417" s="101">
        <v>41793.47</v>
      </c>
      <c r="L1417" s="121"/>
    </row>
    <row r="1419" spans="5:13" ht="15.75" x14ac:dyDescent="0.25">
      <c r="E1419" s="121"/>
      <c r="J1419" s="316" t="s">
        <v>227</v>
      </c>
      <c r="K1419" s="317"/>
      <c r="L1419" s="140">
        <f>H1420-M1413</f>
        <v>75705.149999999994</v>
      </c>
    </row>
    <row r="1420" spans="5:13" ht="18.75" x14ac:dyDescent="0.3">
      <c r="G1420" s="99" t="s">
        <v>225</v>
      </c>
      <c r="H1420" s="125">
        <f>SUM(H1415+H1417)</f>
        <v>131472.75</v>
      </c>
      <c r="L1420" s="89"/>
    </row>
    <row r="1421" spans="5:13" ht="15.75" x14ac:dyDescent="0.25">
      <c r="J1421" s="128" t="s">
        <v>285</v>
      </c>
      <c r="L1421" s="124">
        <f>G1454</f>
        <v>2933.3600000000006</v>
      </c>
    </row>
    <row r="1422" spans="5:13" x14ac:dyDescent="0.25">
      <c r="E1422" s="121"/>
    </row>
    <row r="1423" spans="5:13" ht="18.75" x14ac:dyDescent="0.3">
      <c r="K1423" s="158" t="s">
        <v>286</v>
      </c>
      <c r="L1423" s="137">
        <f>SUM(L1419:L1421)</f>
        <v>78638.509999999995</v>
      </c>
    </row>
    <row r="1424" spans="5:13" x14ac:dyDescent="0.25">
      <c r="L1424" s="157">
        <v>77985.009999999995</v>
      </c>
      <c r="M1424" s="39" t="s">
        <v>76</v>
      </c>
    </row>
    <row r="1426" spans="5:12" ht="18.75" x14ac:dyDescent="0.3">
      <c r="L1426" s="154">
        <f>L1423-L1424</f>
        <v>653.5</v>
      </c>
    </row>
    <row r="1427" spans="5:12" ht="18.75" x14ac:dyDescent="0.3">
      <c r="L1427" s="125"/>
    </row>
    <row r="1428" spans="5:12" ht="18.75" x14ac:dyDescent="0.3">
      <c r="E1428" s="91"/>
      <c r="L1428" s="125"/>
    </row>
    <row r="1429" spans="5:12" ht="18.75" x14ac:dyDescent="0.3">
      <c r="F1429" s="130" t="s">
        <v>235</v>
      </c>
      <c r="G1429" s="131">
        <v>17543.36</v>
      </c>
      <c r="L1429" s="125"/>
    </row>
    <row r="1430" spans="5:12" ht="18.75" x14ac:dyDescent="0.3">
      <c r="E1430" s="91"/>
      <c r="F1430" s="157" t="s">
        <v>476</v>
      </c>
      <c r="G1430" s="157">
        <v>2580</v>
      </c>
      <c r="L1430" s="125"/>
    </row>
    <row r="1431" spans="5:12" ht="18.75" x14ac:dyDescent="0.3">
      <c r="E1431" s="161"/>
      <c r="F1431" s="163" t="s">
        <v>478</v>
      </c>
      <c r="G1431" s="164">
        <v>2900</v>
      </c>
      <c r="L1431" s="125"/>
    </row>
    <row r="1432" spans="5:12" x14ac:dyDescent="0.25">
      <c r="E1432" s="161"/>
      <c r="F1432" s="163" t="s">
        <v>479</v>
      </c>
      <c r="G1432" s="164">
        <v>500</v>
      </c>
    </row>
    <row r="1433" spans="5:12" x14ac:dyDescent="0.25">
      <c r="E1433" s="161"/>
      <c r="F1433" s="150" t="s">
        <v>250</v>
      </c>
      <c r="G1433" s="151">
        <v>-300</v>
      </c>
    </row>
    <row r="1434" spans="5:12" ht="15.75" x14ac:dyDescent="0.25">
      <c r="E1434" s="161"/>
      <c r="F1434" s="150" t="s">
        <v>490</v>
      </c>
      <c r="G1434" s="151">
        <v>-20</v>
      </c>
      <c r="K1434" s="326" t="s">
        <v>152</v>
      </c>
      <c r="L1434" s="326"/>
    </row>
    <row r="1435" spans="5:12" x14ac:dyDescent="0.25">
      <c r="E1435" s="161"/>
      <c r="F1435" s="163" t="s">
        <v>492</v>
      </c>
      <c r="G1435" s="164">
        <v>3000</v>
      </c>
      <c r="K1435" t="s">
        <v>541</v>
      </c>
      <c r="L1435" s="121">
        <v>37949.599999999999</v>
      </c>
    </row>
    <row r="1436" spans="5:12" x14ac:dyDescent="0.25">
      <c r="E1436" s="161"/>
      <c r="F1436" s="150" t="s">
        <v>494</v>
      </c>
      <c r="G1436" s="151">
        <v>-100</v>
      </c>
      <c r="K1436" t="s">
        <v>541</v>
      </c>
      <c r="L1436" s="121">
        <v>15388</v>
      </c>
    </row>
    <row r="1437" spans="5:12" x14ac:dyDescent="0.25">
      <c r="F1437" s="163" t="s">
        <v>505</v>
      </c>
      <c r="G1437" s="164">
        <v>200</v>
      </c>
      <c r="K1437" t="s">
        <v>541</v>
      </c>
      <c r="L1437" s="121">
        <v>29440</v>
      </c>
    </row>
    <row r="1438" spans="5:12" x14ac:dyDescent="0.25">
      <c r="E1438" s="161">
        <v>46119</v>
      </c>
      <c r="F1438" s="150" t="s">
        <v>272</v>
      </c>
      <c r="G1438" s="151">
        <v>-400</v>
      </c>
      <c r="K1438" t="s">
        <v>542</v>
      </c>
      <c r="L1438" s="121">
        <v>13395</v>
      </c>
    </row>
    <row r="1439" spans="5:12" x14ac:dyDescent="0.25">
      <c r="E1439" s="161"/>
      <c r="F1439" s="150" t="s">
        <v>500</v>
      </c>
      <c r="G1439" s="151">
        <v>-14750</v>
      </c>
      <c r="L1439" s="138">
        <v>-30000</v>
      </c>
    </row>
    <row r="1440" spans="5:12" x14ac:dyDescent="0.25">
      <c r="E1440" s="161"/>
      <c r="F1440" s="163" t="s">
        <v>513</v>
      </c>
      <c r="G1440" s="164">
        <v>360</v>
      </c>
      <c r="L1440" s="138">
        <v>-30000</v>
      </c>
    </row>
    <row r="1441" spans="5:13" x14ac:dyDescent="0.25">
      <c r="E1441" s="161"/>
      <c r="F1441" s="163" t="s">
        <v>514</v>
      </c>
      <c r="G1441" s="164">
        <v>2000</v>
      </c>
      <c r="L1441" s="138">
        <v>-21375</v>
      </c>
    </row>
    <row r="1442" spans="5:13" x14ac:dyDescent="0.25">
      <c r="E1442" s="161"/>
      <c r="F1442" s="163" t="s">
        <v>357</v>
      </c>
      <c r="G1442" s="164">
        <v>4522</v>
      </c>
      <c r="L1442" s="121">
        <v>28000</v>
      </c>
    </row>
    <row r="1443" spans="5:13" x14ac:dyDescent="0.25">
      <c r="E1443" s="161"/>
      <c r="F1443" s="150" t="s">
        <v>515</v>
      </c>
      <c r="G1443" s="151">
        <v>-825</v>
      </c>
      <c r="L1443" s="138">
        <v>-37008.300000000003</v>
      </c>
    </row>
    <row r="1444" spans="5:13" x14ac:dyDescent="0.25">
      <c r="E1444" s="161">
        <v>46120</v>
      </c>
      <c r="F1444" s="170" t="s">
        <v>517</v>
      </c>
      <c r="G1444" s="169">
        <v>-17000</v>
      </c>
      <c r="L1444" s="121">
        <v>35008.300000000003</v>
      </c>
    </row>
    <row r="1445" spans="5:13" x14ac:dyDescent="0.25">
      <c r="E1445" s="161"/>
      <c r="F1445" s="150" t="s">
        <v>505</v>
      </c>
      <c r="G1445" s="151">
        <v>-10</v>
      </c>
      <c r="L1445" s="121"/>
    </row>
    <row r="1446" spans="5:13" x14ac:dyDescent="0.25">
      <c r="E1446" s="161"/>
      <c r="F1446" s="150" t="s">
        <v>533</v>
      </c>
      <c r="G1446" s="151">
        <v>-20</v>
      </c>
      <c r="K1446" s="39" t="s">
        <v>543</v>
      </c>
      <c r="L1446" s="157">
        <f>SUM(L1435:L1445)</f>
        <v>40797.600000000006</v>
      </c>
    </row>
    <row r="1447" spans="5:13" x14ac:dyDescent="0.25">
      <c r="E1447" s="161"/>
      <c r="F1447" s="150" t="s">
        <v>534</v>
      </c>
      <c r="G1447" s="151">
        <v>-150</v>
      </c>
    </row>
    <row r="1448" spans="5:13" x14ac:dyDescent="0.25">
      <c r="E1448" s="161"/>
      <c r="F1448" s="163" t="s">
        <v>548</v>
      </c>
      <c r="G1448" s="164">
        <v>600</v>
      </c>
      <c r="L1448" s="121"/>
    </row>
    <row r="1449" spans="5:13" x14ac:dyDescent="0.25">
      <c r="E1449" s="161"/>
      <c r="F1449" s="163" t="s">
        <v>357</v>
      </c>
      <c r="G1449" s="164">
        <v>2303</v>
      </c>
      <c r="M1449" s="121"/>
    </row>
    <row r="1450" spans="5:13" x14ac:dyDescent="0.25">
      <c r="E1450" s="161"/>
      <c r="F1450" s="163"/>
      <c r="G1450" s="164"/>
    </row>
    <row r="1451" spans="5:13" x14ac:dyDescent="0.25">
      <c r="E1451" s="161"/>
      <c r="F1451" s="163"/>
      <c r="G1451" s="164"/>
    </row>
    <row r="1452" spans="5:13" x14ac:dyDescent="0.25">
      <c r="E1452" s="161"/>
      <c r="F1452" s="150"/>
      <c r="G1452" s="151"/>
    </row>
    <row r="1453" spans="5:13" x14ac:dyDescent="0.25">
      <c r="F1453" s="150"/>
      <c r="G1453" s="151"/>
    </row>
    <row r="1454" spans="5:13" ht="15.75" x14ac:dyDescent="0.25">
      <c r="F1454" s="132" t="s">
        <v>236</v>
      </c>
      <c r="G1454" s="133">
        <f>SUM(G1429:G1453)</f>
        <v>2933.3600000000006</v>
      </c>
    </row>
    <row r="1457" spans="5:11" x14ac:dyDescent="0.25">
      <c r="G1457">
        <v>-11.9</v>
      </c>
    </row>
    <row r="1459" spans="5:11" x14ac:dyDescent="0.25">
      <c r="F1459" s="39"/>
      <c r="G1459" s="157">
        <f>SUM(G1454:G1458)</f>
        <v>2921.4600000000005</v>
      </c>
    </row>
    <row r="1464" spans="5:11" x14ac:dyDescent="0.25">
      <c r="F1464" s="166" t="s">
        <v>429</v>
      </c>
      <c r="G1464" s="167">
        <v>5711.9</v>
      </c>
    </row>
    <row r="1465" spans="5:11" x14ac:dyDescent="0.25">
      <c r="E1465" s="91">
        <v>46118</v>
      </c>
      <c r="F1465" t="s">
        <v>482</v>
      </c>
      <c r="G1465" s="121">
        <v>-400</v>
      </c>
      <c r="H1465" s="176"/>
    </row>
    <row r="1466" spans="5:11" x14ac:dyDescent="0.25">
      <c r="E1466" s="91">
        <v>46118</v>
      </c>
      <c r="F1466" s="139" t="s">
        <v>480</v>
      </c>
      <c r="G1466" s="138">
        <v>-4600</v>
      </c>
    </row>
    <row r="1467" spans="5:11" x14ac:dyDescent="0.25">
      <c r="E1467" s="91"/>
      <c r="F1467" t="s">
        <v>497</v>
      </c>
      <c r="G1467" s="121">
        <v>50</v>
      </c>
    </row>
    <row r="1468" spans="5:11" x14ac:dyDescent="0.25">
      <c r="E1468" s="91"/>
      <c r="F1468" t="s">
        <v>497</v>
      </c>
      <c r="G1468" s="121">
        <v>1032.5</v>
      </c>
    </row>
    <row r="1469" spans="5:11" x14ac:dyDescent="0.25">
      <c r="E1469" s="91">
        <v>46119</v>
      </c>
      <c r="F1469" s="139" t="s">
        <v>498</v>
      </c>
      <c r="G1469" s="138">
        <v>-200</v>
      </c>
    </row>
    <row r="1470" spans="5:11" x14ac:dyDescent="0.25">
      <c r="E1470" s="91"/>
      <c r="F1470" t="s">
        <v>503</v>
      </c>
      <c r="G1470" s="121">
        <v>4558.5</v>
      </c>
      <c r="K1470" s="121"/>
    </row>
    <row r="1471" spans="5:11" x14ac:dyDescent="0.25">
      <c r="E1471" s="91"/>
      <c r="F1471" t="s">
        <v>504</v>
      </c>
      <c r="G1471" s="121">
        <v>825</v>
      </c>
    </row>
    <row r="1472" spans="5:11" x14ac:dyDescent="0.25">
      <c r="E1472" s="91"/>
      <c r="F1472" s="139" t="s">
        <v>506</v>
      </c>
      <c r="G1472" s="138">
        <v>-10</v>
      </c>
    </row>
    <row r="1473" spans="5:11" x14ac:dyDescent="0.25">
      <c r="E1473" s="91"/>
      <c r="F1473" t="s">
        <v>509</v>
      </c>
      <c r="G1473" s="121">
        <v>-3320</v>
      </c>
    </row>
    <row r="1474" spans="5:11" x14ac:dyDescent="0.25">
      <c r="E1474" s="91">
        <v>46120</v>
      </c>
      <c r="F1474" s="170" t="s">
        <v>518</v>
      </c>
      <c r="G1474" s="169">
        <v>17000</v>
      </c>
      <c r="K1474" s="121"/>
    </row>
    <row r="1475" spans="5:11" x14ac:dyDescent="0.25">
      <c r="E1475" s="91"/>
      <c r="F1475" s="39" t="s">
        <v>519</v>
      </c>
      <c r="G1475" s="157">
        <v>37949.599999999999</v>
      </c>
    </row>
    <row r="1476" spans="5:11" x14ac:dyDescent="0.25">
      <c r="E1476" s="91"/>
      <c r="F1476" t="s">
        <v>521</v>
      </c>
      <c r="G1476" s="121">
        <v>4030</v>
      </c>
    </row>
    <row r="1477" spans="5:11" x14ac:dyDescent="0.25">
      <c r="E1477" s="91"/>
      <c r="F1477" s="139" t="s">
        <v>524</v>
      </c>
      <c r="G1477" s="138">
        <v>-481.53</v>
      </c>
    </row>
    <row r="1478" spans="5:11" x14ac:dyDescent="0.25">
      <c r="E1478" s="91"/>
      <c r="F1478" s="139" t="s">
        <v>525</v>
      </c>
      <c r="G1478" s="138">
        <v>-20</v>
      </c>
    </row>
    <row r="1479" spans="5:11" x14ac:dyDescent="0.25">
      <c r="E1479" s="91"/>
      <c r="F1479" s="39" t="s">
        <v>519</v>
      </c>
      <c r="G1479" s="121">
        <v>15388</v>
      </c>
    </row>
    <row r="1480" spans="5:11" x14ac:dyDescent="0.25">
      <c r="E1480" s="91"/>
      <c r="F1480" s="139" t="s">
        <v>530</v>
      </c>
      <c r="G1480" s="138">
        <v>-4200</v>
      </c>
    </row>
    <row r="1481" spans="5:11" x14ac:dyDescent="0.25">
      <c r="E1481" s="91"/>
      <c r="F1481" s="163" t="s">
        <v>531</v>
      </c>
      <c r="G1481" s="157">
        <v>4600</v>
      </c>
    </row>
    <row r="1482" spans="5:11" x14ac:dyDescent="0.25">
      <c r="E1482" s="91"/>
      <c r="F1482" s="139" t="s">
        <v>381</v>
      </c>
      <c r="G1482" s="121">
        <v>3270</v>
      </c>
    </row>
    <row r="1483" spans="5:11" x14ac:dyDescent="0.25">
      <c r="E1483" s="91"/>
      <c r="F1483" s="139" t="s">
        <v>535</v>
      </c>
      <c r="G1483" s="138">
        <v>-4.6900000000000004</v>
      </c>
    </row>
    <row r="1484" spans="5:11" x14ac:dyDescent="0.25">
      <c r="E1484" s="91">
        <v>46121</v>
      </c>
      <c r="F1484" s="71" t="s">
        <v>544</v>
      </c>
      <c r="G1484" s="186">
        <v>1000</v>
      </c>
    </row>
    <row r="1485" spans="5:11" ht="17.25" customHeight="1" x14ac:dyDescent="0.25">
      <c r="E1485" s="91"/>
      <c r="F1485" t="s">
        <v>541</v>
      </c>
      <c r="G1485" s="121">
        <v>29440</v>
      </c>
    </row>
    <row r="1486" spans="5:11" x14ac:dyDescent="0.25">
      <c r="E1486" s="91"/>
      <c r="F1486" s="139" t="s">
        <v>545</v>
      </c>
      <c r="G1486" s="138">
        <v>-5000</v>
      </c>
    </row>
    <row r="1487" spans="5:11" x14ac:dyDescent="0.25">
      <c r="E1487" s="91"/>
      <c r="F1487" s="71" t="s">
        <v>547</v>
      </c>
      <c r="G1487" s="186">
        <v>60</v>
      </c>
    </row>
    <row r="1488" spans="5:11" x14ac:dyDescent="0.25">
      <c r="E1488" s="91"/>
      <c r="G1488" s="121">
        <v>-30000</v>
      </c>
    </row>
    <row r="1489" spans="5:7" x14ac:dyDescent="0.25">
      <c r="E1489" s="91"/>
      <c r="G1489" s="121">
        <v>-30000</v>
      </c>
    </row>
    <row r="1490" spans="5:7" x14ac:dyDescent="0.25">
      <c r="E1490" s="91"/>
      <c r="G1490" s="121">
        <v>-21375</v>
      </c>
    </row>
    <row r="1491" spans="5:7" x14ac:dyDescent="0.25">
      <c r="E1491" s="91"/>
      <c r="G1491" s="121">
        <v>28000</v>
      </c>
    </row>
    <row r="1492" spans="5:7" x14ac:dyDescent="0.25">
      <c r="E1492" s="91"/>
      <c r="G1492" s="121">
        <v>-37008.300000000003</v>
      </c>
    </row>
    <row r="1493" spans="5:7" x14ac:dyDescent="0.25">
      <c r="E1493" s="91"/>
      <c r="G1493" s="121">
        <v>35008.300000000003</v>
      </c>
    </row>
    <row r="1494" spans="5:7" x14ac:dyDescent="0.25">
      <c r="E1494" s="91"/>
      <c r="F1494" s="139" t="s">
        <v>551</v>
      </c>
      <c r="G1494" s="138">
        <v>-150</v>
      </c>
    </row>
    <row r="1495" spans="5:7" x14ac:dyDescent="0.25">
      <c r="E1495" s="91"/>
      <c r="F1495" s="139" t="s">
        <v>552</v>
      </c>
      <c r="G1495" s="138">
        <v>-10.8</v>
      </c>
    </row>
    <row r="1497" spans="5:7" ht="15.75" x14ac:dyDescent="0.25">
      <c r="G1497" s="131">
        <f>SUM(G1464:G1495)</f>
        <v>51143.479999999996</v>
      </c>
    </row>
    <row r="1511" spans="5:13" ht="18.75" x14ac:dyDescent="0.3">
      <c r="E1511" s="314" t="s">
        <v>553</v>
      </c>
      <c r="F1511" s="315"/>
      <c r="G1511" s="315"/>
      <c r="H1511" s="315"/>
      <c r="I1511" s="315"/>
      <c r="J1511" s="315"/>
      <c r="K1511" s="315"/>
      <c r="L1511" s="315"/>
      <c r="M1511" s="315"/>
    </row>
    <row r="1512" spans="5:13" x14ac:dyDescent="0.25">
      <c r="E1512" s="78"/>
      <c r="F1512" s="78"/>
      <c r="G1512" s="78"/>
      <c r="H1512" s="78"/>
      <c r="I1512" s="78"/>
      <c r="J1512" s="78"/>
      <c r="K1512" s="78"/>
      <c r="L1512" s="78"/>
      <c r="M1512" s="78"/>
    </row>
    <row r="1513" spans="5:13" ht="15.75" x14ac:dyDescent="0.25">
      <c r="E1513" s="118" t="s">
        <v>223</v>
      </c>
      <c r="F1513" s="118" t="s">
        <v>206</v>
      </c>
      <c r="G1513" s="118" t="s">
        <v>207</v>
      </c>
      <c r="H1513" s="118" t="s">
        <v>218</v>
      </c>
      <c r="I1513" s="78"/>
      <c r="J1513" s="120" t="s">
        <v>6</v>
      </c>
      <c r="K1513" s="120" t="s">
        <v>217</v>
      </c>
      <c r="L1513" s="120" t="s">
        <v>207</v>
      </c>
      <c r="M1513" s="120" t="s">
        <v>218</v>
      </c>
    </row>
    <row r="1514" spans="5:13" x14ac:dyDescent="0.25">
      <c r="E1514" s="117"/>
      <c r="F1514" s="78" t="s">
        <v>459</v>
      </c>
      <c r="G1514" s="78" t="s">
        <v>556</v>
      </c>
      <c r="H1514" s="119">
        <v>10140</v>
      </c>
      <c r="I1514" s="175" t="s">
        <v>557</v>
      </c>
      <c r="J1514" s="117"/>
      <c r="K1514" s="78"/>
      <c r="L1514" s="78"/>
      <c r="M1514" s="119"/>
    </row>
    <row r="1515" spans="5:13" x14ac:dyDescent="0.25">
      <c r="E1515" s="117">
        <v>46087</v>
      </c>
      <c r="F1515" s="78" t="s">
        <v>148</v>
      </c>
      <c r="G1515" s="78" t="s">
        <v>209</v>
      </c>
      <c r="H1515" s="119">
        <v>4420</v>
      </c>
      <c r="I1515" s="78"/>
      <c r="J1515" s="117">
        <v>46037</v>
      </c>
      <c r="K1515" s="149" t="s">
        <v>66</v>
      </c>
      <c r="L1515" s="78" t="s">
        <v>222</v>
      </c>
      <c r="M1515" s="119">
        <v>2120</v>
      </c>
    </row>
    <row r="1516" spans="5:13" ht="15.75" x14ac:dyDescent="0.25">
      <c r="E1516" s="117">
        <v>46087</v>
      </c>
      <c r="F1516" s="78" t="s">
        <v>214</v>
      </c>
      <c r="G1516" s="155" t="s">
        <v>211</v>
      </c>
      <c r="H1516" s="156">
        <v>3700</v>
      </c>
      <c r="I1516" s="78"/>
      <c r="J1516" s="181">
        <v>46120</v>
      </c>
      <c r="K1516" s="182" t="s">
        <v>520</v>
      </c>
      <c r="L1516" s="182"/>
      <c r="M1516" s="183">
        <v>10797.6</v>
      </c>
    </row>
    <row r="1517" spans="5:13" ht="15.75" x14ac:dyDescent="0.25">
      <c r="E1517" s="117"/>
      <c r="F1517" s="78" t="s">
        <v>401</v>
      </c>
      <c r="G1517" s="78" t="s">
        <v>402</v>
      </c>
      <c r="H1517" s="119">
        <v>2880</v>
      </c>
      <c r="I1517" s="119"/>
      <c r="J1517" s="184">
        <v>46120</v>
      </c>
      <c r="K1517" s="185" t="s">
        <v>348</v>
      </c>
      <c r="L1517" s="185"/>
      <c r="M1517" s="140">
        <v>1840</v>
      </c>
    </row>
    <row r="1518" spans="5:13" ht="15.75" x14ac:dyDescent="0.25">
      <c r="E1518" s="117">
        <v>46113</v>
      </c>
      <c r="F1518" s="78" t="s">
        <v>436</v>
      </c>
      <c r="G1518" s="78"/>
      <c r="H1518" s="119">
        <v>1600</v>
      </c>
      <c r="I1518" s="119"/>
      <c r="J1518" s="184">
        <v>46120</v>
      </c>
      <c r="K1518" s="185" t="s">
        <v>529</v>
      </c>
      <c r="L1518" s="185"/>
      <c r="M1518" s="140">
        <v>4200</v>
      </c>
    </row>
    <row r="1519" spans="5:13" ht="15.75" x14ac:dyDescent="0.25">
      <c r="E1519" s="78"/>
      <c r="F1519" s="166" t="s">
        <v>429</v>
      </c>
      <c r="G1519" s="166"/>
      <c r="H1519" s="167">
        <f>G1612</f>
        <v>15731.829999999994</v>
      </c>
      <c r="I1519" s="78"/>
      <c r="J1519" s="184">
        <v>46121</v>
      </c>
      <c r="K1519" s="185" t="s">
        <v>546</v>
      </c>
      <c r="L1519" s="185"/>
      <c r="M1519" s="140">
        <v>1400</v>
      </c>
    </row>
    <row r="1520" spans="5:13" x14ac:dyDescent="0.25">
      <c r="E1520" s="78"/>
      <c r="F1520" s="78" t="s">
        <v>502</v>
      </c>
      <c r="G1520" s="166"/>
      <c r="H1520" s="167">
        <v>2600</v>
      </c>
      <c r="I1520" s="78"/>
      <c r="J1520" s="78"/>
      <c r="K1520" s="78"/>
      <c r="L1520" s="78"/>
      <c r="M1520" s="119"/>
    </row>
    <row r="1521" spans="5:13" ht="18.75" x14ac:dyDescent="0.3">
      <c r="E1521" s="78"/>
      <c r="F1521" s="78" t="s">
        <v>527</v>
      </c>
      <c r="G1521" s="166"/>
      <c r="H1521" s="167">
        <v>3465</v>
      </c>
      <c r="I1521" s="78"/>
      <c r="J1521" s="78"/>
      <c r="K1521" s="126" t="s">
        <v>226</v>
      </c>
      <c r="L1521" s="126"/>
      <c r="M1521" s="127">
        <f>SUM(M1514:M1520)</f>
        <v>20357.599999999999</v>
      </c>
    </row>
    <row r="1522" spans="5:13" x14ac:dyDescent="0.25">
      <c r="E1522" s="78"/>
      <c r="F1522" s="78" t="s">
        <v>528</v>
      </c>
      <c r="G1522" s="166"/>
      <c r="H1522" s="167">
        <v>3480</v>
      </c>
    </row>
    <row r="1523" spans="5:13" x14ac:dyDescent="0.25">
      <c r="E1523" s="117">
        <v>46121</v>
      </c>
      <c r="F1523" s="78" t="s">
        <v>540</v>
      </c>
      <c r="G1523" s="166"/>
      <c r="H1523" s="167">
        <v>3120</v>
      </c>
    </row>
    <row r="1524" spans="5:13" x14ac:dyDescent="0.25">
      <c r="E1524" s="117"/>
      <c r="F1524" s="78"/>
      <c r="G1524" s="166"/>
      <c r="H1524" s="167"/>
      <c r="L1524" s="121"/>
    </row>
    <row r="1525" spans="5:13" x14ac:dyDescent="0.25">
      <c r="E1525" s="78"/>
      <c r="F1525" s="78"/>
      <c r="G1525" s="78"/>
      <c r="H1525" s="119"/>
      <c r="L1525" s="121"/>
    </row>
    <row r="1526" spans="5:13" x14ac:dyDescent="0.25">
      <c r="E1526" s="78"/>
      <c r="F1526" s="78"/>
      <c r="G1526" s="78"/>
      <c r="H1526" s="122">
        <f>SUM(H1514:H1525)</f>
        <v>51136.829999999994</v>
      </c>
    </row>
    <row r="1527" spans="5:13" ht="15.75" x14ac:dyDescent="0.25">
      <c r="H1527" s="157"/>
      <c r="J1527" s="316" t="s">
        <v>227</v>
      </c>
      <c r="K1527" s="317"/>
      <c r="L1527" s="140">
        <f>H1531-M1521</f>
        <v>73585.899999999994</v>
      </c>
    </row>
    <row r="1528" spans="5:13" ht="15.75" x14ac:dyDescent="0.25">
      <c r="G1528" s="101" t="s">
        <v>224</v>
      </c>
      <c r="H1528" s="101">
        <v>42806.67</v>
      </c>
      <c r="L1528" s="89"/>
    </row>
    <row r="1529" spans="5:13" ht="15.75" x14ac:dyDescent="0.25">
      <c r="J1529" s="128" t="s">
        <v>285</v>
      </c>
      <c r="L1529" s="124">
        <f>G1565</f>
        <v>5735.8600000000006</v>
      </c>
    </row>
    <row r="1530" spans="5:13" x14ac:dyDescent="0.25">
      <c r="E1530" s="121"/>
    </row>
    <row r="1531" spans="5:13" ht="18.75" x14ac:dyDescent="0.3">
      <c r="G1531" s="99" t="s">
        <v>225</v>
      </c>
      <c r="H1531" s="125">
        <f>SUM(H1526+H1528)</f>
        <v>93943.5</v>
      </c>
      <c r="K1531" s="158" t="s">
        <v>286</v>
      </c>
      <c r="L1531" s="137">
        <f>SUM(L1527:L1529)</f>
        <v>79321.759999999995</v>
      </c>
    </row>
    <row r="1532" spans="5:13" x14ac:dyDescent="0.25">
      <c r="L1532" s="157">
        <v>78638.509999999995</v>
      </c>
      <c r="M1532" s="39" t="s">
        <v>76</v>
      </c>
    </row>
    <row r="1533" spans="5:13" x14ac:dyDescent="0.25">
      <c r="E1533" s="121"/>
    </row>
    <row r="1534" spans="5:13" ht="18.75" x14ac:dyDescent="0.3">
      <c r="L1534" s="154">
        <f>L1531-L1532</f>
        <v>683.25</v>
      </c>
    </row>
    <row r="1535" spans="5:13" ht="18.75" x14ac:dyDescent="0.3">
      <c r="L1535" s="125"/>
    </row>
    <row r="1536" spans="5:13" ht="18.75" x14ac:dyDescent="0.3">
      <c r="L1536" s="125"/>
    </row>
    <row r="1537" spans="5:12" ht="18.75" x14ac:dyDescent="0.3">
      <c r="L1537" s="125"/>
    </row>
    <row r="1538" spans="5:12" ht="18.75" x14ac:dyDescent="0.3">
      <c r="L1538" s="125"/>
    </row>
    <row r="1539" spans="5:12" ht="18.75" x14ac:dyDescent="0.3">
      <c r="E1539" s="91"/>
      <c r="L1539" s="125"/>
    </row>
    <row r="1540" spans="5:12" ht="15.75" x14ac:dyDescent="0.25">
      <c r="F1540" s="130" t="s">
        <v>235</v>
      </c>
      <c r="G1540" s="131">
        <v>17543.36</v>
      </c>
    </row>
    <row r="1541" spans="5:12" x14ac:dyDescent="0.25">
      <c r="E1541" s="91"/>
      <c r="F1541" s="157" t="s">
        <v>476</v>
      </c>
      <c r="G1541" s="157">
        <v>2580</v>
      </c>
    </row>
    <row r="1542" spans="5:12" ht="15.75" x14ac:dyDescent="0.25">
      <c r="E1542" s="161"/>
      <c r="F1542" s="163" t="s">
        <v>478</v>
      </c>
      <c r="G1542" s="164">
        <v>2900</v>
      </c>
      <c r="K1542" s="326" t="s">
        <v>152</v>
      </c>
      <c r="L1542" s="326"/>
    </row>
    <row r="1543" spans="5:12" x14ac:dyDescent="0.25">
      <c r="E1543" s="161"/>
      <c r="F1543" s="163" t="s">
        <v>479</v>
      </c>
      <c r="G1543" s="164">
        <v>500</v>
      </c>
      <c r="K1543" t="s">
        <v>541</v>
      </c>
      <c r="L1543" s="121">
        <v>37949.599999999999</v>
      </c>
    </row>
    <row r="1544" spans="5:12" x14ac:dyDescent="0.25">
      <c r="E1544" s="161"/>
      <c r="F1544" s="150" t="s">
        <v>250</v>
      </c>
      <c r="G1544" s="151">
        <v>-300</v>
      </c>
      <c r="K1544" t="s">
        <v>541</v>
      </c>
      <c r="L1544" s="121">
        <v>15388</v>
      </c>
    </row>
    <row r="1545" spans="5:12" x14ac:dyDescent="0.25">
      <c r="E1545" s="161"/>
      <c r="F1545" s="150" t="s">
        <v>490</v>
      </c>
      <c r="G1545" s="151">
        <v>-20</v>
      </c>
      <c r="K1545" t="s">
        <v>541</v>
      </c>
      <c r="L1545" s="121">
        <v>29440</v>
      </c>
    </row>
    <row r="1546" spans="5:12" x14ac:dyDescent="0.25">
      <c r="E1546" s="161"/>
      <c r="F1546" s="163" t="s">
        <v>492</v>
      </c>
      <c r="G1546" s="164">
        <v>3000</v>
      </c>
      <c r="K1546" t="s">
        <v>542</v>
      </c>
      <c r="L1546" s="121">
        <v>13395</v>
      </c>
    </row>
    <row r="1547" spans="5:12" x14ac:dyDescent="0.25">
      <c r="E1547" s="161"/>
      <c r="F1547" s="150" t="s">
        <v>494</v>
      </c>
      <c r="G1547" s="151">
        <v>-100</v>
      </c>
      <c r="L1547" s="138">
        <v>-30000</v>
      </c>
    </row>
    <row r="1548" spans="5:12" x14ac:dyDescent="0.25">
      <c r="F1548" s="163" t="s">
        <v>505</v>
      </c>
      <c r="G1548" s="164">
        <v>200</v>
      </c>
      <c r="L1548" s="138">
        <v>-30000</v>
      </c>
    </row>
    <row r="1549" spans="5:12" x14ac:dyDescent="0.25">
      <c r="E1549" s="161">
        <v>46119</v>
      </c>
      <c r="F1549" s="150" t="s">
        <v>272</v>
      </c>
      <c r="G1549" s="151">
        <v>-400</v>
      </c>
      <c r="L1549" s="138">
        <v>-21375</v>
      </c>
    </row>
    <row r="1550" spans="5:12" x14ac:dyDescent="0.25">
      <c r="E1550" s="161"/>
      <c r="F1550" s="150" t="s">
        <v>500</v>
      </c>
      <c r="G1550" s="151">
        <v>-14750</v>
      </c>
      <c r="L1550" s="121">
        <v>28000</v>
      </c>
    </row>
    <row r="1551" spans="5:12" x14ac:dyDescent="0.25">
      <c r="E1551" s="161"/>
      <c r="F1551" s="163" t="s">
        <v>513</v>
      </c>
      <c r="G1551" s="164">
        <v>360</v>
      </c>
      <c r="L1551" s="138">
        <v>-37008.300000000003</v>
      </c>
    </row>
    <row r="1552" spans="5:12" x14ac:dyDescent="0.25">
      <c r="E1552" s="161"/>
      <c r="F1552" s="163" t="s">
        <v>514</v>
      </c>
      <c r="G1552" s="164">
        <v>2000</v>
      </c>
      <c r="L1552" s="121">
        <v>35008.300000000003</v>
      </c>
    </row>
    <row r="1553" spans="5:13" x14ac:dyDescent="0.25">
      <c r="E1553" s="161"/>
      <c r="F1553" s="163" t="s">
        <v>357</v>
      </c>
      <c r="G1553" s="164">
        <v>4522</v>
      </c>
      <c r="J1553" s="187">
        <v>46122</v>
      </c>
      <c r="L1553" s="138">
        <v>-30000</v>
      </c>
    </row>
    <row r="1554" spans="5:13" x14ac:dyDescent="0.25">
      <c r="E1554" s="161"/>
      <c r="F1554" s="150" t="s">
        <v>515</v>
      </c>
      <c r="G1554" s="151">
        <v>-825</v>
      </c>
    </row>
    <row r="1555" spans="5:13" x14ac:dyDescent="0.25">
      <c r="E1555" s="161">
        <v>46120</v>
      </c>
      <c r="F1555" s="170" t="s">
        <v>517</v>
      </c>
      <c r="G1555" s="169">
        <v>-17000</v>
      </c>
    </row>
    <row r="1556" spans="5:13" x14ac:dyDescent="0.25">
      <c r="E1556" s="161"/>
      <c r="F1556" s="150" t="s">
        <v>505</v>
      </c>
      <c r="G1556" s="151">
        <v>-10</v>
      </c>
      <c r="K1556" s="39" t="s">
        <v>543</v>
      </c>
      <c r="L1556" s="157">
        <f>SUM(L1543:L1553)</f>
        <v>10797.600000000006</v>
      </c>
    </row>
    <row r="1557" spans="5:13" x14ac:dyDescent="0.25">
      <c r="E1557" s="161"/>
      <c r="F1557" s="150" t="s">
        <v>533</v>
      </c>
      <c r="G1557" s="151">
        <v>-20</v>
      </c>
      <c r="M1557" s="121"/>
    </row>
    <row r="1558" spans="5:13" x14ac:dyDescent="0.25">
      <c r="E1558" s="161"/>
      <c r="F1558" s="150" t="s">
        <v>534</v>
      </c>
      <c r="G1558" s="151">
        <v>-150</v>
      </c>
    </row>
    <row r="1559" spans="5:13" x14ac:dyDescent="0.25">
      <c r="E1559" s="161"/>
      <c r="F1559" s="163" t="s">
        <v>548</v>
      </c>
      <c r="G1559" s="164">
        <v>600</v>
      </c>
    </row>
    <row r="1560" spans="5:13" x14ac:dyDescent="0.25">
      <c r="E1560" s="161">
        <v>46121</v>
      </c>
      <c r="F1560" s="163" t="s">
        <v>357</v>
      </c>
      <c r="G1560" s="164">
        <v>2303</v>
      </c>
    </row>
    <row r="1561" spans="5:13" x14ac:dyDescent="0.25">
      <c r="E1561" s="161">
        <v>46122</v>
      </c>
      <c r="F1561" s="163" t="s">
        <v>357</v>
      </c>
      <c r="G1561" s="164">
        <v>2489.5</v>
      </c>
    </row>
    <row r="1562" spans="5:13" x14ac:dyDescent="0.25">
      <c r="E1562" s="161"/>
      <c r="F1562" s="163" t="s">
        <v>558</v>
      </c>
      <c r="G1562" s="164">
        <v>313</v>
      </c>
    </row>
    <row r="1563" spans="5:13" x14ac:dyDescent="0.25">
      <c r="E1563" s="161"/>
      <c r="F1563" s="150"/>
      <c r="G1563" s="151"/>
    </row>
    <row r="1564" spans="5:13" x14ac:dyDescent="0.25">
      <c r="F1564" s="150"/>
      <c r="G1564" s="151"/>
    </row>
    <row r="1565" spans="5:13" ht="15.75" x14ac:dyDescent="0.25">
      <c r="F1565" s="132" t="s">
        <v>236</v>
      </c>
      <c r="G1565" s="133">
        <f>SUM(G1540:G1564)</f>
        <v>5735.8600000000006</v>
      </c>
    </row>
    <row r="1568" spans="5:13" x14ac:dyDescent="0.25">
      <c r="G1568">
        <v>-11.9</v>
      </c>
    </row>
    <row r="1570" spans="5:11" x14ac:dyDescent="0.25">
      <c r="F1570" s="39"/>
      <c r="G1570" s="157">
        <f>SUM(G1565:G1569)</f>
        <v>5723.9600000000009</v>
      </c>
    </row>
    <row r="1575" spans="5:11" x14ac:dyDescent="0.25">
      <c r="F1575" s="166" t="s">
        <v>429</v>
      </c>
      <c r="G1575" s="167">
        <v>5711.9</v>
      </c>
    </row>
    <row r="1576" spans="5:11" x14ac:dyDescent="0.25">
      <c r="E1576" s="91">
        <v>46118</v>
      </c>
      <c r="F1576" t="s">
        <v>482</v>
      </c>
      <c r="G1576" s="121">
        <v>-400</v>
      </c>
      <c r="H1576" s="176"/>
    </row>
    <row r="1577" spans="5:11" x14ac:dyDescent="0.25">
      <c r="E1577" s="91">
        <v>46118</v>
      </c>
      <c r="F1577" s="139" t="s">
        <v>480</v>
      </c>
      <c r="G1577" s="138">
        <v>-4600</v>
      </c>
    </row>
    <row r="1578" spans="5:11" x14ac:dyDescent="0.25">
      <c r="E1578" s="91"/>
      <c r="F1578" t="s">
        <v>497</v>
      </c>
      <c r="G1578" s="121">
        <v>50</v>
      </c>
      <c r="K1578" s="121"/>
    </row>
    <row r="1579" spans="5:11" x14ac:dyDescent="0.25">
      <c r="E1579" s="91"/>
      <c r="F1579" t="s">
        <v>497</v>
      </c>
      <c r="G1579" s="121">
        <v>1032.5</v>
      </c>
    </row>
    <row r="1580" spans="5:11" x14ac:dyDescent="0.25">
      <c r="E1580" s="91">
        <v>46119</v>
      </c>
      <c r="F1580" s="139" t="s">
        <v>498</v>
      </c>
      <c r="G1580" s="138">
        <v>-200</v>
      </c>
    </row>
    <row r="1581" spans="5:11" x14ac:dyDescent="0.25">
      <c r="E1581" s="91"/>
      <c r="F1581" t="s">
        <v>503</v>
      </c>
      <c r="G1581" s="121">
        <v>4558.5</v>
      </c>
    </row>
    <row r="1582" spans="5:11" x14ac:dyDescent="0.25">
      <c r="E1582" s="91"/>
      <c r="F1582" t="s">
        <v>504</v>
      </c>
      <c r="G1582" s="121">
        <v>825</v>
      </c>
      <c r="K1582" s="121"/>
    </row>
    <row r="1583" spans="5:11" x14ac:dyDescent="0.25">
      <c r="E1583" s="91"/>
      <c r="F1583" s="139" t="s">
        <v>506</v>
      </c>
      <c r="G1583" s="138">
        <v>-10</v>
      </c>
    </row>
    <row r="1584" spans="5:11" x14ac:dyDescent="0.25">
      <c r="E1584" s="91"/>
      <c r="F1584" t="s">
        <v>509</v>
      </c>
      <c r="G1584" s="121">
        <v>-3320</v>
      </c>
    </row>
    <row r="1585" spans="5:7" x14ac:dyDescent="0.25">
      <c r="E1585" s="91">
        <v>46120</v>
      </c>
      <c r="F1585" s="170" t="s">
        <v>518</v>
      </c>
      <c r="G1585" s="169">
        <v>17000</v>
      </c>
    </row>
    <row r="1586" spans="5:7" x14ac:dyDescent="0.25">
      <c r="E1586" s="91"/>
      <c r="F1586" s="39" t="s">
        <v>519</v>
      </c>
      <c r="G1586" s="157">
        <v>37949.599999999999</v>
      </c>
    </row>
    <row r="1587" spans="5:7" x14ac:dyDescent="0.25">
      <c r="E1587" s="91"/>
      <c r="F1587" t="s">
        <v>521</v>
      </c>
      <c r="G1587" s="121">
        <v>4030</v>
      </c>
    </row>
    <row r="1588" spans="5:7" x14ac:dyDescent="0.25">
      <c r="E1588" s="91"/>
      <c r="F1588" s="139" t="s">
        <v>524</v>
      </c>
      <c r="G1588" s="138">
        <v>-481.53</v>
      </c>
    </row>
    <row r="1589" spans="5:7" x14ac:dyDescent="0.25">
      <c r="E1589" s="91"/>
      <c r="F1589" s="139" t="s">
        <v>525</v>
      </c>
      <c r="G1589" s="138">
        <v>-20</v>
      </c>
    </row>
    <row r="1590" spans="5:7" x14ac:dyDescent="0.25">
      <c r="E1590" s="91"/>
      <c r="F1590" s="39" t="s">
        <v>519</v>
      </c>
      <c r="G1590" s="121">
        <v>15388</v>
      </c>
    </row>
    <row r="1591" spans="5:7" x14ac:dyDescent="0.25">
      <c r="E1591" s="91"/>
      <c r="F1591" s="139" t="s">
        <v>530</v>
      </c>
      <c r="G1591" s="138">
        <v>-4200</v>
      </c>
    </row>
    <row r="1592" spans="5:7" x14ac:dyDescent="0.25">
      <c r="E1592" s="91"/>
      <c r="F1592" s="163" t="s">
        <v>531</v>
      </c>
      <c r="G1592" s="157">
        <v>4600</v>
      </c>
    </row>
    <row r="1593" spans="5:7" x14ac:dyDescent="0.25">
      <c r="E1593" s="91"/>
      <c r="F1593" s="139" t="s">
        <v>381</v>
      </c>
      <c r="G1593" s="121">
        <v>3270</v>
      </c>
    </row>
    <row r="1594" spans="5:7" x14ac:dyDescent="0.25">
      <c r="E1594" s="91"/>
      <c r="F1594" s="139" t="s">
        <v>535</v>
      </c>
      <c r="G1594" s="138">
        <v>-4.6900000000000004</v>
      </c>
    </row>
    <row r="1595" spans="5:7" x14ac:dyDescent="0.25">
      <c r="E1595" s="91">
        <v>46121</v>
      </c>
      <c r="F1595" s="71" t="s">
        <v>544</v>
      </c>
      <c r="G1595" s="186">
        <v>1000</v>
      </c>
    </row>
    <row r="1596" spans="5:7" x14ac:dyDescent="0.25">
      <c r="E1596" s="91"/>
      <c r="F1596" t="s">
        <v>541</v>
      </c>
      <c r="G1596" s="121">
        <v>29440</v>
      </c>
    </row>
    <row r="1597" spans="5:7" x14ac:dyDescent="0.25">
      <c r="E1597" s="91"/>
      <c r="F1597" s="139" t="s">
        <v>545</v>
      </c>
      <c r="G1597" s="138">
        <v>-5000</v>
      </c>
    </row>
    <row r="1598" spans="5:7" x14ac:dyDescent="0.25">
      <c r="E1598" s="91"/>
      <c r="F1598" s="71" t="s">
        <v>547</v>
      </c>
      <c r="G1598" s="186">
        <v>60</v>
      </c>
    </row>
    <row r="1599" spans="5:7" x14ac:dyDescent="0.25">
      <c r="E1599" s="91"/>
      <c r="G1599" s="121">
        <v>-30000</v>
      </c>
    </row>
    <row r="1600" spans="5:7" x14ac:dyDescent="0.25">
      <c r="E1600" s="91"/>
      <c r="G1600" s="121">
        <v>-30000</v>
      </c>
    </row>
    <row r="1601" spans="5:7" x14ac:dyDescent="0.25">
      <c r="E1601" s="91"/>
      <c r="G1601" s="121">
        <v>-21375</v>
      </c>
    </row>
    <row r="1602" spans="5:7" x14ac:dyDescent="0.25">
      <c r="E1602" s="91"/>
      <c r="G1602" s="121">
        <v>28000</v>
      </c>
    </row>
    <row r="1603" spans="5:7" x14ac:dyDescent="0.25">
      <c r="E1603" s="91"/>
      <c r="G1603" s="121">
        <v>-37008.300000000003</v>
      </c>
    </row>
    <row r="1604" spans="5:7" x14ac:dyDescent="0.25">
      <c r="E1604" s="91"/>
      <c r="G1604" s="121">
        <v>35008.300000000003</v>
      </c>
    </row>
    <row r="1605" spans="5:7" x14ac:dyDescent="0.25">
      <c r="E1605" s="91"/>
      <c r="F1605" s="139" t="s">
        <v>551</v>
      </c>
      <c r="G1605" s="138">
        <v>-150</v>
      </c>
    </row>
    <row r="1606" spans="5:7" x14ac:dyDescent="0.25">
      <c r="E1606" s="91">
        <v>46121</v>
      </c>
      <c r="F1606" s="139" t="s">
        <v>552</v>
      </c>
      <c r="G1606" s="138">
        <v>-10.8</v>
      </c>
    </row>
    <row r="1607" spans="5:7" x14ac:dyDescent="0.25">
      <c r="E1607" s="91"/>
      <c r="F1607" s="139" t="s">
        <v>554</v>
      </c>
      <c r="G1607" s="138">
        <v>-3690</v>
      </c>
    </row>
    <row r="1608" spans="5:7" x14ac:dyDescent="0.25">
      <c r="E1608" s="91"/>
      <c r="F1608" s="139" t="s">
        <v>555</v>
      </c>
      <c r="G1608" s="138">
        <v>-30000</v>
      </c>
    </row>
    <row r="1609" spans="5:7" x14ac:dyDescent="0.25">
      <c r="E1609" s="91"/>
      <c r="F1609" s="139" t="s">
        <v>535</v>
      </c>
      <c r="G1609" s="138">
        <v>-1.65</v>
      </c>
    </row>
    <row r="1610" spans="5:7" x14ac:dyDescent="0.25">
      <c r="E1610" s="91"/>
      <c r="F1610" s="139" t="s">
        <v>562</v>
      </c>
      <c r="G1610" s="138">
        <v>-1720</v>
      </c>
    </row>
    <row r="1612" spans="5:7" ht="15.75" x14ac:dyDescent="0.25">
      <c r="G1612" s="131">
        <f>SUM(G1575:G1610)</f>
        <v>15731.829999999994</v>
      </c>
    </row>
    <row r="1624" spans="5:13" ht="18.75" x14ac:dyDescent="0.3">
      <c r="E1624" s="314" t="s">
        <v>564</v>
      </c>
      <c r="F1624" s="315"/>
      <c r="G1624" s="315"/>
      <c r="H1624" s="315"/>
      <c r="I1624" s="315"/>
      <c r="J1624" s="315"/>
      <c r="K1624" s="315"/>
      <c r="L1624" s="315"/>
      <c r="M1624" s="315"/>
    </row>
    <row r="1625" spans="5:13" x14ac:dyDescent="0.25">
      <c r="E1625" s="78"/>
      <c r="F1625" s="78"/>
      <c r="G1625" s="78"/>
      <c r="H1625" s="78"/>
      <c r="I1625" s="78"/>
      <c r="J1625" s="78"/>
      <c r="K1625" s="78"/>
      <c r="L1625" s="78"/>
      <c r="M1625" s="78"/>
    </row>
    <row r="1626" spans="5:13" ht="15.75" x14ac:dyDescent="0.25">
      <c r="E1626" s="118" t="s">
        <v>223</v>
      </c>
      <c r="F1626" s="118" t="s">
        <v>206</v>
      </c>
      <c r="G1626" s="118" t="s">
        <v>207</v>
      </c>
      <c r="H1626" s="118" t="s">
        <v>218</v>
      </c>
      <c r="I1626" s="78"/>
      <c r="J1626" s="120" t="s">
        <v>6</v>
      </c>
      <c r="K1626" s="120" t="s">
        <v>217</v>
      </c>
      <c r="L1626" s="120" t="s">
        <v>207</v>
      </c>
      <c r="M1626" s="120" t="s">
        <v>218</v>
      </c>
    </row>
    <row r="1627" spans="5:13" x14ac:dyDescent="0.25">
      <c r="E1627" s="117"/>
      <c r="F1627" s="78" t="s">
        <v>459</v>
      </c>
      <c r="G1627" s="78" t="s">
        <v>556</v>
      </c>
      <c r="H1627" s="119">
        <v>10140</v>
      </c>
      <c r="I1627" s="175" t="s">
        <v>557</v>
      </c>
      <c r="J1627" s="117"/>
      <c r="K1627" s="78"/>
      <c r="L1627" s="78"/>
      <c r="M1627" s="119"/>
    </row>
    <row r="1628" spans="5:13" x14ac:dyDescent="0.25">
      <c r="E1628" s="117">
        <v>46087</v>
      </c>
      <c r="F1628" s="78" t="s">
        <v>148</v>
      </c>
      <c r="G1628" s="78" t="s">
        <v>209</v>
      </c>
      <c r="H1628" s="119">
        <v>4420</v>
      </c>
      <c r="I1628" s="78"/>
      <c r="J1628" s="117">
        <v>46037</v>
      </c>
      <c r="K1628" s="149" t="s">
        <v>66</v>
      </c>
      <c r="L1628" s="78" t="s">
        <v>222</v>
      </c>
      <c r="M1628" s="119">
        <v>2120</v>
      </c>
    </row>
    <row r="1629" spans="5:13" ht="15.75" x14ac:dyDescent="0.25">
      <c r="E1629" s="117">
        <v>46087</v>
      </c>
      <c r="F1629" s="78" t="s">
        <v>214</v>
      </c>
      <c r="G1629" s="155" t="s">
        <v>211</v>
      </c>
      <c r="H1629" s="156">
        <v>3600</v>
      </c>
      <c r="I1629" s="78"/>
      <c r="J1629" s="181">
        <v>46120</v>
      </c>
      <c r="K1629" s="182" t="s">
        <v>520</v>
      </c>
      <c r="L1629" s="182"/>
      <c r="M1629" s="183">
        <v>46777.77</v>
      </c>
    </row>
    <row r="1630" spans="5:13" ht="15.75" x14ac:dyDescent="0.25">
      <c r="E1630" s="117"/>
      <c r="F1630" s="78" t="s">
        <v>401</v>
      </c>
      <c r="G1630" s="78" t="s">
        <v>402</v>
      </c>
      <c r="H1630" s="119">
        <v>2880</v>
      </c>
      <c r="I1630" s="119"/>
      <c r="J1630" s="184">
        <v>46120</v>
      </c>
      <c r="K1630" s="185" t="s">
        <v>348</v>
      </c>
      <c r="L1630" s="185"/>
      <c r="M1630" s="140">
        <v>1840</v>
      </c>
    </row>
    <row r="1631" spans="5:13" ht="15.75" x14ac:dyDescent="0.25">
      <c r="E1631" s="78"/>
      <c r="F1631" s="166" t="s">
        <v>429</v>
      </c>
      <c r="G1631" s="166"/>
      <c r="H1631" s="167">
        <f>G1738</f>
        <v>52758.749999999993</v>
      </c>
      <c r="I1631" s="119"/>
      <c r="J1631" s="184">
        <v>46120</v>
      </c>
      <c r="K1631" s="185" t="s">
        <v>529</v>
      </c>
      <c r="L1631" s="185"/>
      <c r="M1631" s="140">
        <v>4200</v>
      </c>
    </row>
    <row r="1632" spans="5:13" ht="15.75" x14ac:dyDescent="0.25">
      <c r="E1632" s="78"/>
      <c r="F1632" s="78" t="s">
        <v>502</v>
      </c>
      <c r="G1632" s="166"/>
      <c r="H1632" s="167">
        <v>2600</v>
      </c>
      <c r="I1632" s="78"/>
      <c r="J1632" s="184">
        <v>46121</v>
      </c>
      <c r="K1632" s="185" t="s">
        <v>546</v>
      </c>
      <c r="L1632" s="185"/>
      <c r="M1632" s="140">
        <v>1400</v>
      </c>
    </row>
    <row r="1633" spans="5:13" ht="15.75" x14ac:dyDescent="0.25">
      <c r="E1633" s="78"/>
      <c r="F1633" s="78" t="s">
        <v>528</v>
      </c>
      <c r="G1633" s="166"/>
      <c r="H1633" s="167">
        <v>3480</v>
      </c>
      <c r="I1633" s="78"/>
      <c r="J1633" s="184">
        <v>46123</v>
      </c>
      <c r="K1633" s="185" t="s">
        <v>405</v>
      </c>
      <c r="L1633" s="185"/>
      <c r="M1633" s="140">
        <v>2450</v>
      </c>
    </row>
    <row r="1634" spans="5:13" ht="15.75" x14ac:dyDescent="0.25">
      <c r="E1634" s="117">
        <v>46121</v>
      </c>
      <c r="F1634" s="78" t="s">
        <v>540</v>
      </c>
      <c r="G1634" s="166"/>
      <c r="H1634" s="167">
        <v>3120</v>
      </c>
      <c r="I1634" s="78"/>
      <c r="J1634" s="184">
        <v>46123</v>
      </c>
      <c r="K1634" s="185" t="s">
        <v>565</v>
      </c>
      <c r="L1634" s="185"/>
      <c r="M1634" s="140">
        <v>2500</v>
      </c>
    </row>
    <row r="1635" spans="5:13" x14ac:dyDescent="0.25">
      <c r="E1635" s="117"/>
      <c r="F1635" s="78" t="s">
        <v>569</v>
      </c>
      <c r="G1635" s="166"/>
      <c r="H1635" s="167">
        <v>4465</v>
      </c>
      <c r="J1635" s="78"/>
      <c r="K1635" s="78"/>
      <c r="L1635" s="78"/>
      <c r="M1635" s="119"/>
    </row>
    <row r="1636" spans="5:13" ht="18.75" x14ac:dyDescent="0.3">
      <c r="E1636" s="78"/>
      <c r="F1636" s="78"/>
      <c r="G1636" s="78"/>
      <c r="H1636" s="119"/>
      <c r="J1636" s="78"/>
      <c r="K1636" s="126" t="s">
        <v>226</v>
      </c>
      <c r="L1636" s="126"/>
      <c r="M1636" s="127">
        <f>SUM(M1627:M1635)</f>
        <v>61287.77</v>
      </c>
    </row>
    <row r="1637" spans="5:13" x14ac:dyDescent="0.25">
      <c r="E1637" s="78"/>
      <c r="F1637" s="78"/>
      <c r="G1637" s="78"/>
      <c r="H1637" s="122">
        <f>SUM(H1627:H1636)</f>
        <v>87463.75</v>
      </c>
    </row>
    <row r="1638" spans="5:13" x14ac:dyDescent="0.25">
      <c r="H1638" s="157"/>
    </row>
    <row r="1639" spans="5:13" x14ac:dyDescent="0.25">
      <c r="G1639" s="101" t="s">
        <v>224</v>
      </c>
      <c r="H1639" s="101">
        <v>46071.67</v>
      </c>
      <c r="L1639" s="121"/>
    </row>
    <row r="1640" spans="5:13" x14ac:dyDescent="0.25">
      <c r="L1640" s="121"/>
    </row>
    <row r="1641" spans="5:13" x14ac:dyDescent="0.25">
      <c r="E1641" s="121"/>
    </row>
    <row r="1642" spans="5:13" ht="18.75" x14ac:dyDescent="0.3">
      <c r="G1642" s="99" t="s">
        <v>225</v>
      </c>
      <c r="H1642" s="125">
        <f>SUM(H1637+H1639)</f>
        <v>133535.41999999998</v>
      </c>
      <c r="J1642" s="316" t="s">
        <v>227</v>
      </c>
      <c r="K1642" s="317"/>
      <c r="L1642" s="140">
        <f>H1642-M1636</f>
        <v>72247.649999999994</v>
      </c>
    </row>
    <row r="1643" spans="5:13" ht="15.75" x14ac:dyDescent="0.25">
      <c r="L1643" s="89"/>
    </row>
    <row r="1644" spans="5:13" ht="15.75" x14ac:dyDescent="0.25">
      <c r="E1644" s="121"/>
      <c r="J1644" s="128" t="s">
        <v>285</v>
      </c>
      <c r="L1644" s="124">
        <f>G1683</f>
        <v>5929.8600000000006</v>
      </c>
    </row>
    <row r="1646" spans="5:13" ht="18.75" x14ac:dyDescent="0.3">
      <c r="K1646" s="158" t="s">
        <v>286</v>
      </c>
      <c r="L1646" s="137">
        <f>SUM(L1642:L1644)</f>
        <v>78177.509999999995</v>
      </c>
    </row>
    <row r="1647" spans="5:13" x14ac:dyDescent="0.25">
      <c r="L1647" s="157">
        <v>79321.759999999995</v>
      </c>
      <c r="M1647" s="39" t="s">
        <v>76</v>
      </c>
    </row>
    <row r="1648" spans="5:13" x14ac:dyDescent="0.25">
      <c r="G1648" t="s">
        <v>877</v>
      </c>
    </row>
    <row r="1649" spans="5:12" ht="18.75" x14ac:dyDescent="0.3">
      <c r="L1649" s="154">
        <f>L1646-L1647</f>
        <v>-1144.25</v>
      </c>
    </row>
    <row r="1650" spans="5:12" ht="18.75" x14ac:dyDescent="0.3">
      <c r="E1650" s="91"/>
      <c r="L1650" s="125"/>
    </row>
    <row r="1651" spans="5:12" ht="18.75" x14ac:dyDescent="0.3">
      <c r="F1651" s="130" t="s">
        <v>235</v>
      </c>
      <c r="G1651" s="131">
        <v>17543.36</v>
      </c>
      <c r="L1651" s="125"/>
    </row>
    <row r="1652" spans="5:12" ht="18.75" x14ac:dyDescent="0.3">
      <c r="E1652" s="91"/>
      <c r="F1652" s="157" t="s">
        <v>476</v>
      </c>
      <c r="G1652" s="157">
        <v>2580</v>
      </c>
      <c r="L1652" s="125"/>
    </row>
    <row r="1653" spans="5:12" ht="18.75" x14ac:dyDescent="0.3">
      <c r="E1653" s="161"/>
      <c r="F1653" s="163" t="s">
        <v>478</v>
      </c>
      <c r="G1653" s="164">
        <v>2900</v>
      </c>
      <c r="L1653" s="125"/>
    </row>
    <row r="1654" spans="5:12" ht="18.75" x14ac:dyDescent="0.3">
      <c r="E1654" s="161"/>
      <c r="F1654" s="163" t="s">
        <v>479</v>
      </c>
      <c r="G1654" s="164">
        <v>500</v>
      </c>
      <c r="L1654" s="125"/>
    </row>
    <row r="1655" spans="5:12" x14ac:dyDescent="0.25">
      <c r="E1655" s="161"/>
      <c r="F1655" s="150" t="s">
        <v>250</v>
      </c>
      <c r="G1655" s="151">
        <v>-300</v>
      </c>
    </row>
    <row r="1656" spans="5:12" x14ac:dyDescent="0.25">
      <c r="E1656" s="161"/>
      <c r="F1656" s="150" t="s">
        <v>490</v>
      </c>
      <c r="G1656" s="151">
        <v>-20</v>
      </c>
    </row>
    <row r="1657" spans="5:12" ht="15.75" x14ac:dyDescent="0.25">
      <c r="E1657" s="161"/>
      <c r="F1657" s="163" t="s">
        <v>492</v>
      </c>
      <c r="G1657" s="164">
        <v>3000</v>
      </c>
      <c r="K1657" s="326" t="s">
        <v>570</v>
      </c>
      <c r="L1657" s="326"/>
    </row>
    <row r="1658" spans="5:12" x14ac:dyDescent="0.25">
      <c r="E1658" s="161"/>
      <c r="F1658" s="150" t="s">
        <v>494</v>
      </c>
      <c r="G1658" s="151">
        <v>-100</v>
      </c>
      <c r="K1658" t="s">
        <v>541</v>
      </c>
      <c r="L1658" s="121">
        <v>37949.599999999999</v>
      </c>
    </row>
    <row r="1659" spans="5:12" x14ac:dyDescent="0.25">
      <c r="F1659" s="163" t="s">
        <v>505</v>
      </c>
      <c r="G1659" s="164">
        <v>200</v>
      </c>
      <c r="K1659" t="s">
        <v>541</v>
      </c>
      <c r="L1659" s="121">
        <v>15388</v>
      </c>
    </row>
    <row r="1660" spans="5:12" x14ac:dyDescent="0.25">
      <c r="E1660" s="161">
        <v>46119</v>
      </c>
      <c r="F1660" s="150" t="s">
        <v>272</v>
      </c>
      <c r="G1660" s="151">
        <v>-400</v>
      </c>
      <c r="K1660" t="s">
        <v>541</v>
      </c>
      <c r="L1660" s="121">
        <v>29440</v>
      </c>
    </row>
    <row r="1661" spans="5:12" x14ac:dyDescent="0.25">
      <c r="E1661" s="161"/>
      <c r="F1661" s="150" t="s">
        <v>500</v>
      </c>
      <c r="G1661" s="151">
        <v>-14750</v>
      </c>
      <c r="K1661" t="s">
        <v>542</v>
      </c>
      <c r="L1661" s="121">
        <v>13395</v>
      </c>
    </row>
    <row r="1662" spans="5:12" x14ac:dyDescent="0.25">
      <c r="E1662" s="161"/>
      <c r="F1662" s="163" t="s">
        <v>513</v>
      </c>
      <c r="G1662" s="164">
        <v>360</v>
      </c>
      <c r="L1662" s="138">
        <v>-30000</v>
      </c>
    </row>
    <row r="1663" spans="5:12" x14ac:dyDescent="0.25">
      <c r="E1663" s="161"/>
      <c r="F1663" s="163" t="s">
        <v>514</v>
      </c>
      <c r="G1663" s="164">
        <v>2000</v>
      </c>
      <c r="L1663" s="138">
        <v>-30000</v>
      </c>
    </row>
    <row r="1664" spans="5:12" x14ac:dyDescent="0.25">
      <c r="E1664" s="161"/>
      <c r="F1664" s="163" t="s">
        <v>357</v>
      </c>
      <c r="G1664" s="164">
        <v>4522</v>
      </c>
      <c r="L1664" s="138">
        <v>-21375</v>
      </c>
    </row>
    <row r="1665" spans="5:13" x14ac:dyDescent="0.25">
      <c r="E1665" s="161"/>
      <c r="F1665" s="150" t="s">
        <v>515</v>
      </c>
      <c r="G1665" s="151">
        <v>-825</v>
      </c>
      <c r="L1665" s="121">
        <v>28000</v>
      </c>
    </row>
    <row r="1666" spans="5:13" x14ac:dyDescent="0.25">
      <c r="E1666" s="161">
        <v>46120</v>
      </c>
      <c r="F1666" s="170" t="s">
        <v>517</v>
      </c>
      <c r="G1666" s="169">
        <v>-17000</v>
      </c>
      <c r="L1666" s="138">
        <v>-37008.300000000003</v>
      </c>
    </row>
    <row r="1667" spans="5:13" x14ac:dyDescent="0.25">
      <c r="E1667" s="161"/>
      <c r="F1667" s="150" t="s">
        <v>505</v>
      </c>
      <c r="G1667" s="151">
        <v>-10</v>
      </c>
      <c r="L1667" s="121">
        <v>35008.300000000003</v>
      </c>
    </row>
    <row r="1668" spans="5:13" x14ac:dyDescent="0.25">
      <c r="E1668" s="161"/>
      <c r="F1668" s="150" t="s">
        <v>533</v>
      </c>
      <c r="G1668" s="151">
        <v>-20</v>
      </c>
      <c r="J1668" s="187">
        <v>46122</v>
      </c>
      <c r="L1668" s="138">
        <v>-30000</v>
      </c>
    </row>
    <row r="1669" spans="5:13" x14ac:dyDescent="0.25">
      <c r="E1669" s="161"/>
      <c r="F1669" s="150" t="s">
        <v>534</v>
      </c>
      <c r="G1669" s="151">
        <v>-150</v>
      </c>
      <c r="J1669" s="187">
        <v>46122</v>
      </c>
      <c r="L1669" s="138">
        <v>-3000</v>
      </c>
    </row>
    <row r="1670" spans="5:13" x14ac:dyDescent="0.25">
      <c r="E1670" s="161"/>
      <c r="F1670" s="163" t="s">
        <v>548</v>
      </c>
      <c r="G1670" s="164">
        <v>600</v>
      </c>
      <c r="J1670" s="91">
        <v>46123</v>
      </c>
      <c r="L1670" s="121">
        <v>8137.4</v>
      </c>
    </row>
    <row r="1671" spans="5:13" x14ac:dyDescent="0.25">
      <c r="E1671" s="161">
        <v>46121</v>
      </c>
      <c r="F1671" s="163" t="s">
        <v>357</v>
      </c>
      <c r="G1671" s="164">
        <v>2303</v>
      </c>
      <c r="J1671" s="91">
        <v>46123</v>
      </c>
      <c r="L1671" s="138">
        <v>-8137.4</v>
      </c>
    </row>
    <row r="1672" spans="5:13" x14ac:dyDescent="0.25">
      <c r="E1672" s="161">
        <v>46122</v>
      </c>
      <c r="F1672" s="163" t="s">
        <v>357</v>
      </c>
      <c r="G1672" s="164">
        <v>2489.5</v>
      </c>
      <c r="J1672" s="91">
        <v>46123</v>
      </c>
      <c r="L1672" s="121">
        <v>11073</v>
      </c>
      <c r="M1672" s="121"/>
    </row>
    <row r="1673" spans="5:13" x14ac:dyDescent="0.25">
      <c r="E1673" s="161"/>
      <c r="F1673" s="163" t="s">
        <v>558</v>
      </c>
      <c r="G1673" s="164">
        <v>313</v>
      </c>
      <c r="J1673" s="91">
        <v>46123</v>
      </c>
      <c r="K1673" s="71"/>
      <c r="L1673" s="186">
        <v>31480</v>
      </c>
    </row>
    <row r="1674" spans="5:13" x14ac:dyDescent="0.25">
      <c r="E1674" s="161">
        <v>46123</v>
      </c>
      <c r="F1674" s="163" t="s">
        <v>566</v>
      </c>
      <c r="G1674" s="164">
        <v>3465</v>
      </c>
      <c r="J1674" s="91">
        <v>46123</v>
      </c>
      <c r="L1674" s="121">
        <v>998.67</v>
      </c>
    </row>
    <row r="1675" spans="5:13" x14ac:dyDescent="0.25">
      <c r="E1675" s="161"/>
      <c r="F1675" s="163" t="s">
        <v>357</v>
      </c>
      <c r="G1675" s="164">
        <v>2580</v>
      </c>
      <c r="J1675" s="91">
        <v>46123</v>
      </c>
      <c r="L1675" s="121">
        <v>-3521.5</v>
      </c>
    </row>
    <row r="1676" spans="5:13" x14ac:dyDescent="0.25">
      <c r="E1676" s="161"/>
      <c r="F1676" s="163" t="s">
        <v>568</v>
      </c>
      <c r="G1676" s="164">
        <v>-3525</v>
      </c>
      <c r="J1676" s="165">
        <v>46123</v>
      </c>
      <c r="K1676" s="150" t="s">
        <v>571</v>
      </c>
      <c r="L1676" s="151">
        <v>-1600</v>
      </c>
    </row>
    <row r="1677" spans="5:13" x14ac:dyDescent="0.25">
      <c r="E1677" s="161"/>
      <c r="F1677" s="163" t="s">
        <v>277</v>
      </c>
      <c r="G1677" s="164">
        <v>-920</v>
      </c>
      <c r="J1677" s="165">
        <v>46123</v>
      </c>
      <c r="K1677" s="39" t="s">
        <v>133</v>
      </c>
      <c r="L1677" s="157">
        <v>550</v>
      </c>
    </row>
    <row r="1678" spans="5:13" x14ac:dyDescent="0.25">
      <c r="E1678" s="161"/>
      <c r="F1678" s="150" t="s">
        <v>574</v>
      </c>
      <c r="G1678" s="151">
        <v>-366</v>
      </c>
    </row>
    <row r="1679" spans="5:13" x14ac:dyDescent="0.25">
      <c r="E1679" s="161"/>
      <c r="F1679" s="150" t="s">
        <v>575</v>
      </c>
      <c r="G1679" s="151">
        <v>-500</v>
      </c>
      <c r="K1679" s="39" t="s">
        <v>543</v>
      </c>
      <c r="L1679" s="157">
        <f>SUM(L1658:L1677)</f>
        <v>46777.770000000004</v>
      </c>
    </row>
    <row r="1680" spans="5:13" x14ac:dyDescent="0.25">
      <c r="E1680" s="161"/>
      <c r="F1680" s="150" t="s">
        <v>576</v>
      </c>
      <c r="G1680" s="151">
        <v>-640</v>
      </c>
    </row>
    <row r="1681" spans="5:8" x14ac:dyDescent="0.25">
      <c r="E1681" s="161"/>
      <c r="F1681" s="163" t="s">
        <v>577</v>
      </c>
      <c r="G1681" s="164">
        <v>100</v>
      </c>
    </row>
    <row r="1682" spans="5:8" x14ac:dyDescent="0.25">
      <c r="F1682" s="150"/>
      <c r="G1682" s="151"/>
    </row>
    <row r="1683" spans="5:8" ht="15.75" x14ac:dyDescent="0.25">
      <c r="F1683" s="132" t="s">
        <v>236</v>
      </c>
      <c r="G1683" s="133">
        <f>SUM(G1651:G1682)</f>
        <v>5929.8600000000006</v>
      </c>
    </row>
    <row r="1686" spans="5:8" x14ac:dyDescent="0.25">
      <c r="G1686">
        <v>-11.9</v>
      </c>
    </row>
    <row r="1688" spans="5:8" x14ac:dyDescent="0.25">
      <c r="F1688" s="39"/>
      <c r="G1688" s="157">
        <f>SUM(G1683:G1687)</f>
        <v>5917.9600000000009</v>
      </c>
    </row>
    <row r="1691" spans="5:8" x14ac:dyDescent="0.25">
      <c r="H1691" s="176"/>
    </row>
    <row r="1693" spans="5:8" x14ac:dyDescent="0.25">
      <c r="F1693" s="166" t="s">
        <v>429</v>
      </c>
      <c r="G1693" s="167">
        <v>5711.9</v>
      </c>
    </row>
    <row r="1694" spans="5:8" x14ac:dyDescent="0.25">
      <c r="E1694" s="91">
        <v>46118</v>
      </c>
      <c r="F1694" t="s">
        <v>482</v>
      </c>
      <c r="G1694" s="121">
        <v>-400</v>
      </c>
    </row>
    <row r="1695" spans="5:8" x14ac:dyDescent="0.25">
      <c r="E1695" s="91">
        <v>46118</v>
      </c>
      <c r="F1695" s="139" t="s">
        <v>480</v>
      </c>
      <c r="G1695" s="138">
        <v>-4600</v>
      </c>
    </row>
    <row r="1696" spans="5:8" x14ac:dyDescent="0.25">
      <c r="E1696" s="91"/>
      <c r="F1696" t="s">
        <v>497</v>
      </c>
      <c r="G1696" s="121">
        <v>50</v>
      </c>
    </row>
    <row r="1697" spans="5:11" x14ac:dyDescent="0.25">
      <c r="E1697" s="91"/>
      <c r="F1697" t="s">
        <v>497</v>
      </c>
      <c r="G1697" s="121">
        <v>1032.5</v>
      </c>
      <c r="K1697" s="121"/>
    </row>
    <row r="1698" spans="5:11" x14ac:dyDescent="0.25">
      <c r="E1698" s="91">
        <v>46119</v>
      </c>
      <c r="F1698" s="139" t="s">
        <v>498</v>
      </c>
      <c r="G1698" s="138">
        <v>-200</v>
      </c>
    </row>
    <row r="1699" spans="5:11" x14ac:dyDescent="0.25">
      <c r="E1699" s="91"/>
      <c r="F1699" t="s">
        <v>503</v>
      </c>
      <c r="G1699" s="121">
        <v>4558.5</v>
      </c>
    </row>
    <row r="1700" spans="5:11" x14ac:dyDescent="0.25">
      <c r="E1700" s="91"/>
      <c r="F1700" t="s">
        <v>504</v>
      </c>
      <c r="G1700" s="121">
        <v>825</v>
      </c>
    </row>
    <row r="1701" spans="5:11" x14ac:dyDescent="0.25">
      <c r="E1701" s="91"/>
      <c r="F1701" s="139" t="s">
        <v>506</v>
      </c>
      <c r="G1701" s="138">
        <v>-10</v>
      </c>
      <c r="K1701" s="121"/>
    </row>
    <row r="1702" spans="5:11" x14ac:dyDescent="0.25">
      <c r="E1702" s="91"/>
      <c r="F1702" t="s">
        <v>509</v>
      </c>
      <c r="G1702" s="121">
        <v>-3320</v>
      </c>
    </row>
    <row r="1703" spans="5:11" x14ac:dyDescent="0.25">
      <c r="E1703" s="91">
        <v>46120</v>
      </c>
      <c r="F1703" s="170" t="s">
        <v>518</v>
      </c>
      <c r="G1703" s="169">
        <v>17000</v>
      </c>
    </row>
    <row r="1704" spans="5:11" x14ac:dyDescent="0.25">
      <c r="E1704" s="91"/>
      <c r="F1704" s="39" t="s">
        <v>519</v>
      </c>
      <c r="G1704" s="157">
        <v>37949.599999999999</v>
      </c>
    </row>
    <row r="1705" spans="5:11" x14ac:dyDescent="0.25">
      <c r="E1705" s="91"/>
      <c r="F1705" t="s">
        <v>521</v>
      </c>
      <c r="G1705" s="121">
        <v>4030</v>
      </c>
    </row>
    <row r="1706" spans="5:11" x14ac:dyDescent="0.25">
      <c r="E1706" s="91"/>
      <c r="F1706" s="139" t="s">
        <v>524</v>
      </c>
      <c r="G1706" s="138">
        <v>-481.53</v>
      </c>
    </row>
    <row r="1707" spans="5:11" x14ac:dyDescent="0.25">
      <c r="E1707" s="91"/>
      <c r="F1707" s="139" t="s">
        <v>525</v>
      </c>
      <c r="G1707" s="138">
        <v>-20</v>
      </c>
    </row>
    <row r="1708" spans="5:11" x14ac:dyDescent="0.25">
      <c r="E1708" s="91"/>
      <c r="F1708" s="39" t="s">
        <v>519</v>
      </c>
      <c r="G1708" s="121">
        <v>15388</v>
      </c>
    </row>
    <row r="1709" spans="5:11" x14ac:dyDescent="0.25">
      <c r="E1709" s="91"/>
      <c r="F1709" s="139" t="s">
        <v>530</v>
      </c>
      <c r="G1709" s="138">
        <v>-4200</v>
      </c>
    </row>
    <row r="1710" spans="5:11" x14ac:dyDescent="0.25">
      <c r="E1710" s="91"/>
      <c r="F1710" s="163" t="s">
        <v>531</v>
      </c>
      <c r="G1710" s="157">
        <v>4600</v>
      </c>
    </row>
    <row r="1711" spans="5:11" x14ac:dyDescent="0.25">
      <c r="E1711" s="91"/>
      <c r="F1711" s="139" t="s">
        <v>381</v>
      </c>
      <c r="G1711" s="121">
        <v>3270</v>
      </c>
    </row>
    <row r="1712" spans="5:11" x14ac:dyDescent="0.25">
      <c r="E1712" s="91"/>
      <c r="F1712" s="139" t="s">
        <v>535</v>
      </c>
      <c r="G1712" s="138">
        <v>-4.6900000000000004</v>
      </c>
    </row>
    <row r="1713" spans="5:7" x14ac:dyDescent="0.25">
      <c r="E1713" s="91">
        <v>46121</v>
      </c>
      <c r="F1713" s="71" t="s">
        <v>544</v>
      </c>
      <c r="G1713" s="186">
        <v>1000</v>
      </c>
    </row>
    <row r="1714" spans="5:7" x14ac:dyDescent="0.25">
      <c r="E1714" s="91"/>
      <c r="F1714" t="s">
        <v>541</v>
      </c>
      <c r="G1714" s="121">
        <v>29440</v>
      </c>
    </row>
    <row r="1715" spans="5:7" x14ac:dyDescent="0.25">
      <c r="E1715" s="91"/>
      <c r="F1715" s="139" t="s">
        <v>545</v>
      </c>
      <c r="G1715" s="138">
        <v>-5000</v>
      </c>
    </row>
    <row r="1716" spans="5:7" x14ac:dyDescent="0.25">
      <c r="E1716" s="91"/>
      <c r="F1716" s="71" t="s">
        <v>547</v>
      </c>
      <c r="G1716" s="186">
        <v>60</v>
      </c>
    </row>
    <row r="1717" spans="5:7" x14ac:dyDescent="0.25">
      <c r="E1717" s="91"/>
      <c r="G1717" s="121">
        <v>-30000</v>
      </c>
    </row>
    <row r="1718" spans="5:7" x14ac:dyDescent="0.25">
      <c r="E1718" s="91"/>
      <c r="G1718" s="121">
        <v>-30000</v>
      </c>
    </row>
    <row r="1719" spans="5:7" x14ac:dyDescent="0.25">
      <c r="E1719" s="91"/>
      <c r="G1719" s="121">
        <v>-21375</v>
      </c>
    </row>
    <row r="1720" spans="5:7" x14ac:dyDescent="0.25">
      <c r="E1720" s="91"/>
      <c r="G1720" s="121">
        <v>28000</v>
      </c>
    </row>
    <row r="1721" spans="5:7" x14ac:dyDescent="0.25">
      <c r="E1721" s="91"/>
      <c r="G1721" s="121">
        <v>-37008.300000000003</v>
      </c>
    </row>
    <row r="1722" spans="5:7" x14ac:dyDescent="0.25">
      <c r="E1722" s="91"/>
      <c r="G1722" s="121">
        <v>35008.300000000003</v>
      </c>
    </row>
    <row r="1723" spans="5:7" x14ac:dyDescent="0.25">
      <c r="E1723" s="91"/>
      <c r="F1723" s="139" t="s">
        <v>551</v>
      </c>
      <c r="G1723" s="138">
        <v>-150</v>
      </c>
    </row>
    <row r="1724" spans="5:7" x14ac:dyDescent="0.25">
      <c r="E1724" s="91">
        <v>46121</v>
      </c>
      <c r="F1724" s="139" t="s">
        <v>552</v>
      </c>
      <c r="G1724" s="138">
        <v>-10.8</v>
      </c>
    </row>
    <row r="1725" spans="5:7" x14ac:dyDescent="0.25">
      <c r="E1725" s="187">
        <v>46122</v>
      </c>
      <c r="F1725" s="139" t="s">
        <v>554</v>
      </c>
      <c r="G1725" s="138">
        <v>-3690</v>
      </c>
    </row>
    <row r="1726" spans="5:7" x14ac:dyDescent="0.25">
      <c r="E1726" s="91"/>
      <c r="F1726" s="139" t="s">
        <v>555</v>
      </c>
      <c r="G1726" s="138">
        <v>-30000</v>
      </c>
    </row>
    <row r="1727" spans="5:7" x14ac:dyDescent="0.25">
      <c r="E1727" s="91"/>
      <c r="F1727" s="139" t="s">
        <v>535</v>
      </c>
      <c r="G1727" s="138">
        <v>-1.65</v>
      </c>
    </row>
    <row r="1728" spans="5:7" x14ac:dyDescent="0.25">
      <c r="E1728" s="91"/>
      <c r="F1728" s="139" t="s">
        <v>562</v>
      </c>
      <c r="G1728" s="138">
        <v>-1720</v>
      </c>
    </row>
    <row r="1729" spans="5:7" x14ac:dyDescent="0.25">
      <c r="E1729" s="187">
        <v>46122</v>
      </c>
      <c r="F1729" s="139"/>
      <c r="G1729" s="138">
        <v>-3000</v>
      </c>
    </row>
    <row r="1730" spans="5:7" x14ac:dyDescent="0.25">
      <c r="E1730" s="91">
        <v>46123</v>
      </c>
      <c r="F1730" s="139"/>
      <c r="G1730" s="121">
        <v>8137.4</v>
      </c>
    </row>
    <row r="1731" spans="5:7" x14ac:dyDescent="0.25">
      <c r="E1731" s="91"/>
      <c r="F1731" s="139"/>
      <c r="G1731" s="138">
        <v>-8137.4</v>
      </c>
    </row>
    <row r="1732" spans="5:7" x14ac:dyDescent="0.25">
      <c r="E1732" s="91"/>
      <c r="F1732" s="139"/>
      <c r="G1732" s="121">
        <v>11073</v>
      </c>
    </row>
    <row r="1733" spans="5:7" x14ac:dyDescent="0.25">
      <c r="E1733" s="91"/>
      <c r="F1733" s="139"/>
      <c r="G1733" s="186">
        <v>31480</v>
      </c>
    </row>
    <row r="1734" spans="5:7" x14ac:dyDescent="0.25">
      <c r="E1734" s="91"/>
      <c r="F1734" s="139"/>
      <c r="G1734">
        <v>998.67</v>
      </c>
    </row>
    <row r="1735" spans="5:7" x14ac:dyDescent="0.25">
      <c r="E1735" s="91"/>
      <c r="F1735" s="139" t="s">
        <v>572</v>
      </c>
      <c r="G1735" s="138">
        <v>-3521.5</v>
      </c>
    </row>
    <row r="1736" spans="5:7" x14ac:dyDescent="0.25">
      <c r="E1736" s="91"/>
      <c r="F1736" s="139" t="s">
        <v>535</v>
      </c>
      <c r="G1736" s="138">
        <v>-3.25</v>
      </c>
    </row>
    <row r="1738" spans="5:7" ht="15.75" x14ac:dyDescent="0.25">
      <c r="G1738" s="131">
        <f>SUM(G1693:G1737)</f>
        <v>52758.749999999993</v>
      </c>
    </row>
    <row r="1748" spans="5:13" x14ac:dyDescent="0.25">
      <c r="L1748" s="121">
        <f>M1758+M1760+M1762+M1764</f>
        <v>7840</v>
      </c>
    </row>
    <row r="1752" spans="5:13" ht="18.75" x14ac:dyDescent="0.3">
      <c r="E1752" s="314" t="s">
        <v>600</v>
      </c>
      <c r="F1752" s="315"/>
      <c r="G1752" s="315"/>
      <c r="H1752" s="315"/>
      <c r="I1752" s="315"/>
      <c r="J1752" s="315"/>
      <c r="K1752" s="315"/>
      <c r="L1752" s="315"/>
      <c r="M1752" s="315"/>
    </row>
    <row r="1753" spans="5:13" x14ac:dyDescent="0.25">
      <c r="E1753" s="78"/>
      <c r="F1753" s="78"/>
      <c r="G1753" s="78"/>
      <c r="H1753" s="78"/>
      <c r="I1753" s="78"/>
      <c r="J1753" s="78"/>
      <c r="K1753" s="78"/>
      <c r="L1753" s="78"/>
      <c r="M1753" s="78"/>
    </row>
    <row r="1754" spans="5:13" ht="15.75" x14ac:dyDescent="0.25">
      <c r="E1754" s="118" t="s">
        <v>223</v>
      </c>
      <c r="F1754" s="118" t="s">
        <v>206</v>
      </c>
      <c r="G1754" s="118" t="s">
        <v>207</v>
      </c>
      <c r="H1754" s="118" t="s">
        <v>218</v>
      </c>
      <c r="I1754" s="78"/>
      <c r="J1754" s="120" t="s">
        <v>6</v>
      </c>
      <c r="K1754" s="120" t="s">
        <v>217</v>
      </c>
      <c r="L1754" s="120" t="s">
        <v>207</v>
      </c>
      <c r="M1754" s="120" t="s">
        <v>218</v>
      </c>
    </row>
    <row r="1755" spans="5:13" x14ac:dyDescent="0.25">
      <c r="E1755" s="117"/>
      <c r="F1755" s="78" t="s">
        <v>459</v>
      </c>
      <c r="G1755" s="78" t="s">
        <v>556</v>
      </c>
      <c r="H1755" s="119">
        <v>10140</v>
      </c>
      <c r="I1755" s="175" t="s">
        <v>557</v>
      </c>
      <c r="J1755" s="117"/>
      <c r="K1755" s="78"/>
      <c r="L1755" s="78"/>
      <c r="M1755" s="119"/>
    </row>
    <row r="1756" spans="5:13" x14ac:dyDescent="0.25">
      <c r="E1756" s="117">
        <v>46087</v>
      </c>
      <c r="F1756" s="78" t="s">
        <v>148</v>
      </c>
      <c r="G1756" s="78" t="s">
        <v>209</v>
      </c>
      <c r="H1756" s="119">
        <v>4420</v>
      </c>
      <c r="I1756" s="78"/>
      <c r="J1756" s="117">
        <v>46037</v>
      </c>
      <c r="K1756" s="149" t="s">
        <v>66</v>
      </c>
      <c r="L1756" s="78" t="s">
        <v>222</v>
      </c>
      <c r="M1756" s="119">
        <v>2120</v>
      </c>
    </row>
    <row r="1757" spans="5:13" ht="15.75" x14ac:dyDescent="0.25">
      <c r="E1757" s="117">
        <v>46087</v>
      </c>
      <c r="F1757" s="78" t="s">
        <v>214</v>
      </c>
      <c r="G1757" s="155" t="s">
        <v>211</v>
      </c>
      <c r="H1757" s="156">
        <v>3600</v>
      </c>
      <c r="I1757" s="78"/>
      <c r="J1757" s="181">
        <v>46120</v>
      </c>
      <c r="K1757" s="182" t="s">
        <v>520</v>
      </c>
      <c r="L1757" s="182"/>
      <c r="M1757" s="183">
        <v>42042.77</v>
      </c>
    </row>
    <row r="1758" spans="5:13" ht="15.75" x14ac:dyDescent="0.25">
      <c r="E1758" s="117"/>
      <c r="F1758" s="78" t="s">
        <v>401</v>
      </c>
      <c r="G1758" s="78" t="s">
        <v>402</v>
      </c>
      <c r="H1758" s="119">
        <v>2880</v>
      </c>
      <c r="I1758" s="119"/>
      <c r="J1758" s="184">
        <v>46120</v>
      </c>
      <c r="K1758" s="185" t="s">
        <v>348</v>
      </c>
      <c r="L1758" s="185"/>
      <c r="M1758" s="140">
        <v>1840</v>
      </c>
    </row>
    <row r="1759" spans="5:13" ht="15.75" x14ac:dyDescent="0.25">
      <c r="E1759" s="78"/>
      <c r="F1759" s="166" t="s">
        <v>429</v>
      </c>
      <c r="G1759" s="166"/>
      <c r="H1759" s="167">
        <v>40056.75</v>
      </c>
      <c r="I1759" s="119"/>
      <c r="J1759" s="184">
        <v>46120</v>
      </c>
      <c r="K1759" s="185" t="s">
        <v>529</v>
      </c>
      <c r="L1759" s="185"/>
      <c r="M1759" s="140">
        <v>4200</v>
      </c>
    </row>
    <row r="1760" spans="5:13" ht="15.75" x14ac:dyDescent="0.25">
      <c r="E1760" s="78"/>
      <c r="F1760" s="78" t="s">
        <v>502</v>
      </c>
      <c r="G1760" s="166"/>
      <c r="H1760" s="167">
        <v>2600</v>
      </c>
      <c r="I1760" s="78"/>
      <c r="J1760" s="184">
        <v>46121</v>
      </c>
      <c r="K1760" s="185" t="s">
        <v>546</v>
      </c>
      <c r="L1760" s="185"/>
      <c r="M1760" s="140">
        <v>1400</v>
      </c>
    </row>
    <row r="1761" spans="5:13" ht="15.75" x14ac:dyDescent="0.25">
      <c r="E1761" s="78"/>
      <c r="F1761" s="78" t="s">
        <v>528</v>
      </c>
      <c r="G1761" s="166"/>
      <c r="H1761" s="167">
        <v>3480</v>
      </c>
      <c r="I1761" s="78"/>
      <c r="J1761" s="184">
        <v>46123</v>
      </c>
      <c r="K1761" s="185" t="s">
        <v>405</v>
      </c>
      <c r="L1761" s="185"/>
      <c r="M1761" s="140">
        <v>2450</v>
      </c>
    </row>
    <row r="1762" spans="5:13" ht="15.75" x14ac:dyDescent="0.25">
      <c r="E1762" s="117">
        <v>46121</v>
      </c>
      <c r="F1762" s="78" t="s">
        <v>540</v>
      </c>
      <c r="G1762" s="166"/>
      <c r="H1762" s="167">
        <v>3120</v>
      </c>
      <c r="I1762" s="78"/>
      <c r="J1762" s="184">
        <v>46123</v>
      </c>
      <c r="K1762" s="185" t="s">
        <v>565</v>
      </c>
      <c r="L1762" s="185"/>
      <c r="M1762" s="140">
        <v>2500</v>
      </c>
    </row>
    <row r="1763" spans="5:13" ht="15.75" x14ac:dyDescent="0.25">
      <c r="E1763" s="117"/>
      <c r="F1763" s="78" t="s">
        <v>569</v>
      </c>
      <c r="G1763" s="166"/>
      <c r="H1763" s="167">
        <v>4465</v>
      </c>
      <c r="J1763" s="184">
        <v>46125</v>
      </c>
      <c r="K1763" s="185" t="s">
        <v>581</v>
      </c>
      <c r="L1763" s="185"/>
      <c r="M1763" s="140">
        <v>2820</v>
      </c>
    </row>
    <row r="1764" spans="5:13" ht="15.75" x14ac:dyDescent="0.25">
      <c r="E1764" s="117"/>
      <c r="F1764" s="78" t="s">
        <v>590</v>
      </c>
      <c r="G1764" s="166"/>
      <c r="H1764" s="167">
        <v>3520</v>
      </c>
      <c r="J1764" s="184">
        <v>46126</v>
      </c>
      <c r="K1764" s="185" t="s">
        <v>588</v>
      </c>
      <c r="L1764" s="185"/>
      <c r="M1764" s="140">
        <v>2100</v>
      </c>
    </row>
    <row r="1765" spans="5:13" ht="15.75" x14ac:dyDescent="0.25">
      <c r="E1765" s="117"/>
      <c r="F1765" s="78" t="s">
        <v>591</v>
      </c>
      <c r="G1765" s="166"/>
      <c r="H1765" s="167">
        <v>2200</v>
      </c>
      <c r="J1765" s="190">
        <v>46126</v>
      </c>
      <c r="K1765" s="191" t="s">
        <v>601</v>
      </c>
      <c r="L1765" s="191"/>
      <c r="M1765" s="192">
        <v>1800</v>
      </c>
    </row>
    <row r="1766" spans="5:13" ht="15.75" x14ac:dyDescent="0.25">
      <c r="E1766" s="78"/>
      <c r="F1766" s="78"/>
      <c r="G1766" s="78"/>
      <c r="H1766" s="119"/>
      <c r="J1766" s="184"/>
      <c r="K1766" s="185"/>
      <c r="L1766" s="185"/>
      <c r="M1766" s="140"/>
    </row>
    <row r="1767" spans="5:13" x14ac:dyDescent="0.25">
      <c r="E1767" s="78"/>
      <c r="F1767" s="78"/>
      <c r="G1767" s="78"/>
      <c r="H1767" s="122">
        <f>SUM(H1755:H1766)</f>
        <v>80481.75</v>
      </c>
      <c r="J1767" s="78"/>
      <c r="K1767" s="78"/>
      <c r="L1767" s="78"/>
      <c r="M1767" s="119"/>
    </row>
    <row r="1768" spans="5:13" ht="18.75" x14ac:dyDescent="0.3">
      <c r="H1768" s="157"/>
      <c r="J1768" s="78"/>
      <c r="K1768" s="126" t="s">
        <v>226</v>
      </c>
      <c r="L1768" s="126"/>
      <c r="M1768" s="127">
        <f>SUM(M1755:M1767)</f>
        <v>63272.77</v>
      </c>
    </row>
    <row r="1769" spans="5:13" x14ac:dyDescent="0.25">
      <c r="G1769" s="101" t="s">
        <v>224</v>
      </c>
      <c r="H1769" s="101">
        <v>42715.67</v>
      </c>
    </row>
    <row r="1771" spans="5:13" x14ac:dyDescent="0.25">
      <c r="E1771" s="121"/>
      <c r="L1771" s="121"/>
    </row>
    <row r="1772" spans="5:13" ht="18.75" x14ac:dyDescent="0.3">
      <c r="G1772" s="99" t="s">
        <v>225</v>
      </c>
      <c r="H1772" s="125">
        <f>SUM(H1767+H1769)</f>
        <v>123197.42</v>
      </c>
      <c r="L1772" s="121"/>
    </row>
    <row r="1774" spans="5:13" ht="15.75" x14ac:dyDescent="0.25">
      <c r="E1774" s="121"/>
      <c r="J1774" s="316" t="s">
        <v>227</v>
      </c>
      <c r="K1774" s="317"/>
      <c r="L1774" s="140">
        <f>H1772-M1768</f>
        <v>59924.65</v>
      </c>
    </row>
    <row r="1775" spans="5:13" ht="15.75" x14ac:dyDescent="0.25">
      <c r="L1775" s="89"/>
    </row>
    <row r="1776" spans="5:13" ht="15.75" x14ac:dyDescent="0.25">
      <c r="J1776" s="128" t="s">
        <v>285</v>
      </c>
      <c r="L1776" s="124">
        <f>G1793</f>
        <v>20100.86</v>
      </c>
    </row>
    <row r="1778" spans="5:13" ht="18.75" x14ac:dyDescent="0.3">
      <c r="K1778" s="158" t="s">
        <v>286</v>
      </c>
      <c r="L1778" s="137">
        <f>SUM(L1774:L1776)</f>
        <v>80025.510000000009</v>
      </c>
    </row>
    <row r="1779" spans="5:13" x14ac:dyDescent="0.25">
      <c r="L1779" s="157">
        <v>78177.509999999995</v>
      </c>
      <c r="M1779" s="39" t="s">
        <v>76</v>
      </c>
    </row>
    <row r="1780" spans="5:13" x14ac:dyDescent="0.25">
      <c r="E1780" s="91"/>
    </row>
    <row r="1781" spans="5:13" ht="18.75" x14ac:dyDescent="0.3">
      <c r="F1781" s="132" t="s">
        <v>235</v>
      </c>
      <c r="G1781" s="133">
        <v>5929.86</v>
      </c>
      <c r="L1781" s="154">
        <f>L1778-L1779</f>
        <v>1848.0000000000146</v>
      </c>
    </row>
    <row r="1782" spans="5:13" ht="18.75" x14ac:dyDescent="0.3">
      <c r="E1782" s="91">
        <v>46125</v>
      </c>
      <c r="F1782" t="s">
        <v>357</v>
      </c>
      <c r="G1782" s="121">
        <v>1744</v>
      </c>
      <c r="L1782" s="125"/>
    </row>
    <row r="1783" spans="5:13" ht="18.75" x14ac:dyDescent="0.3">
      <c r="F1783" t="s">
        <v>580</v>
      </c>
      <c r="G1783" s="121">
        <v>2640</v>
      </c>
      <c r="L1783" s="125"/>
    </row>
    <row r="1784" spans="5:13" x14ac:dyDescent="0.25">
      <c r="F1784" t="s">
        <v>582</v>
      </c>
      <c r="G1784" s="121">
        <v>1560</v>
      </c>
    </row>
    <row r="1785" spans="5:13" x14ac:dyDescent="0.25">
      <c r="F1785" t="s">
        <v>583</v>
      </c>
      <c r="G1785" s="121">
        <v>2630</v>
      </c>
    </row>
    <row r="1786" spans="5:13" x14ac:dyDescent="0.25">
      <c r="F1786" t="s">
        <v>585</v>
      </c>
      <c r="G1786" s="121">
        <v>490</v>
      </c>
    </row>
    <row r="1787" spans="5:13" x14ac:dyDescent="0.25">
      <c r="F1787" t="s">
        <v>597</v>
      </c>
      <c r="G1787" s="138">
        <v>-100</v>
      </c>
    </row>
    <row r="1788" spans="5:13" x14ac:dyDescent="0.25">
      <c r="F1788" s="139" t="s">
        <v>272</v>
      </c>
      <c r="G1788" s="138">
        <v>-450</v>
      </c>
    </row>
    <row r="1789" spans="5:13" x14ac:dyDescent="0.25">
      <c r="E1789" s="91">
        <v>46126</v>
      </c>
      <c r="F1789" t="s">
        <v>589</v>
      </c>
      <c r="G1789" s="121">
        <v>2280</v>
      </c>
    </row>
    <row r="1790" spans="5:13" x14ac:dyDescent="0.25">
      <c r="F1790" t="s">
        <v>593</v>
      </c>
      <c r="G1790" s="121">
        <v>6352</v>
      </c>
    </row>
    <row r="1791" spans="5:13" x14ac:dyDescent="0.25">
      <c r="F1791" s="139" t="s">
        <v>598</v>
      </c>
      <c r="G1791" s="138">
        <v>-2975</v>
      </c>
    </row>
    <row r="1792" spans="5:13" x14ac:dyDescent="0.25">
      <c r="F1792" s="150"/>
      <c r="G1792" s="151"/>
    </row>
    <row r="1793" spans="5:12" ht="15.75" x14ac:dyDescent="0.25">
      <c r="F1793" s="132" t="s">
        <v>236</v>
      </c>
      <c r="G1793" s="133">
        <f>SUM(G1781:G1792)</f>
        <v>20100.86</v>
      </c>
      <c r="K1793" s="322" t="s">
        <v>570</v>
      </c>
      <c r="L1793" s="322"/>
    </row>
    <row r="1795" spans="5:12" x14ac:dyDescent="0.25">
      <c r="K1795" s="150" t="s">
        <v>595</v>
      </c>
      <c r="L1795" s="151">
        <v>46777.77</v>
      </c>
    </row>
    <row r="1796" spans="5:12" x14ac:dyDescent="0.25">
      <c r="G1796">
        <v>-11.9</v>
      </c>
      <c r="J1796" s="187">
        <v>46126</v>
      </c>
      <c r="K1796" s="139" t="s">
        <v>599</v>
      </c>
      <c r="L1796" s="139">
        <v>-1760</v>
      </c>
    </row>
    <row r="1797" spans="5:12" x14ac:dyDescent="0.25">
      <c r="K1797" s="139" t="s">
        <v>598</v>
      </c>
      <c r="L1797" s="139">
        <v>-2975</v>
      </c>
    </row>
    <row r="1798" spans="5:12" x14ac:dyDescent="0.25">
      <c r="F1798" s="39"/>
      <c r="G1798" s="157">
        <f>SUM(G1793:G1797)</f>
        <v>20088.96</v>
      </c>
    </row>
    <row r="1800" spans="5:12" x14ac:dyDescent="0.25">
      <c r="H1800" s="176"/>
      <c r="L1800" s="193">
        <f>SUM(L1795:L1799)</f>
        <v>42042.77</v>
      </c>
    </row>
    <row r="1803" spans="5:12" ht="15.75" x14ac:dyDescent="0.25">
      <c r="F1803" s="166" t="s">
        <v>429</v>
      </c>
      <c r="G1803" s="131">
        <v>52758.75</v>
      </c>
    </row>
    <row r="1804" spans="5:12" x14ac:dyDescent="0.25">
      <c r="E1804" s="91"/>
      <c r="F1804" s="78" t="s">
        <v>586</v>
      </c>
      <c r="G1804" s="78">
        <v>2610</v>
      </c>
    </row>
    <row r="1805" spans="5:12" x14ac:dyDescent="0.25">
      <c r="E1805" s="91"/>
      <c r="F1805" s="177" t="s">
        <v>592</v>
      </c>
      <c r="G1805" s="188">
        <v>-6352</v>
      </c>
    </row>
    <row r="1806" spans="5:12" x14ac:dyDescent="0.25">
      <c r="E1806" s="91"/>
      <c r="F1806" s="177" t="s">
        <v>22</v>
      </c>
      <c r="G1806" s="78">
        <v>1126</v>
      </c>
    </row>
    <row r="1807" spans="5:12" x14ac:dyDescent="0.25">
      <c r="E1807" s="91"/>
      <c r="F1807" s="177" t="s">
        <v>587</v>
      </c>
      <c r="G1807" s="188">
        <v>-7200</v>
      </c>
    </row>
    <row r="1808" spans="5:12" x14ac:dyDescent="0.25">
      <c r="E1808" s="91"/>
      <c r="F1808" s="177" t="s">
        <v>22</v>
      </c>
      <c r="G1808" s="188">
        <v>-1126</v>
      </c>
    </row>
    <row r="1809" spans="6:7" x14ac:dyDescent="0.25">
      <c r="F1809" s="78" t="s">
        <v>594</v>
      </c>
      <c r="G1809" s="119">
        <v>-1760</v>
      </c>
    </row>
    <row r="1810" spans="6:7" x14ac:dyDescent="0.25">
      <c r="G1810" s="121"/>
    </row>
    <row r="1811" spans="6:7" x14ac:dyDescent="0.25">
      <c r="G1811" s="121"/>
    </row>
    <row r="1812" spans="6:7" ht="15.75" x14ac:dyDescent="0.25">
      <c r="F1812" s="78" t="s">
        <v>596</v>
      </c>
      <c r="G1812" s="189">
        <f>SUM(G1803:G1809)</f>
        <v>40056.75</v>
      </c>
    </row>
    <row r="1831" spans="5:13" ht="18.75" x14ac:dyDescent="0.3">
      <c r="E1831" s="314" t="s">
        <v>602</v>
      </c>
      <c r="F1831" s="315"/>
      <c r="G1831" s="315"/>
      <c r="H1831" s="315"/>
      <c r="I1831" s="315"/>
      <c r="J1831" s="315"/>
      <c r="K1831" s="315"/>
      <c r="L1831" s="315"/>
      <c r="M1831" s="315"/>
    </row>
    <row r="1832" spans="5:13" x14ac:dyDescent="0.25">
      <c r="E1832" s="78"/>
      <c r="F1832" s="78"/>
      <c r="G1832" s="78"/>
      <c r="H1832" s="78"/>
      <c r="I1832" s="78"/>
      <c r="J1832" s="78"/>
      <c r="K1832" s="78"/>
      <c r="L1832" s="78"/>
      <c r="M1832" s="78"/>
    </row>
    <row r="1833" spans="5:13" ht="15.75" x14ac:dyDescent="0.25">
      <c r="E1833" s="118" t="s">
        <v>223</v>
      </c>
      <c r="F1833" s="118" t="s">
        <v>206</v>
      </c>
      <c r="G1833" s="118" t="s">
        <v>207</v>
      </c>
      <c r="H1833" s="118" t="s">
        <v>218</v>
      </c>
      <c r="I1833" s="78"/>
      <c r="J1833" s="120" t="s">
        <v>6</v>
      </c>
      <c r="K1833" s="120" t="s">
        <v>217</v>
      </c>
      <c r="L1833" s="120" t="s">
        <v>207</v>
      </c>
      <c r="M1833" s="120" t="s">
        <v>218</v>
      </c>
    </row>
    <row r="1834" spans="5:13" x14ac:dyDescent="0.25">
      <c r="E1834" s="117"/>
      <c r="F1834" s="78" t="s">
        <v>459</v>
      </c>
      <c r="G1834" s="78" t="s">
        <v>556</v>
      </c>
      <c r="H1834" s="119">
        <v>10140</v>
      </c>
      <c r="I1834" s="175" t="s">
        <v>557</v>
      </c>
      <c r="J1834" s="117"/>
      <c r="K1834" s="78"/>
      <c r="L1834" s="78"/>
      <c r="M1834" s="119"/>
    </row>
    <row r="1835" spans="5:13" x14ac:dyDescent="0.25">
      <c r="E1835" s="117">
        <v>46087</v>
      </c>
      <c r="F1835" s="78" t="s">
        <v>148</v>
      </c>
      <c r="G1835" s="78" t="s">
        <v>209</v>
      </c>
      <c r="H1835" s="119">
        <v>4420</v>
      </c>
      <c r="I1835" s="78"/>
      <c r="J1835" s="117">
        <v>46037</v>
      </c>
      <c r="K1835" s="149" t="s">
        <v>66</v>
      </c>
      <c r="L1835" s="78" t="s">
        <v>222</v>
      </c>
      <c r="M1835" s="119">
        <v>2120</v>
      </c>
    </row>
    <row r="1836" spans="5:13" ht="15.75" x14ac:dyDescent="0.25">
      <c r="E1836" s="117">
        <v>46087</v>
      </c>
      <c r="F1836" s="78" t="s">
        <v>214</v>
      </c>
      <c r="G1836" s="155" t="s">
        <v>211</v>
      </c>
      <c r="H1836" s="156">
        <v>3600</v>
      </c>
      <c r="I1836" s="78"/>
      <c r="J1836" s="181">
        <v>46120</v>
      </c>
      <c r="K1836" s="182" t="s">
        <v>520</v>
      </c>
      <c r="L1836" s="182"/>
      <c r="M1836" s="183">
        <v>42042.77</v>
      </c>
    </row>
    <row r="1837" spans="5:13" ht="15.75" x14ac:dyDescent="0.25">
      <c r="E1837" s="117"/>
      <c r="F1837" s="78" t="s">
        <v>401</v>
      </c>
      <c r="G1837" s="78" t="s">
        <v>402</v>
      </c>
      <c r="H1837" s="119">
        <v>2880</v>
      </c>
      <c r="I1837" s="119"/>
      <c r="J1837" s="184">
        <v>46120</v>
      </c>
      <c r="K1837" s="185" t="s">
        <v>348</v>
      </c>
      <c r="L1837" s="185"/>
      <c r="M1837" s="140">
        <v>1840</v>
      </c>
    </row>
    <row r="1838" spans="5:13" ht="15.75" x14ac:dyDescent="0.25">
      <c r="E1838" s="78"/>
      <c r="F1838" s="166" t="s">
        <v>429</v>
      </c>
      <c r="G1838" s="166"/>
      <c r="H1838" s="167">
        <v>44520.65</v>
      </c>
      <c r="I1838" s="119"/>
      <c r="J1838" s="184">
        <v>46121</v>
      </c>
      <c r="K1838" s="185" t="s">
        <v>546</v>
      </c>
      <c r="L1838" s="185"/>
      <c r="M1838" s="140">
        <v>1400</v>
      </c>
    </row>
    <row r="1839" spans="5:13" ht="15.75" x14ac:dyDescent="0.25">
      <c r="E1839" s="78"/>
      <c r="F1839" s="78" t="s">
        <v>502</v>
      </c>
      <c r="G1839" s="166"/>
      <c r="H1839" s="167">
        <v>2600</v>
      </c>
      <c r="I1839" s="78"/>
      <c r="J1839" s="184">
        <v>46123</v>
      </c>
      <c r="K1839" s="185" t="s">
        <v>405</v>
      </c>
      <c r="L1839" s="185"/>
      <c r="M1839" s="140">
        <v>2450</v>
      </c>
    </row>
    <row r="1840" spans="5:13" ht="15.75" x14ac:dyDescent="0.25">
      <c r="E1840" s="78"/>
      <c r="F1840" s="78" t="s">
        <v>528</v>
      </c>
      <c r="G1840" s="166"/>
      <c r="H1840" s="167">
        <v>3480</v>
      </c>
      <c r="I1840" s="78"/>
      <c r="J1840" s="184">
        <v>46123</v>
      </c>
      <c r="K1840" s="185" t="s">
        <v>565</v>
      </c>
      <c r="L1840" s="185"/>
      <c r="M1840" s="140">
        <v>2500</v>
      </c>
    </row>
    <row r="1841" spans="5:13" ht="15.75" x14ac:dyDescent="0.25">
      <c r="E1841" s="117">
        <v>46121</v>
      </c>
      <c r="F1841" s="78" t="s">
        <v>540</v>
      </c>
      <c r="G1841" s="166"/>
      <c r="H1841" s="167">
        <v>3120</v>
      </c>
      <c r="I1841" s="78"/>
      <c r="J1841" s="184">
        <v>46125</v>
      </c>
      <c r="K1841" s="185" t="s">
        <v>581</v>
      </c>
      <c r="L1841" s="185"/>
      <c r="M1841" s="140">
        <v>2820</v>
      </c>
    </row>
    <row r="1842" spans="5:13" ht="15.75" x14ac:dyDescent="0.25">
      <c r="E1842" s="117"/>
      <c r="F1842" s="78" t="s">
        <v>590</v>
      </c>
      <c r="G1842" s="166"/>
      <c r="H1842" s="167">
        <v>3520</v>
      </c>
      <c r="J1842" s="184">
        <v>46126</v>
      </c>
      <c r="K1842" s="185" t="s">
        <v>588</v>
      </c>
      <c r="L1842" s="185"/>
      <c r="M1842" s="140">
        <v>2100</v>
      </c>
    </row>
    <row r="1843" spans="5:13" ht="15.75" x14ac:dyDescent="0.25">
      <c r="E1843" s="117"/>
      <c r="F1843" s="78" t="s">
        <v>591</v>
      </c>
      <c r="G1843" s="166"/>
      <c r="H1843" s="167">
        <v>2200</v>
      </c>
      <c r="J1843" s="190">
        <v>46126</v>
      </c>
      <c r="K1843" s="191" t="s">
        <v>603</v>
      </c>
      <c r="L1843" s="191"/>
      <c r="M1843" s="192">
        <v>600</v>
      </c>
    </row>
    <row r="1844" spans="5:13" ht="15.75" x14ac:dyDescent="0.25">
      <c r="E1844" s="78"/>
      <c r="F1844" s="78"/>
      <c r="G1844" s="78"/>
      <c r="H1844" s="119"/>
      <c r="J1844" s="184">
        <v>46127</v>
      </c>
      <c r="K1844" s="185" t="s">
        <v>405</v>
      </c>
      <c r="L1844" s="185"/>
      <c r="M1844" s="140">
        <v>2450</v>
      </c>
    </row>
    <row r="1845" spans="5:13" x14ac:dyDescent="0.25">
      <c r="E1845" s="78"/>
      <c r="F1845" s="78"/>
      <c r="G1845" s="78"/>
      <c r="H1845" s="122">
        <f>SUM(H1834:H1844)</f>
        <v>80480.649999999994</v>
      </c>
      <c r="J1845" s="78"/>
      <c r="K1845" s="78"/>
      <c r="L1845" s="78"/>
      <c r="M1845" s="119"/>
    </row>
    <row r="1846" spans="5:13" ht="18.75" x14ac:dyDescent="0.3">
      <c r="H1846" s="157"/>
      <c r="J1846" s="78"/>
      <c r="K1846" s="126" t="s">
        <v>226</v>
      </c>
      <c r="L1846" s="126"/>
      <c r="M1846" s="127">
        <f>SUM(M1834:M1845)</f>
        <v>60322.77</v>
      </c>
    </row>
    <row r="1847" spans="5:13" x14ac:dyDescent="0.25">
      <c r="G1847" s="101" t="s">
        <v>224</v>
      </c>
      <c r="H1847" s="101">
        <v>44215.67</v>
      </c>
    </row>
    <row r="1849" spans="5:13" x14ac:dyDescent="0.25">
      <c r="E1849" s="121"/>
      <c r="L1849" s="121"/>
    </row>
    <row r="1850" spans="5:13" ht="18.75" x14ac:dyDescent="0.3">
      <c r="G1850" s="99" t="s">
        <v>225</v>
      </c>
      <c r="H1850" s="125">
        <f>SUM(H1845+H1847)</f>
        <v>124696.31999999999</v>
      </c>
      <c r="L1850" s="121"/>
    </row>
    <row r="1852" spans="5:13" ht="15.75" x14ac:dyDescent="0.25">
      <c r="E1852" s="121"/>
      <c r="J1852" s="316" t="s">
        <v>227</v>
      </c>
      <c r="K1852" s="317"/>
      <c r="L1852" s="140">
        <f>H1850-M1846</f>
        <v>64373.549999999996</v>
      </c>
    </row>
    <row r="1853" spans="5:13" ht="15.75" x14ac:dyDescent="0.25">
      <c r="L1853" s="89"/>
    </row>
    <row r="1854" spans="5:13" ht="15.75" x14ac:dyDescent="0.25">
      <c r="J1854" s="128" t="s">
        <v>285</v>
      </c>
      <c r="L1854" s="124">
        <f>G1875</f>
        <v>15949.36</v>
      </c>
    </row>
    <row r="1856" spans="5:13" ht="18.75" x14ac:dyDescent="0.3">
      <c r="K1856" s="158" t="s">
        <v>286</v>
      </c>
      <c r="L1856" s="137">
        <f>SUM(L1852:L1854)</f>
        <v>80322.91</v>
      </c>
    </row>
    <row r="1857" spans="5:13" x14ac:dyDescent="0.25">
      <c r="L1857" s="157">
        <v>80025.509999999995</v>
      </c>
      <c r="M1857" s="39" t="s">
        <v>76</v>
      </c>
    </row>
    <row r="1858" spans="5:13" x14ac:dyDescent="0.25">
      <c r="E1858" s="91"/>
    </row>
    <row r="1859" spans="5:13" ht="18.75" x14ac:dyDescent="0.3">
      <c r="F1859" s="132" t="s">
        <v>235</v>
      </c>
      <c r="G1859" s="133">
        <v>5929.86</v>
      </c>
      <c r="L1859" s="154">
        <f>L1856-L1857</f>
        <v>297.40000000000873</v>
      </c>
    </row>
    <row r="1860" spans="5:13" ht="18.75" x14ac:dyDescent="0.3">
      <c r="E1860" s="91">
        <v>46125</v>
      </c>
      <c r="F1860" t="s">
        <v>357</v>
      </c>
      <c r="G1860" s="121">
        <v>1744</v>
      </c>
      <c r="I1860">
        <f>2200+995.7</f>
        <v>3195.7</v>
      </c>
      <c r="L1860" s="125"/>
    </row>
    <row r="1861" spans="5:13" ht="18.75" x14ac:dyDescent="0.3">
      <c r="F1861" t="s">
        <v>580</v>
      </c>
      <c r="G1861" s="121">
        <v>2640</v>
      </c>
      <c r="L1861" s="125"/>
    </row>
    <row r="1862" spans="5:13" x14ac:dyDescent="0.25">
      <c r="F1862" t="s">
        <v>582</v>
      </c>
      <c r="G1862" s="121">
        <v>1560</v>
      </c>
    </row>
    <row r="1863" spans="5:13" x14ac:dyDescent="0.25">
      <c r="F1863" t="s">
        <v>583</v>
      </c>
      <c r="G1863" s="121">
        <v>2630</v>
      </c>
    </row>
    <row r="1864" spans="5:13" x14ac:dyDescent="0.25">
      <c r="F1864" t="s">
        <v>585</v>
      </c>
      <c r="G1864" s="121">
        <v>490</v>
      </c>
    </row>
    <row r="1865" spans="5:13" x14ac:dyDescent="0.25">
      <c r="F1865" t="s">
        <v>597</v>
      </c>
      <c r="G1865" s="138">
        <v>-100</v>
      </c>
    </row>
    <row r="1866" spans="5:13" x14ac:dyDescent="0.25">
      <c r="F1866" s="139" t="s">
        <v>272</v>
      </c>
      <c r="G1866" s="138">
        <v>-450</v>
      </c>
    </row>
    <row r="1867" spans="5:13" x14ac:dyDescent="0.25">
      <c r="E1867" s="91">
        <v>46126</v>
      </c>
      <c r="F1867" t="s">
        <v>589</v>
      </c>
      <c r="G1867" s="121">
        <v>2280</v>
      </c>
    </row>
    <row r="1868" spans="5:13" x14ac:dyDescent="0.25">
      <c r="F1868" t="s">
        <v>593</v>
      </c>
      <c r="G1868" s="121">
        <v>6352</v>
      </c>
    </row>
    <row r="1869" spans="5:13" x14ac:dyDescent="0.25">
      <c r="F1869" s="139" t="s">
        <v>598</v>
      </c>
      <c r="G1869" s="138">
        <v>-2975</v>
      </c>
    </row>
    <row r="1870" spans="5:13" x14ac:dyDescent="0.25">
      <c r="F1870" s="139" t="s">
        <v>604</v>
      </c>
      <c r="G1870" s="138">
        <v>-4200</v>
      </c>
    </row>
    <row r="1871" spans="5:13" ht="15.75" x14ac:dyDescent="0.25">
      <c r="F1871" s="139" t="s">
        <v>250</v>
      </c>
      <c r="G1871" s="138">
        <v>-391.5</v>
      </c>
      <c r="K1871" s="322" t="s">
        <v>570</v>
      </c>
      <c r="L1871" s="322"/>
    </row>
    <row r="1872" spans="5:13" x14ac:dyDescent="0.25">
      <c r="F1872" s="163" t="s">
        <v>605</v>
      </c>
      <c r="G1872" s="164">
        <v>440</v>
      </c>
    </row>
    <row r="1873" spans="5:12" x14ac:dyDescent="0.25">
      <c r="F1873" s="139"/>
      <c r="G1873" s="138"/>
      <c r="K1873" s="150" t="s">
        <v>595</v>
      </c>
      <c r="L1873" s="151">
        <v>46777.77</v>
      </c>
    </row>
    <row r="1874" spans="5:12" x14ac:dyDescent="0.25">
      <c r="F1874" s="150"/>
      <c r="G1874" s="151"/>
      <c r="J1874" s="187">
        <v>46126</v>
      </c>
      <c r="K1874" s="139" t="s">
        <v>599</v>
      </c>
      <c r="L1874" s="139">
        <v>-1760</v>
      </c>
    </row>
    <row r="1875" spans="5:12" ht="15.75" x14ac:dyDescent="0.25">
      <c r="F1875" s="132" t="s">
        <v>236</v>
      </c>
      <c r="G1875" s="133">
        <f>SUM(G1859:G1874)</f>
        <v>15949.36</v>
      </c>
      <c r="K1875" s="139" t="s">
        <v>598</v>
      </c>
      <c r="L1875" s="139">
        <v>-2975</v>
      </c>
    </row>
    <row r="1878" spans="5:12" x14ac:dyDescent="0.25">
      <c r="G1878">
        <v>-11.9</v>
      </c>
      <c r="H1878" s="176"/>
      <c r="L1878" s="193">
        <f>SUM(L1873:L1877)</f>
        <v>42042.77</v>
      </c>
    </row>
    <row r="1880" spans="5:12" x14ac:dyDescent="0.25">
      <c r="F1880" s="39"/>
      <c r="G1880" s="157">
        <f>SUM(G1875:G1879)</f>
        <v>15937.460000000001</v>
      </c>
    </row>
    <row r="1885" spans="5:12" ht="15.75" x14ac:dyDescent="0.25">
      <c r="E1885" s="91"/>
      <c r="F1885" s="166" t="s">
        <v>429</v>
      </c>
      <c r="G1885" s="131">
        <v>52758.75</v>
      </c>
    </row>
    <row r="1886" spans="5:12" x14ac:dyDescent="0.25">
      <c r="E1886" s="91"/>
      <c r="F1886" s="78" t="s">
        <v>586</v>
      </c>
      <c r="G1886" s="78">
        <v>2610</v>
      </c>
    </row>
    <row r="1887" spans="5:12" x14ac:dyDescent="0.25">
      <c r="E1887" s="91"/>
      <c r="F1887" s="177" t="s">
        <v>592</v>
      </c>
      <c r="G1887" s="188">
        <v>-6352</v>
      </c>
    </row>
    <row r="1888" spans="5:12" x14ac:dyDescent="0.25">
      <c r="E1888" s="91"/>
      <c r="F1888" s="177" t="s">
        <v>22</v>
      </c>
      <c r="G1888" s="78">
        <v>1126</v>
      </c>
    </row>
    <row r="1889" spans="5:9" x14ac:dyDescent="0.25">
      <c r="E1889" s="91"/>
      <c r="F1889" s="177" t="s">
        <v>587</v>
      </c>
      <c r="G1889" s="188">
        <v>-7200</v>
      </c>
    </row>
    <row r="1890" spans="5:9" x14ac:dyDescent="0.25">
      <c r="F1890" s="177" t="s">
        <v>22</v>
      </c>
      <c r="G1890" s="188">
        <v>-1126</v>
      </c>
    </row>
    <row r="1891" spans="5:9" x14ac:dyDescent="0.25">
      <c r="F1891" s="78" t="s">
        <v>594</v>
      </c>
      <c r="G1891" s="119">
        <v>-1760</v>
      </c>
    </row>
    <row r="1892" spans="5:9" x14ac:dyDescent="0.25">
      <c r="E1892" s="91">
        <v>46127</v>
      </c>
      <c r="F1892" s="194" t="s">
        <v>606</v>
      </c>
      <c r="G1892" s="121">
        <v>4465</v>
      </c>
    </row>
    <row r="1893" spans="5:9" x14ac:dyDescent="0.25">
      <c r="E1893" s="91"/>
      <c r="F1893" s="177" t="s">
        <v>535</v>
      </c>
      <c r="G1893" s="188">
        <v>-1.1000000000000001</v>
      </c>
    </row>
    <row r="1894" spans="5:9" x14ac:dyDescent="0.25">
      <c r="F1894" s="78"/>
      <c r="G1894" s="119"/>
    </row>
    <row r="1895" spans="5:9" ht="15.75" x14ac:dyDescent="0.25">
      <c r="F1895" s="78" t="s">
        <v>596</v>
      </c>
      <c r="G1895" s="189">
        <f>SUM(G1885:G1894)</f>
        <v>44520.65</v>
      </c>
    </row>
    <row r="1899" spans="5:9" x14ac:dyDescent="0.25">
      <c r="I1899" s="121"/>
    </row>
    <row r="1907" spans="5:15" ht="18.75" x14ac:dyDescent="0.3">
      <c r="E1907" s="314" t="s">
        <v>608</v>
      </c>
      <c r="F1907" s="315"/>
      <c r="G1907" s="315"/>
      <c r="H1907" s="315"/>
      <c r="I1907" s="315"/>
      <c r="J1907" s="315"/>
      <c r="K1907" s="315"/>
      <c r="L1907" s="315"/>
      <c r="M1907" s="315"/>
    </row>
    <row r="1908" spans="5:15" x14ac:dyDescent="0.25">
      <c r="E1908" s="78"/>
      <c r="F1908" s="78"/>
      <c r="G1908" s="78"/>
      <c r="H1908" s="78"/>
      <c r="I1908" s="78"/>
      <c r="J1908" s="78"/>
      <c r="K1908" s="78"/>
      <c r="L1908" s="78"/>
      <c r="M1908" s="78"/>
    </row>
    <row r="1909" spans="5:15" ht="15.75" x14ac:dyDescent="0.25">
      <c r="E1909" s="118" t="s">
        <v>223</v>
      </c>
      <c r="F1909" s="118" t="s">
        <v>206</v>
      </c>
      <c r="G1909" s="118" t="s">
        <v>207</v>
      </c>
      <c r="H1909" s="118" t="s">
        <v>218</v>
      </c>
      <c r="I1909" s="78"/>
      <c r="J1909" s="120" t="s">
        <v>6</v>
      </c>
      <c r="K1909" s="120" t="s">
        <v>217</v>
      </c>
      <c r="L1909" s="120" t="s">
        <v>207</v>
      </c>
      <c r="M1909" s="120" t="s">
        <v>218</v>
      </c>
    </row>
    <row r="1910" spans="5:15" x14ac:dyDescent="0.25">
      <c r="E1910" s="117"/>
      <c r="F1910" s="78" t="s">
        <v>459</v>
      </c>
      <c r="G1910" s="78" t="s">
        <v>556</v>
      </c>
      <c r="H1910" s="119">
        <v>10140</v>
      </c>
      <c r="I1910" s="175" t="s">
        <v>557</v>
      </c>
      <c r="J1910" s="117"/>
      <c r="K1910" s="78"/>
      <c r="L1910" s="78"/>
      <c r="M1910" s="119"/>
    </row>
    <row r="1911" spans="5:15" x14ac:dyDescent="0.25">
      <c r="E1911" s="117">
        <v>46087</v>
      </c>
      <c r="F1911" s="78" t="s">
        <v>148</v>
      </c>
      <c r="G1911" s="78" t="s">
        <v>209</v>
      </c>
      <c r="H1911" s="119">
        <v>4420</v>
      </c>
      <c r="I1911" s="78"/>
      <c r="J1911" s="117">
        <v>46037</v>
      </c>
      <c r="K1911" s="149" t="s">
        <v>66</v>
      </c>
      <c r="L1911" s="78" t="s">
        <v>222</v>
      </c>
      <c r="M1911" s="119">
        <v>2120</v>
      </c>
    </row>
    <row r="1912" spans="5:15" ht="15.75" x14ac:dyDescent="0.25">
      <c r="E1912" s="117">
        <v>46087</v>
      </c>
      <c r="F1912" s="78" t="s">
        <v>214</v>
      </c>
      <c r="G1912" s="155" t="s">
        <v>211</v>
      </c>
      <c r="H1912" s="156">
        <v>3600</v>
      </c>
      <c r="I1912" s="78"/>
      <c r="J1912" s="181">
        <v>46120</v>
      </c>
      <c r="K1912" s="182" t="s">
        <v>520</v>
      </c>
      <c r="L1912" s="182"/>
      <c r="M1912" s="183">
        <v>40000.07</v>
      </c>
    </row>
    <row r="1913" spans="5:15" ht="15.75" x14ac:dyDescent="0.25">
      <c r="E1913" s="117"/>
      <c r="F1913" s="78" t="s">
        <v>401</v>
      </c>
      <c r="G1913" s="78" t="s">
        <v>402</v>
      </c>
      <c r="H1913" s="119">
        <v>2880</v>
      </c>
      <c r="I1913" s="119"/>
      <c r="J1913" s="184">
        <v>46123</v>
      </c>
      <c r="K1913" s="185" t="s">
        <v>405</v>
      </c>
      <c r="L1913" s="185"/>
      <c r="M1913" s="140">
        <v>2450</v>
      </c>
    </row>
    <row r="1914" spans="5:15" ht="15.75" x14ac:dyDescent="0.25">
      <c r="E1914" s="78"/>
      <c r="F1914" s="166" t="s">
        <v>429</v>
      </c>
      <c r="G1914" s="166"/>
      <c r="H1914" s="167">
        <v>34637.949999999997</v>
      </c>
      <c r="I1914" s="119"/>
      <c r="J1914" s="184">
        <v>46125</v>
      </c>
      <c r="K1914" s="185" t="s">
        <v>581</v>
      </c>
      <c r="L1914" s="185"/>
      <c r="M1914" s="140">
        <v>2820</v>
      </c>
    </row>
    <row r="1915" spans="5:15" ht="15.75" x14ac:dyDescent="0.25">
      <c r="E1915" s="78"/>
      <c r="F1915" s="78" t="s">
        <v>502</v>
      </c>
      <c r="G1915" s="166"/>
      <c r="H1915" s="167">
        <v>2600</v>
      </c>
      <c r="I1915" s="78"/>
      <c r="J1915" s="190">
        <v>46126</v>
      </c>
      <c r="K1915" s="191" t="s">
        <v>603</v>
      </c>
      <c r="L1915" s="191"/>
      <c r="M1915" s="192">
        <v>600</v>
      </c>
    </row>
    <row r="1916" spans="5:15" ht="15.75" x14ac:dyDescent="0.25">
      <c r="E1916" s="117">
        <v>46128</v>
      </c>
      <c r="F1916" s="78" t="s">
        <v>609</v>
      </c>
      <c r="G1916" s="166"/>
      <c r="H1916" s="167">
        <v>3480</v>
      </c>
      <c r="I1916" s="78"/>
      <c r="J1916" s="184">
        <v>46127</v>
      </c>
      <c r="K1916" s="185" t="s">
        <v>405</v>
      </c>
      <c r="L1916" s="185"/>
      <c r="M1916" s="140">
        <v>2450</v>
      </c>
    </row>
    <row r="1917" spans="5:15" ht="15.75" x14ac:dyDescent="0.25">
      <c r="E1917" s="117">
        <v>46121</v>
      </c>
      <c r="F1917" s="78" t="s">
        <v>540</v>
      </c>
      <c r="G1917" s="166"/>
      <c r="H1917" s="167">
        <v>3120</v>
      </c>
      <c r="I1917" s="78"/>
      <c r="J1917" s="184">
        <v>46128</v>
      </c>
      <c r="K1917" s="185" t="s">
        <v>461</v>
      </c>
      <c r="L1917" s="185"/>
      <c r="M1917" s="140">
        <v>2350</v>
      </c>
    </row>
    <row r="1918" spans="5:15" ht="15.75" x14ac:dyDescent="0.25">
      <c r="E1918" s="117"/>
      <c r="F1918" s="78" t="s">
        <v>590</v>
      </c>
      <c r="G1918" s="166"/>
      <c r="H1918" s="167">
        <v>3520</v>
      </c>
      <c r="J1918" s="184">
        <v>46128</v>
      </c>
      <c r="K1918" s="185" t="s">
        <v>588</v>
      </c>
      <c r="L1918" s="185"/>
      <c r="M1918" s="140">
        <v>2100</v>
      </c>
    </row>
    <row r="1919" spans="5:15" x14ac:dyDescent="0.25">
      <c r="E1919" s="117"/>
      <c r="F1919" s="78" t="s">
        <v>591</v>
      </c>
      <c r="G1919" s="166"/>
      <c r="H1919" s="167">
        <v>2200</v>
      </c>
      <c r="J1919" s="78"/>
      <c r="K1919" s="78"/>
      <c r="L1919" s="78"/>
      <c r="M1919" s="119"/>
      <c r="O1919" s="121" t="e">
        <f>#REF!+#REF!+#REF!+#REF!</f>
        <v>#REF!</v>
      </c>
    </row>
    <row r="1920" spans="5:15" ht="18.75" x14ac:dyDescent="0.3">
      <c r="E1920" s="117">
        <v>46128</v>
      </c>
      <c r="F1920" s="78" t="s">
        <v>611</v>
      </c>
      <c r="G1920" s="166"/>
      <c r="H1920" s="167">
        <v>2550</v>
      </c>
      <c r="J1920" s="78"/>
      <c r="K1920" s="126" t="s">
        <v>226</v>
      </c>
      <c r="L1920" s="126"/>
      <c r="M1920" s="127">
        <f>SUM(M1910:M1919)</f>
        <v>54890.07</v>
      </c>
    </row>
    <row r="1921" spans="5:13" x14ac:dyDescent="0.25">
      <c r="E1921" s="117"/>
      <c r="F1921" s="78"/>
      <c r="G1921" s="166"/>
      <c r="H1921" s="167"/>
    </row>
    <row r="1922" spans="5:13" x14ac:dyDescent="0.25">
      <c r="E1922" s="78"/>
      <c r="F1922" s="78"/>
      <c r="G1922" s="78"/>
      <c r="H1922" s="119"/>
    </row>
    <row r="1923" spans="5:13" x14ac:dyDescent="0.25">
      <c r="E1923" s="78"/>
      <c r="F1923" s="78"/>
      <c r="G1923" s="78"/>
      <c r="H1923" s="122">
        <f>SUM(H1910:H1922)</f>
        <v>73147.95</v>
      </c>
      <c r="L1923" s="121"/>
    </row>
    <row r="1924" spans="5:13" x14ac:dyDescent="0.25">
      <c r="H1924" s="157"/>
      <c r="L1924" s="121"/>
    </row>
    <row r="1925" spans="5:13" x14ac:dyDescent="0.25">
      <c r="G1925" s="101" t="s">
        <v>224</v>
      </c>
      <c r="H1925" s="101">
        <v>44819.47</v>
      </c>
    </row>
    <row r="1926" spans="5:13" ht="15.75" x14ac:dyDescent="0.25">
      <c r="J1926" s="316" t="s">
        <v>227</v>
      </c>
      <c r="K1926" s="317"/>
      <c r="L1926" s="140">
        <f>H1928-M1920</f>
        <v>63077.35</v>
      </c>
    </row>
    <row r="1927" spans="5:13" ht="15.75" x14ac:dyDescent="0.25">
      <c r="E1927" s="121"/>
      <c r="L1927" s="89"/>
    </row>
    <row r="1928" spans="5:13" ht="18.75" x14ac:dyDescent="0.3">
      <c r="G1928" s="99" t="s">
        <v>225</v>
      </c>
      <c r="H1928" s="125">
        <f>SUM(H1923+H1925)</f>
        <v>117967.42</v>
      </c>
      <c r="J1928" s="128" t="s">
        <v>285</v>
      </c>
      <c r="L1928" s="124">
        <f>G1954</f>
        <v>18068.86</v>
      </c>
    </row>
    <row r="1930" spans="5:13" ht="18.75" x14ac:dyDescent="0.3">
      <c r="E1930" s="121"/>
      <c r="K1930" s="158" t="s">
        <v>286</v>
      </c>
      <c r="L1930" s="137">
        <f>SUM(L1926:L1928)</f>
        <v>81146.209999999992</v>
      </c>
    </row>
    <row r="1931" spans="5:13" x14ac:dyDescent="0.25">
      <c r="L1931" s="157">
        <v>80322.91</v>
      </c>
      <c r="M1931" s="39" t="s">
        <v>76</v>
      </c>
    </row>
    <row r="1933" spans="5:13" ht="18.75" x14ac:dyDescent="0.3">
      <c r="L1933" s="154">
        <f>L1930-L1931</f>
        <v>823.29999999998836</v>
      </c>
    </row>
    <row r="1934" spans="5:13" ht="18.75" x14ac:dyDescent="0.3">
      <c r="L1934" s="125"/>
    </row>
    <row r="1935" spans="5:13" ht="18.75" x14ac:dyDescent="0.3">
      <c r="L1935" s="125"/>
    </row>
    <row r="1936" spans="5:13" x14ac:dyDescent="0.25">
      <c r="E1936" s="91"/>
    </row>
    <row r="1937" spans="5:12" ht="15.75" x14ac:dyDescent="0.25">
      <c r="F1937" s="132" t="s">
        <v>235</v>
      </c>
      <c r="G1937" s="133">
        <v>5929.86</v>
      </c>
    </row>
    <row r="1938" spans="5:12" x14ac:dyDescent="0.25">
      <c r="E1938" s="91">
        <v>46125</v>
      </c>
      <c r="F1938" t="s">
        <v>357</v>
      </c>
      <c r="G1938" s="121">
        <v>1744</v>
      </c>
    </row>
    <row r="1939" spans="5:12" x14ac:dyDescent="0.25">
      <c r="F1939" t="s">
        <v>580</v>
      </c>
      <c r="G1939" s="121">
        <v>2640</v>
      </c>
    </row>
    <row r="1940" spans="5:12" x14ac:dyDescent="0.25">
      <c r="F1940" t="s">
        <v>582</v>
      </c>
      <c r="G1940" s="121">
        <v>1560</v>
      </c>
    </row>
    <row r="1941" spans="5:12" x14ac:dyDescent="0.25">
      <c r="F1941" t="s">
        <v>583</v>
      </c>
      <c r="G1941" s="121">
        <v>2630</v>
      </c>
    </row>
    <row r="1942" spans="5:12" x14ac:dyDescent="0.25">
      <c r="F1942" t="s">
        <v>585</v>
      </c>
      <c r="G1942" s="121">
        <v>490</v>
      </c>
    </row>
    <row r="1943" spans="5:12" x14ac:dyDescent="0.25">
      <c r="F1943" t="s">
        <v>597</v>
      </c>
      <c r="G1943" s="138">
        <v>-100</v>
      </c>
    </row>
    <row r="1944" spans="5:12" x14ac:dyDescent="0.25">
      <c r="F1944" s="139" t="s">
        <v>272</v>
      </c>
      <c r="G1944" s="138">
        <v>-450</v>
      </c>
    </row>
    <row r="1945" spans="5:12" ht="15.75" x14ac:dyDescent="0.25">
      <c r="E1945" s="91">
        <v>46126</v>
      </c>
      <c r="F1945" t="s">
        <v>589</v>
      </c>
      <c r="G1945" s="121">
        <v>2280</v>
      </c>
      <c r="K1945" s="322" t="s">
        <v>570</v>
      </c>
      <c r="L1945" s="322"/>
    </row>
    <row r="1946" spans="5:12" x14ac:dyDescent="0.25">
      <c r="F1946" t="s">
        <v>593</v>
      </c>
      <c r="G1946" s="121">
        <v>6352</v>
      </c>
    </row>
    <row r="1947" spans="5:12" x14ac:dyDescent="0.25">
      <c r="F1947" s="139" t="s">
        <v>598</v>
      </c>
      <c r="G1947" s="138">
        <v>-2975</v>
      </c>
      <c r="K1947" s="150" t="s">
        <v>595</v>
      </c>
      <c r="L1947" s="151">
        <v>46777.77</v>
      </c>
    </row>
    <row r="1948" spans="5:12" x14ac:dyDescent="0.25">
      <c r="F1948" s="139" t="s">
        <v>604</v>
      </c>
      <c r="G1948" s="138">
        <v>-4200</v>
      </c>
      <c r="J1948" s="187">
        <v>46126</v>
      </c>
      <c r="K1948" s="139" t="s">
        <v>599</v>
      </c>
      <c r="L1948" s="139">
        <v>-1760</v>
      </c>
    </row>
    <row r="1949" spans="5:12" x14ac:dyDescent="0.25">
      <c r="F1949" s="139" t="s">
        <v>250</v>
      </c>
      <c r="G1949" s="138">
        <v>-391.5</v>
      </c>
      <c r="K1949" s="139" t="s">
        <v>598</v>
      </c>
      <c r="L1949" s="139">
        <v>-2975</v>
      </c>
    </row>
    <row r="1950" spans="5:12" x14ac:dyDescent="0.25">
      <c r="F1950" s="163" t="s">
        <v>605</v>
      </c>
      <c r="G1950" s="164">
        <v>440</v>
      </c>
      <c r="J1950" s="187">
        <v>46128</v>
      </c>
      <c r="K1950" s="139" t="s">
        <v>614</v>
      </c>
      <c r="L1950" s="139">
        <v>-2042.7</v>
      </c>
    </row>
    <row r="1951" spans="5:12" x14ac:dyDescent="0.25">
      <c r="E1951" s="91">
        <v>46128</v>
      </c>
      <c r="F1951" s="163" t="s">
        <v>357</v>
      </c>
      <c r="G1951" s="164">
        <v>2139.5</v>
      </c>
    </row>
    <row r="1952" spans="5:12" x14ac:dyDescent="0.25">
      <c r="F1952" s="139" t="s">
        <v>398</v>
      </c>
      <c r="G1952" s="138">
        <v>-20</v>
      </c>
      <c r="L1952" s="193">
        <f>SUM(L1947:L1951)</f>
        <v>40000.07</v>
      </c>
    </row>
    <row r="1953" spans="5:8" x14ac:dyDescent="0.25">
      <c r="F1953" s="139"/>
      <c r="G1953" s="138"/>
    </row>
    <row r="1954" spans="5:8" ht="15.75" x14ac:dyDescent="0.25">
      <c r="F1954" s="132" t="s">
        <v>236</v>
      </c>
      <c r="G1954" s="133">
        <f>SUM(G1937:G1953)</f>
        <v>18068.86</v>
      </c>
    </row>
    <row r="1956" spans="5:8" x14ac:dyDescent="0.25">
      <c r="H1956" s="176"/>
    </row>
    <row r="1957" spans="5:8" x14ac:dyDescent="0.25">
      <c r="G1957">
        <v>-11.9</v>
      </c>
    </row>
    <row r="1959" spans="5:8" x14ac:dyDescent="0.25">
      <c r="F1959" s="39"/>
      <c r="G1959" s="157">
        <f>SUM(G1954:G1958)</f>
        <v>18056.96</v>
      </c>
    </row>
    <row r="1963" spans="5:8" x14ac:dyDescent="0.25">
      <c r="E1963" s="91"/>
    </row>
    <row r="1964" spans="5:8" ht="15.75" x14ac:dyDescent="0.25">
      <c r="E1964" s="91"/>
      <c r="F1964" s="166" t="s">
        <v>429</v>
      </c>
      <c r="G1964" s="131">
        <v>52758.75</v>
      </c>
    </row>
    <row r="1965" spans="5:8" x14ac:dyDescent="0.25">
      <c r="E1965" s="91"/>
      <c r="F1965" s="78" t="s">
        <v>586</v>
      </c>
      <c r="G1965" s="78">
        <v>2610</v>
      </c>
    </row>
    <row r="1966" spans="5:8" x14ac:dyDescent="0.25">
      <c r="E1966" s="91"/>
      <c r="F1966" s="177" t="s">
        <v>592</v>
      </c>
      <c r="G1966" s="188">
        <v>-6352</v>
      </c>
    </row>
    <row r="1967" spans="5:8" x14ac:dyDescent="0.25">
      <c r="E1967" s="91"/>
      <c r="F1967" s="177" t="s">
        <v>22</v>
      </c>
      <c r="G1967" s="78">
        <v>1126</v>
      </c>
    </row>
    <row r="1968" spans="5:8" x14ac:dyDescent="0.25">
      <c r="F1968" s="177" t="s">
        <v>587</v>
      </c>
      <c r="G1968" s="188">
        <v>-7200</v>
      </c>
    </row>
    <row r="1969" spans="5:13" x14ac:dyDescent="0.25">
      <c r="F1969" s="177" t="s">
        <v>22</v>
      </c>
      <c r="G1969" s="188">
        <v>-1126</v>
      </c>
    </row>
    <row r="1970" spans="5:13" ht="18.75" x14ac:dyDescent="0.3">
      <c r="E1970" s="91">
        <v>46127</v>
      </c>
      <c r="F1970" s="78" t="s">
        <v>594</v>
      </c>
      <c r="G1970" s="119">
        <v>-1760</v>
      </c>
      <c r="L1970" s="195" t="s">
        <v>148</v>
      </c>
    </row>
    <row r="1971" spans="5:13" x14ac:dyDescent="0.25">
      <c r="E1971" s="91"/>
      <c r="F1971" s="194" t="s">
        <v>606</v>
      </c>
      <c r="G1971" s="121">
        <v>4465</v>
      </c>
      <c r="K1971" s="78" t="s">
        <v>540</v>
      </c>
      <c r="L1971" s="166"/>
      <c r="M1971" s="167">
        <v>3120</v>
      </c>
    </row>
    <row r="1972" spans="5:13" x14ac:dyDescent="0.25">
      <c r="E1972" s="91"/>
      <c r="F1972" s="177" t="s">
        <v>535</v>
      </c>
      <c r="G1972" s="188">
        <v>-1.1000000000000001</v>
      </c>
      <c r="K1972" s="78" t="s">
        <v>611</v>
      </c>
      <c r="L1972" s="166"/>
      <c r="M1972" s="167">
        <v>2139.5</v>
      </c>
    </row>
    <row r="1973" spans="5:13" x14ac:dyDescent="0.25">
      <c r="E1973" s="91"/>
      <c r="F1973" s="139" t="s">
        <v>614</v>
      </c>
      <c r="G1973" s="188">
        <v>-2042.7</v>
      </c>
      <c r="J1973" s="180">
        <v>46087</v>
      </c>
      <c r="K1973" s="149" t="s">
        <v>613</v>
      </c>
      <c r="L1973" s="78" t="s">
        <v>209</v>
      </c>
      <c r="M1973" s="119">
        <v>4420</v>
      </c>
    </row>
    <row r="1974" spans="5:13" ht="15.75" x14ac:dyDescent="0.25">
      <c r="F1974" s="177" t="s">
        <v>615</v>
      </c>
      <c r="G1974" s="188">
        <v>-7840</v>
      </c>
      <c r="L1974" s="132" t="s">
        <v>612</v>
      </c>
      <c r="M1974" s="133">
        <f>SUM(M1971:M1973)</f>
        <v>9679.5</v>
      </c>
    </row>
    <row r="1975" spans="5:13" x14ac:dyDescent="0.25">
      <c r="F1975" s="177" t="s">
        <v>535</v>
      </c>
      <c r="G1975" s="188">
        <v>-0.2</v>
      </c>
    </row>
    <row r="1976" spans="5:13" x14ac:dyDescent="0.25">
      <c r="F1976" s="177"/>
      <c r="G1976" s="188">
        <v>-10</v>
      </c>
    </row>
    <row r="1977" spans="5:13" x14ac:dyDescent="0.25">
      <c r="F1977" s="78"/>
      <c r="G1977" s="119"/>
    </row>
    <row r="1978" spans="5:13" ht="15.75" x14ac:dyDescent="0.25">
      <c r="F1978" s="78" t="s">
        <v>596</v>
      </c>
      <c r="G1978" s="189">
        <f>SUM(G1964:G1977)</f>
        <v>34627.750000000007</v>
      </c>
    </row>
    <row r="1991" spans="5:13" ht="18.75" x14ac:dyDescent="0.3">
      <c r="E1991" s="314" t="s">
        <v>617</v>
      </c>
      <c r="F1991" s="315"/>
      <c r="G1991" s="315"/>
      <c r="H1991" s="315"/>
      <c r="I1991" s="315"/>
      <c r="J1991" s="315"/>
      <c r="K1991" s="315"/>
      <c r="L1991" s="315"/>
      <c r="M1991" s="315"/>
    </row>
    <row r="1992" spans="5:13" x14ac:dyDescent="0.25">
      <c r="E1992" s="78"/>
      <c r="F1992" s="78"/>
      <c r="G1992" s="78"/>
      <c r="H1992" s="78"/>
      <c r="I1992" s="78"/>
      <c r="J1992" s="78"/>
      <c r="K1992" s="78"/>
      <c r="L1992" s="78"/>
      <c r="M1992" s="78"/>
    </row>
    <row r="1993" spans="5:13" ht="15.75" x14ac:dyDescent="0.25">
      <c r="E1993" s="118" t="s">
        <v>223</v>
      </c>
      <c r="F1993" s="118" t="s">
        <v>206</v>
      </c>
      <c r="G1993" s="118" t="s">
        <v>207</v>
      </c>
      <c r="H1993" s="118" t="s">
        <v>218</v>
      </c>
      <c r="I1993" s="78"/>
      <c r="J1993" s="120" t="s">
        <v>6</v>
      </c>
      <c r="K1993" s="120" t="s">
        <v>217</v>
      </c>
      <c r="L1993" s="120" t="s">
        <v>207</v>
      </c>
      <c r="M1993" s="120" t="s">
        <v>218</v>
      </c>
    </row>
    <row r="1994" spans="5:13" x14ac:dyDescent="0.25">
      <c r="E1994" s="117"/>
      <c r="F1994" s="78" t="s">
        <v>459</v>
      </c>
      <c r="G1994" s="78" t="s">
        <v>556</v>
      </c>
      <c r="H1994" s="119">
        <v>10140</v>
      </c>
      <c r="I1994" s="175" t="s">
        <v>557</v>
      </c>
      <c r="J1994" s="117"/>
      <c r="K1994" s="78"/>
      <c r="L1994" s="78"/>
      <c r="M1994" s="119"/>
    </row>
    <row r="1995" spans="5:13" x14ac:dyDescent="0.25">
      <c r="E1995" s="117">
        <v>46087</v>
      </c>
      <c r="F1995" s="78" t="s">
        <v>148</v>
      </c>
      <c r="G1995" s="78" t="s">
        <v>209</v>
      </c>
      <c r="H1995" s="119">
        <v>420</v>
      </c>
      <c r="I1995" s="78"/>
      <c r="J1995" s="117">
        <v>46037</v>
      </c>
      <c r="K1995" s="149" t="s">
        <v>66</v>
      </c>
      <c r="L1995" s="78" t="s">
        <v>222</v>
      </c>
      <c r="M1995" s="119">
        <v>2120</v>
      </c>
    </row>
    <row r="1996" spans="5:13" ht="15.75" x14ac:dyDescent="0.25">
      <c r="E1996" s="117">
        <v>46087</v>
      </c>
      <c r="F1996" s="78" t="s">
        <v>214</v>
      </c>
      <c r="G1996" s="155" t="s">
        <v>211</v>
      </c>
      <c r="H1996" s="156">
        <v>3600</v>
      </c>
      <c r="I1996" s="78"/>
      <c r="J1996" s="181">
        <v>46120</v>
      </c>
      <c r="K1996" s="182" t="s">
        <v>520</v>
      </c>
      <c r="L1996" s="182"/>
      <c r="M1996" s="183">
        <v>5720.07</v>
      </c>
    </row>
    <row r="1997" spans="5:13" ht="15.75" x14ac:dyDescent="0.25">
      <c r="E1997" s="117"/>
      <c r="F1997" s="78" t="s">
        <v>401</v>
      </c>
      <c r="G1997" s="78" t="s">
        <v>402</v>
      </c>
      <c r="H1997" s="119">
        <v>2880</v>
      </c>
      <c r="I1997" s="119"/>
      <c r="J1997" s="184">
        <v>46123</v>
      </c>
      <c r="K1997" s="185" t="s">
        <v>405</v>
      </c>
      <c r="L1997" s="185"/>
      <c r="M1997" s="140">
        <v>2450</v>
      </c>
    </row>
    <row r="1998" spans="5:13" ht="15.75" x14ac:dyDescent="0.25">
      <c r="E1998" s="78"/>
      <c r="F1998" s="166" t="s">
        <v>429</v>
      </c>
      <c r="G1998" s="166"/>
      <c r="H1998" s="167">
        <v>4626</v>
      </c>
      <c r="I1998" s="119"/>
      <c r="J1998" s="184">
        <v>46125</v>
      </c>
      <c r="K1998" s="185" t="s">
        <v>581</v>
      </c>
      <c r="L1998" s="185"/>
      <c r="M1998" s="140">
        <v>2820</v>
      </c>
    </row>
    <row r="1999" spans="5:13" ht="15.75" x14ac:dyDescent="0.25">
      <c r="E1999" s="78"/>
      <c r="F1999" s="78" t="s">
        <v>502</v>
      </c>
      <c r="G1999" s="166"/>
      <c r="H1999" s="167">
        <v>2600</v>
      </c>
      <c r="I1999" s="78"/>
      <c r="J1999" s="184">
        <v>46127</v>
      </c>
      <c r="K1999" s="185" t="s">
        <v>405</v>
      </c>
      <c r="L1999" s="185"/>
      <c r="M1999" s="140">
        <v>2450</v>
      </c>
    </row>
    <row r="2000" spans="5:13" ht="15.75" x14ac:dyDescent="0.25">
      <c r="E2000" s="117">
        <v>46121</v>
      </c>
      <c r="F2000" s="78" t="s">
        <v>540</v>
      </c>
      <c r="G2000" s="166"/>
      <c r="H2000" s="167">
        <v>3120</v>
      </c>
      <c r="I2000" s="78"/>
      <c r="J2000" s="184">
        <v>46128</v>
      </c>
      <c r="K2000" s="185" t="s">
        <v>461</v>
      </c>
      <c r="L2000" s="185"/>
      <c r="M2000" s="140">
        <v>2350</v>
      </c>
    </row>
    <row r="2001" spans="5:13" ht="15.75" x14ac:dyDescent="0.25">
      <c r="E2001" s="117"/>
      <c r="F2001" s="78" t="s">
        <v>590</v>
      </c>
      <c r="G2001" s="166"/>
      <c r="H2001" s="167">
        <v>3520</v>
      </c>
      <c r="I2001" s="78"/>
      <c r="J2001" s="184">
        <v>46128</v>
      </c>
      <c r="K2001" s="185" t="s">
        <v>588</v>
      </c>
      <c r="L2001" s="185"/>
      <c r="M2001" s="140">
        <v>2100</v>
      </c>
    </row>
    <row r="2002" spans="5:13" ht="15.75" x14ac:dyDescent="0.25">
      <c r="E2002" s="117"/>
      <c r="F2002" s="78" t="s">
        <v>591</v>
      </c>
      <c r="G2002" s="166"/>
      <c r="H2002" s="167">
        <v>2200</v>
      </c>
      <c r="J2002" s="184">
        <v>46129</v>
      </c>
      <c r="K2002" s="185" t="s">
        <v>621</v>
      </c>
      <c r="L2002" s="185"/>
      <c r="M2002" s="140">
        <v>2000</v>
      </c>
    </row>
    <row r="2003" spans="5:13" x14ac:dyDescent="0.25">
      <c r="E2003" s="117">
        <v>46128</v>
      </c>
      <c r="F2003" s="78" t="s">
        <v>611</v>
      </c>
      <c r="G2003" s="166"/>
      <c r="H2003" s="167">
        <v>2550</v>
      </c>
      <c r="J2003" s="78"/>
      <c r="K2003" s="78"/>
      <c r="L2003" s="78"/>
      <c r="M2003" s="119"/>
    </row>
    <row r="2004" spans="5:13" ht="18.75" x14ac:dyDescent="0.3">
      <c r="E2004" s="117"/>
      <c r="F2004" s="78" t="s">
        <v>616</v>
      </c>
      <c r="G2004" s="166"/>
      <c r="H2004" s="167">
        <v>580</v>
      </c>
      <c r="J2004" s="78"/>
      <c r="K2004" s="126" t="s">
        <v>226</v>
      </c>
      <c r="L2004" s="126"/>
      <c r="M2004" s="127">
        <f>SUM(M1994:M2003)</f>
        <v>22010.07</v>
      </c>
    </row>
    <row r="2005" spans="5:13" x14ac:dyDescent="0.25">
      <c r="E2005" s="117"/>
      <c r="F2005" s="78"/>
      <c r="G2005" s="166"/>
      <c r="H2005" s="167"/>
    </row>
    <row r="2006" spans="5:13" x14ac:dyDescent="0.25">
      <c r="E2006" s="78"/>
      <c r="F2006" s="78"/>
      <c r="G2006" s="78"/>
      <c r="H2006" s="119"/>
    </row>
    <row r="2007" spans="5:13" x14ac:dyDescent="0.25">
      <c r="E2007" s="78"/>
      <c r="F2007" s="78"/>
      <c r="G2007" s="78"/>
      <c r="H2007" s="122">
        <f>SUM(H1994:H2006)</f>
        <v>36236</v>
      </c>
      <c r="L2007" s="121"/>
    </row>
    <row r="2008" spans="5:13" x14ac:dyDescent="0.25">
      <c r="H2008" s="157"/>
      <c r="L2008" s="121"/>
    </row>
    <row r="2009" spans="5:13" x14ac:dyDescent="0.25">
      <c r="G2009" s="101" t="s">
        <v>224</v>
      </c>
      <c r="H2009" s="101">
        <v>43886.67</v>
      </c>
    </row>
    <row r="2010" spans="5:13" ht="15.75" x14ac:dyDescent="0.25">
      <c r="J2010" s="316" t="s">
        <v>227</v>
      </c>
      <c r="K2010" s="317"/>
      <c r="L2010" s="140">
        <f>H2012-M2004</f>
        <v>58112.6</v>
      </c>
    </row>
    <row r="2011" spans="5:13" ht="15.75" x14ac:dyDescent="0.25">
      <c r="E2011" s="121"/>
      <c r="L2011" s="89"/>
    </row>
    <row r="2012" spans="5:13" ht="18.75" x14ac:dyDescent="0.3">
      <c r="G2012" s="99" t="s">
        <v>225</v>
      </c>
      <c r="H2012" s="125">
        <f>SUM(H2007+H2009)</f>
        <v>80122.67</v>
      </c>
      <c r="J2012" s="128" t="s">
        <v>285</v>
      </c>
      <c r="L2012" s="124">
        <f>G2043</f>
        <v>24134.86</v>
      </c>
    </row>
    <row r="2013" spans="5:13" x14ac:dyDescent="0.25">
      <c r="E2013" s="121"/>
    </row>
    <row r="2014" spans="5:13" ht="18.75" x14ac:dyDescent="0.3">
      <c r="E2014" s="121"/>
      <c r="K2014" s="158" t="s">
        <v>286</v>
      </c>
      <c r="L2014" s="137">
        <f>SUM(L2010:L2012)</f>
        <v>82247.459999999992</v>
      </c>
    </row>
    <row r="2015" spans="5:13" x14ac:dyDescent="0.25">
      <c r="L2015" s="157">
        <v>81146.210000000006</v>
      </c>
      <c r="M2015" s="39" t="s">
        <v>76</v>
      </c>
    </row>
    <row r="2017" spans="5:12" ht="18.75" x14ac:dyDescent="0.3">
      <c r="L2017" s="154">
        <f>L2014-L2015</f>
        <v>1101.2499999999854</v>
      </c>
    </row>
    <row r="2018" spans="5:12" ht="18.75" x14ac:dyDescent="0.3">
      <c r="L2018" s="125"/>
    </row>
    <row r="2019" spans="5:12" ht="18.75" x14ac:dyDescent="0.3">
      <c r="L2019" s="125"/>
    </row>
    <row r="2020" spans="5:12" x14ac:dyDescent="0.25">
      <c r="E2020" s="91"/>
    </row>
    <row r="2021" spans="5:12" ht="15.75" x14ac:dyDescent="0.25">
      <c r="F2021" s="132" t="s">
        <v>235</v>
      </c>
      <c r="G2021" s="133">
        <v>5929.86</v>
      </c>
    </row>
    <row r="2022" spans="5:12" x14ac:dyDescent="0.25">
      <c r="E2022" s="91">
        <v>46125</v>
      </c>
      <c r="F2022" t="s">
        <v>357</v>
      </c>
      <c r="G2022" s="121">
        <v>1744</v>
      </c>
    </row>
    <row r="2023" spans="5:12" x14ac:dyDescent="0.25">
      <c r="F2023" t="s">
        <v>580</v>
      </c>
      <c r="G2023" s="121">
        <v>2640</v>
      </c>
    </row>
    <row r="2024" spans="5:12" x14ac:dyDescent="0.25">
      <c r="F2024" t="s">
        <v>582</v>
      </c>
      <c r="G2024" s="121">
        <v>1560</v>
      </c>
    </row>
    <row r="2025" spans="5:12" x14ac:dyDescent="0.25">
      <c r="F2025" t="s">
        <v>583</v>
      </c>
      <c r="G2025" s="121">
        <v>2630</v>
      </c>
    </row>
    <row r="2026" spans="5:12" x14ac:dyDescent="0.25">
      <c r="F2026" t="s">
        <v>585</v>
      </c>
      <c r="G2026" s="121">
        <v>490</v>
      </c>
    </row>
    <row r="2027" spans="5:12" x14ac:dyDescent="0.25">
      <c r="F2027" t="s">
        <v>597</v>
      </c>
      <c r="G2027" s="138">
        <v>-100</v>
      </c>
    </row>
    <row r="2028" spans="5:12" x14ac:dyDescent="0.25">
      <c r="F2028" s="139" t="s">
        <v>272</v>
      </c>
      <c r="G2028" s="138">
        <v>-450</v>
      </c>
    </row>
    <row r="2029" spans="5:12" ht="15.75" x14ac:dyDescent="0.25">
      <c r="E2029" s="91">
        <v>46126</v>
      </c>
      <c r="F2029" t="s">
        <v>589</v>
      </c>
      <c r="G2029" s="121">
        <v>2280</v>
      </c>
      <c r="K2029" s="322" t="s">
        <v>570</v>
      </c>
      <c r="L2029" s="322"/>
    </row>
    <row r="2030" spans="5:12" x14ac:dyDescent="0.25">
      <c r="F2030" t="s">
        <v>593</v>
      </c>
      <c r="G2030" s="121">
        <v>6352</v>
      </c>
    </row>
    <row r="2031" spans="5:12" x14ac:dyDescent="0.25">
      <c r="F2031" s="139" t="s">
        <v>598</v>
      </c>
      <c r="G2031" s="138">
        <v>-2975</v>
      </c>
      <c r="K2031" s="150" t="s">
        <v>595</v>
      </c>
      <c r="L2031" s="151">
        <v>46777.77</v>
      </c>
    </row>
    <row r="2032" spans="5:12" x14ac:dyDescent="0.25">
      <c r="F2032" s="139" t="s">
        <v>604</v>
      </c>
      <c r="G2032" s="138">
        <v>-4200</v>
      </c>
      <c r="J2032" s="187">
        <v>46126</v>
      </c>
      <c r="K2032" s="139" t="s">
        <v>599</v>
      </c>
      <c r="L2032" s="139">
        <v>-1760</v>
      </c>
    </row>
    <row r="2033" spans="5:12" x14ac:dyDescent="0.25">
      <c r="F2033" s="139" t="s">
        <v>250</v>
      </c>
      <c r="G2033" s="138">
        <v>-391.5</v>
      </c>
      <c r="K2033" s="139" t="s">
        <v>598</v>
      </c>
      <c r="L2033" s="139">
        <v>-2975</v>
      </c>
    </row>
    <row r="2034" spans="5:12" x14ac:dyDescent="0.25">
      <c r="F2034" s="163" t="s">
        <v>605</v>
      </c>
      <c r="G2034" s="164">
        <v>440</v>
      </c>
      <c r="J2034" s="187">
        <v>46128</v>
      </c>
      <c r="K2034" s="139" t="s">
        <v>614</v>
      </c>
      <c r="L2034" s="139">
        <v>-2042.7</v>
      </c>
    </row>
    <row r="2035" spans="5:12" x14ac:dyDescent="0.25">
      <c r="E2035" s="91">
        <v>46128</v>
      </c>
      <c r="F2035" s="163" t="s">
        <v>357</v>
      </c>
      <c r="G2035" s="164">
        <v>2139.5</v>
      </c>
      <c r="J2035" s="187"/>
      <c r="K2035" s="139" t="s">
        <v>619</v>
      </c>
      <c r="L2035" s="139">
        <v>-4280</v>
      </c>
    </row>
    <row r="2036" spans="5:12" x14ac:dyDescent="0.25">
      <c r="F2036" s="139" t="s">
        <v>398</v>
      </c>
      <c r="G2036" s="138">
        <v>-20</v>
      </c>
      <c r="J2036" s="187"/>
      <c r="K2036" s="139" t="s">
        <v>623</v>
      </c>
      <c r="L2036" s="139">
        <v>-30000</v>
      </c>
    </row>
    <row r="2037" spans="5:12" x14ac:dyDescent="0.25">
      <c r="E2037" s="187">
        <v>46129</v>
      </c>
      <c r="F2037" s="139" t="s">
        <v>618</v>
      </c>
      <c r="G2037" s="138">
        <v>-1350</v>
      </c>
    </row>
    <row r="2038" spans="5:12" x14ac:dyDescent="0.25">
      <c r="F2038" s="71" t="s">
        <v>620</v>
      </c>
      <c r="G2038" s="186">
        <v>262</v>
      </c>
      <c r="L2038" s="193">
        <f>SUM(L2031:L2037)</f>
        <v>5720.07</v>
      </c>
    </row>
    <row r="2039" spans="5:12" x14ac:dyDescent="0.25">
      <c r="F2039" s="71" t="s">
        <v>622</v>
      </c>
      <c r="G2039" s="186">
        <v>150</v>
      </c>
    </row>
    <row r="2040" spans="5:12" x14ac:dyDescent="0.25">
      <c r="F2040" s="163" t="s">
        <v>357</v>
      </c>
      <c r="G2040" s="138">
        <v>3004</v>
      </c>
      <c r="H2040" s="176"/>
    </row>
    <row r="2041" spans="5:12" x14ac:dyDescent="0.25">
      <c r="F2041" s="163" t="s">
        <v>627</v>
      </c>
      <c r="G2041" s="138">
        <v>4000</v>
      </c>
    </row>
    <row r="2042" spans="5:12" x14ac:dyDescent="0.25">
      <c r="F2042" s="139"/>
      <c r="G2042" s="138"/>
    </row>
    <row r="2043" spans="5:12" ht="15.75" x14ac:dyDescent="0.25">
      <c r="F2043" s="132" t="s">
        <v>236</v>
      </c>
      <c r="G2043" s="133">
        <f>SUM(G2021:G2042)</f>
        <v>24134.86</v>
      </c>
    </row>
    <row r="2046" spans="5:12" x14ac:dyDescent="0.25">
      <c r="G2046">
        <v>-11.9</v>
      </c>
    </row>
    <row r="2048" spans="5:12" x14ac:dyDescent="0.25">
      <c r="F2048" s="39"/>
      <c r="G2048" s="157">
        <f>SUM(G2043:G2047)</f>
        <v>24122.959999999999</v>
      </c>
    </row>
    <row r="2052" spans="5:7" x14ac:dyDescent="0.25">
      <c r="E2052" s="91"/>
    </row>
    <row r="2053" spans="5:7" ht="15.75" x14ac:dyDescent="0.25">
      <c r="E2053" s="91"/>
      <c r="F2053" s="166" t="s">
        <v>429</v>
      </c>
      <c r="G2053" s="131">
        <v>52758.75</v>
      </c>
    </row>
    <row r="2054" spans="5:7" x14ac:dyDescent="0.25">
      <c r="E2054" s="91"/>
      <c r="F2054" s="78" t="s">
        <v>586</v>
      </c>
      <c r="G2054" s="78">
        <v>2610</v>
      </c>
    </row>
    <row r="2055" spans="5:7" x14ac:dyDescent="0.25">
      <c r="E2055" s="91"/>
      <c r="F2055" s="177" t="s">
        <v>592</v>
      </c>
      <c r="G2055" s="188">
        <v>-6352</v>
      </c>
    </row>
    <row r="2056" spans="5:7" x14ac:dyDescent="0.25">
      <c r="E2056" s="91"/>
      <c r="F2056" s="177" t="s">
        <v>22</v>
      </c>
      <c r="G2056" s="78">
        <v>1126</v>
      </c>
    </row>
    <row r="2057" spans="5:7" x14ac:dyDescent="0.25">
      <c r="F2057" s="177" t="s">
        <v>587</v>
      </c>
      <c r="G2057" s="188">
        <v>-7200</v>
      </c>
    </row>
    <row r="2058" spans="5:7" x14ac:dyDescent="0.25">
      <c r="F2058" s="177" t="s">
        <v>22</v>
      </c>
      <c r="G2058" s="188">
        <v>-1126</v>
      </c>
    </row>
    <row r="2059" spans="5:7" x14ac:dyDescent="0.25">
      <c r="E2059" s="91">
        <v>46127</v>
      </c>
      <c r="F2059" s="78" t="s">
        <v>594</v>
      </c>
      <c r="G2059" s="119">
        <v>-1760</v>
      </c>
    </row>
    <row r="2060" spans="5:7" x14ac:dyDescent="0.25">
      <c r="E2060" s="91"/>
      <c r="F2060" s="194" t="s">
        <v>606</v>
      </c>
      <c r="G2060" s="121">
        <v>4465</v>
      </c>
    </row>
    <row r="2061" spans="5:7" x14ac:dyDescent="0.25">
      <c r="E2061" s="91"/>
      <c r="F2061" s="177" t="s">
        <v>535</v>
      </c>
      <c r="G2061" s="188">
        <v>-1.1000000000000001</v>
      </c>
    </row>
    <row r="2062" spans="5:7" x14ac:dyDescent="0.25">
      <c r="E2062" s="91"/>
      <c r="F2062" s="139" t="s">
        <v>614</v>
      </c>
      <c r="G2062" s="188">
        <v>-2042.7</v>
      </c>
    </row>
    <row r="2063" spans="5:7" x14ac:dyDescent="0.25">
      <c r="F2063" s="177" t="s">
        <v>615</v>
      </c>
      <c r="G2063" s="188">
        <v>-7840</v>
      </c>
    </row>
    <row r="2064" spans="5:7" x14ac:dyDescent="0.25">
      <c r="F2064" s="177" t="s">
        <v>535</v>
      </c>
      <c r="G2064" s="188">
        <v>-0.2</v>
      </c>
    </row>
    <row r="2065" spans="5:7" x14ac:dyDescent="0.25">
      <c r="E2065" s="91">
        <v>46127</v>
      </c>
      <c r="F2065" s="177" t="s">
        <v>552</v>
      </c>
      <c r="G2065" s="188">
        <v>-10</v>
      </c>
    </row>
    <row r="2066" spans="5:7" x14ac:dyDescent="0.25">
      <c r="E2066" s="91">
        <v>46128</v>
      </c>
      <c r="F2066" s="177" t="s">
        <v>535</v>
      </c>
      <c r="G2066" s="188">
        <v>-0.45</v>
      </c>
    </row>
    <row r="2067" spans="5:7" x14ac:dyDescent="0.25">
      <c r="E2067" s="91">
        <v>46129</v>
      </c>
      <c r="F2067" s="177" t="s">
        <v>535</v>
      </c>
      <c r="G2067" s="188">
        <v>-1.3</v>
      </c>
    </row>
    <row r="2068" spans="5:7" x14ac:dyDescent="0.25">
      <c r="F2068" s="177" t="s">
        <v>623</v>
      </c>
      <c r="G2068" s="188">
        <v>-30000</v>
      </c>
    </row>
    <row r="2069" spans="5:7" x14ac:dyDescent="0.25">
      <c r="F2069" s="78"/>
      <c r="G2069" s="119"/>
    </row>
    <row r="2070" spans="5:7" ht="15.75" x14ac:dyDescent="0.25">
      <c r="F2070" s="78" t="s">
        <v>596</v>
      </c>
      <c r="G2070" s="189">
        <f>SUM(G2053:G2069)</f>
        <v>4626.0000000000073</v>
      </c>
    </row>
    <row r="2082" spans="5:13" ht="18.75" x14ac:dyDescent="0.3">
      <c r="E2082" s="314" t="s">
        <v>628</v>
      </c>
      <c r="F2082" s="315"/>
      <c r="G2082" s="315"/>
      <c r="H2082" s="315"/>
      <c r="I2082" s="315"/>
      <c r="J2082" s="315"/>
      <c r="K2082" s="315"/>
      <c r="L2082" s="315"/>
      <c r="M2082" s="315"/>
    </row>
    <row r="2083" spans="5:13" x14ac:dyDescent="0.25">
      <c r="E2083" s="78"/>
      <c r="F2083" s="78"/>
      <c r="G2083" s="78"/>
      <c r="H2083" s="78"/>
      <c r="I2083" s="78"/>
      <c r="J2083" s="78"/>
      <c r="K2083" s="78"/>
      <c r="L2083" s="78"/>
      <c r="M2083" s="78"/>
    </row>
    <row r="2084" spans="5:13" ht="15.75" x14ac:dyDescent="0.25">
      <c r="E2084" s="118" t="s">
        <v>223</v>
      </c>
      <c r="F2084" s="118" t="s">
        <v>206</v>
      </c>
      <c r="G2084" s="118" t="s">
        <v>207</v>
      </c>
      <c r="H2084" s="118" t="s">
        <v>218</v>
      </c>
      <c r="I2084" s="78"/>
      <c r="J2084" s="120" t="s">
        <v>6</v>
      </c>
      <c r="K2084" s="120" t="s">
        <v>217</v>
      </c>
      <c r="L2084" s="120" t="s">
        <v>207</v>
      </c>
      <c r="M2084" s="120" t="s">
        <v>218</v>
      </c>
    </row>
    <row r="2085" spans="5:13" x14ac:dyDescent="0.25">
      <c r="E2085" s="117"/>
      <c r="F2085" s="78" t="s">
        <v>459</v>
      </c>
      <c r="G2085" s="78" t="s">
        <v>556</v>
      </c>
      <c r="H2085" s="119">
        <v>10140</v>
      </c>
      <c r="I2085" s="175" t="s">
        <v>557</v>
      </c>
      <c r="J2085" s="117"/>
      <c r="K2085" s="78"/>
      <c r="L2085" s="78"/>
      <c r="M2085" s="119"/>
    </row>
    <row r="2086" spans="5:13" x14ac:dyDescent="0.25">
      <c r="E2086" s="117">
        <v>46087</v>
      </c>
      <c r="F2086" s="78" t="s">
        <v>148</v>
      </c>
      <c r="G2086" s="78" t="s">
        <v>209</v>
      </c>
      <c r="H2086" s="119">
        <v>420</v>
      </c>
      <c r="I2086" s="78"/>
      <c r="J2086" s="117">
        <v>46037</v>
      </c>
      <c r="K2086" s="149" t="s">
        <v>66</v>
      </c>
      <c r="L2086" s="78" t="s">
        <v>222</v>
      </c>
      <c r="M2086" s="119">
        <v>2120</v>
      </c>
    </row>
    <row r="2087" spans="5:13" ht="15.75" x14ac:dyDescent="0.25">
      <c r="E2087" s="117">
        <v>46087</v>
      </c>
      <c r="F2087" s="78" t="s">
        <v>214</v>
      </c>
      <c r="G2087" s="155" t="s">
        <v>211</v>
      </c>
      <c r="H2087" s="156">
        <v>3500</v>
      </c>
      <c r="I2087" s="78"/>
      <c r="J2087" s="181">
        <v>46120</v>
      </c>
      <c r="K2087" s="182" t="s">
        <v>520</v>
      </c>
      <c r="L2087" s="182"/>
      <c r="M2087" s="183">
        <v>3140.07</v>
      </c>
    </row>
    <row r="2088" spans="5:13" ht="15.75" x14ac:dyDescent="0.25">
      <c r="E2088" s="117"/>
      <c r="F2088" s="78" t="s">
        <v>401</v>
      </c>
      <c r="G2088" s="78" t="s">
        <v>402</v>
      </c>
      <c r="H2088" s="119">
        <v>2880</v>
      </c>
      <c r="I2088" s="119"/>
      <c r="J2088" s="184">
        <v>46123</v>
      </c>
      <c r="K2088" s="185" t="s">
        <v>405</v>
      </c>
      <c r="L2088" s="185"/>
      <c r="M2088" s="140">
        <v>2450</v>
      </c>
    </row>
    <row r="2089" spans="5:13" ht="15.75" x14ac:dyDescent="0.25">
      <c r="E2089" s="78"/>
      <c r="F2089" s="166" t="s">
        <v>429</v>
      </c>
      <c r="G2089" s="166"/>
      <c r="H2089" s="167">
        <v>2386</v>
      </c>
      <c r="I2089" s="119"/>
      <c r="J2089" s="184">
        <v>46125</v>
      </c>
      <c r="K2089" s="185" t="s">
        <v>581</v>
      </c>
      <c r="L2089" s="185"/>
      <c r="M2089" s="140">
        <v>2820</v>
      </c>
    </row>
    <row r="2090" spans="5:13" ht="15.75" x14ac:dyDescent="0.25">
      <c r="E2090" s="78"/>
      <c r="F2090" s="78" t="s">
        <v>502</v>
      </c>
      <c r="G2090" s="166"/>
      <c r="H2090" s="167">
        <v>2600</v>
      </c>
      <c r="I2090" s="78"/>
      <c r="J2090" s="184">
        <v>46127</v>
      </c>
      <c r="K2090" s="185" t="s">
        <v>405</v>
      </c>
      <c r="L2090" s="185"/>
      <c r="M2090" s="140">
        <v>2450</v>
      </c>
    </row>
    <row r="2091" spans="5:13" ht="15.75" x14ac:dyDescent="0.25">
      <c r="E2091" s="117">
        <v>46121</v>
      </c>
      <c r="F2091" s="78" t="s">
        <v>540</v>
      </c>
      <c r="G2091" s="166"/>
      <c r="H2091" s="167">
        <v>3120</v>
      </c>
      <c r="I2091" s="78"/>
      <c r="J2091" s="184">
        <v>46128</v>
      </c>
      <c r="K2091" s="185" t="s">
        <v>461</v>
      </c>
      <c r="L2091" s="185"/>
      <c r="M2091" s="140">
        <v>2350</v>
      </c>
    </row>
    <row r="2092" spans="5:13" ht="15.75" x14ac:dyDescent="0.25">
      <c r="E2092" s="117"/>
      <c r="F2092" s="78" t="s">
        <v>590</v>
      </c>
      <c r="G2092" s="166"/>
      <c r="H2092" s="167">
        <v>3520</v>
      </c>
      <c r="I2092" s="78"/>
      <c r="J2092" s="184">
        <v>46128</v>
      </c>
      <c r="K2092" s="185" t="s">
        <v>588</v>
      </c>
      <c r="L2092" s="185"/>
      <c r="M2092" s="140">
        <v>2100</v>
      </c>
    </row>
    <row r="2093" spans="5:13" ht="15.75" x14ac:dyDescent="0.25">
      <c r="E2093" s="117"/>
      <c r="F2093" s="78" t="s">
        <v>591</v>
      </c>
      <c r="G2093" s="166"/>
      <c r="H2093" s="167">
        <v>2200</v>
      </c>
      <c r="J2093" s="184">
        <v>46129</v>
      </c>
      <c r="K2093" s="185" t="s">
        <v>621</v>
      </c>
      <c r="L2093" s="185"/>
      <c r="M2093" s="140">
        <v>2000</v>
      </c>
    </row>
    <row r="2094" spans="5:13" ht="15.75" x14ac:dyDescent="0.25">
      <c r="E2094" s="117">
        <v>46128</v>
      </c>
      <c r="F2094" s="78" t="s">
        <v>611</v>
      </c>
      <c r="G2094" s="166"/>
      <c r="H2094" s="167">
        <v>2550</v>
      </c>
      <c r="J2094" s="184">
        <v>46130</v>
      </c>
      <c r="K2094" s="185" t="s">
        <v>588</v>
      </c>
      <c r="L2094" s="185"/>
      <c r="M2094" s="140">
        <v>2100</v>
      </c>
    </row>
    <row r="2095" spans="5:13" x14ac:dyDescent="0.25">
      <c r="E2095" s="117"/>
      <c r="F2095" s="78" t="s">
        <v>616</v>
      </c>
      <c r="G2095" s="166"/>
      <c r="H2095" s="167">
        <v>580</v>
      </c>
      <c r="J2095" s="78"/>
      <c r="K2095" s="78"/>
      <c r="L2095" s="78"/>
      <c r="M2095" s="119"/>
    </row>
    <row r="2096" spans="5:13" ht="18.75" x14ac:dyDescent="0.3">
      <c r="E2096" s="117"/>
      <c r="F2096" s="78"/>
      <c r="G2096" s="166"/>
      <c r="H2096" s="167"/>
      <c r="J2096" s="78"/>
      <c r="K2096" s="126" t="s">
        <v>226</v>
      </c>
      <c r="L2096" s="126"/>
      <c r="M2096" s="127">
        <f>SUM(M2085:M2095)</f>
        <v>21530.07</v>
      </c>
    </row>
    <row r="2097" spans="5:13" x14ac:dyDescent="0.25">
      <c r="E2097" s="78"/>
      <c r="F2097" s="78"/>
      <c r="G2097" s="78"/>
      <c r="H2097" s="119"/>
    </row>
    <row r="2098" spans="5:13" x14ac:dyDescent="0.25">
      <c r="E2098" s="78"/>
      <c r="F2098" s="78"/>
      <c r="G2098" s="78"/>
      <c r="H2098" s="122">
        <f>SUM(H2085:H2097)</f>
        <v>33896</v>
      </c>
    </row>
    <row r="2099" spans="5:13" x14ac:dyDescent="0.25">
      <c r="H2099" s="157"/>
      <c r="L2099" s="121"/>
    </row>
    <row r="2100" spans="5:13" x14ac:dyDescent="0.25">
      <c r="G2100" s="101" t="s">
        <v>224</v>
      </c>
      <c r="H2100" s="101">
        <v>42271.37</v>
      </c>
      <c r="L2100" s="121"/>
    </row>
    <row r="2102" spans="5:13" ht="15.75" x14ac:dyDescent="0.25">
      <c r="E2102" s="121"/>
      <c r="J2102" s="316" t="s">
        <v>227</v>
      </c>
      <c r="K2102" s="317"/>
      <c r="L2102" s="140">
        <f>H2103-M2096</f>
        <v>54637.299999999996</v>
      </c>
    </row>
    <row r="2103" spans="5:13" ht="18.75" x14ac:dyDescent="0.3">
      <c r="G2103" s="99" t="s">
        <v>225</v>
      </c>
      <c r="H2103" s="125">
        <f>SUM(H2098+H2100)</f>
        <v>76167.37</v>
      </c>
      <c r="L2103" s="89"/>
    </row>
    <row r="2104" spans="5:13" ht="15.75" x14ac:dyDescent="0.25">
      <c r="E2104" s="121"/>
      <c r="J2104" s="128" t="s">
        <v>285</v>
      </c>
      <c r="L2104" s="124">
        <f>G2147</f>
        <v>27451.260000000002</v>
      </c>
    </row>
    <row r="2105" spans="5:13" x14ac:dyDescent="0.25">
      <c r="E2105" s="121"/>
    </row>
    <row r="2106" spans="5:13" ht="18.75" x14ac:dyDescent="0.3">
      <c r="K2106" s="158" t="s">
        <v>286</v>
      </c>
      <c r="L2106" s="137">
        <f>SUM(L2102:L2104)</f>
        <v>82088.56</v>
      </c>
    </row>
    <row r="2107" spans="5:13" x14ac:dyDescent="0.25">
      <c r="L2107" s="157">
        <v>82247.460000000006</v>
      </c>
      <c r="M2107" s="39" t="s">
        <v>76</v>
      </c>
    </row>
    <row r="2109" spans="5:13" ht="18.75" x14ac:dyDescent="0.3">
      <c r="L2109" s="154">
        <f>L2106-L2107</f>
        <v>-158.90000000000873</v>
      </c>
    </row>
    <row r="2110" spans="5:13" ht="18.75" x14ac:dyDescent="0.3">
      <c r="L2110" s="125"/>
    </row>
    <row r="2111" spans="5:13" ht="18.75" x14ac:dyDescent="0.3">
      <c r="E2111" s="91"/>
      <c r="L2111" s="125"/>
    </row>
    <row r="2112" spans="5:13" ht="15.75" x14ac:dyDescent="0.25">
      <c r="F2112" s="132" t="s">
        <v>235</v>
      </c>
      <c r="G2112" s="133">
        <v>5929.86</v>
      </c>
    </row>
    <row r="2113" spans="5:12" x14ac:dyDescent="0.25">
      <c r="E2113" s="91">
        <v>46125</v>
      </c>
      <c r="F2113" t="s">
        <v>357</v>
      </c>
      <c r="G2113" s="121">
        <v>1744</v>
      </c>
    </row>
    <row r="2114" spans="5:12" x14ac:dyDescent="0.25">
      <c r="F2114" t="s">
        <v>580</v>
      </c>
      <c r="G2114" s="121">
        <v>2640</v>
      </c>
    </row>
    <row r="2115" spans="5:12" x14ac:dyDescent="0.25">
      <c r="F2115" t="s">
        <v>582</v>
      </c>
      <c r="G2115" s="121">
        <v>1560</v>
      </c>
    </row>
    <row r="2116" spans="5:12" x14ac:dyDescent="0.25">
      <c r="F2116" t="s">
        <v>583</v>
      </c>
      <c r="G2116" s="121">
        <v>2630</v>
      </c>
    </row>
    <row r="2117" spans="5:12" x14ac:dyDescent="0.25">
      <c r="F2117" t="s">
        <v>585</v>
      </c>
      <c r="G2117" s="121">
        <v>490</v>
      </c>
    </row>
    <row r="2118" spans="5:12" x14ac:dyDescent="0.25">
      <c r="F2118" t="s">
        <v>597</v>
      </c>
      <c r="G2118" s="138">
        <v>-100</v>
      </c>
    </row>
    <row r="2119" spans="5:12" x14ac:dyDescent="0.25">
      <c r="F2119" s="139" t="s">
        <v>272</v>
      </c>
      <c r="G2119" s="138">
        <v>-450</v>
      </c>
    </row>
    <row r="2120" spans="5:12" x14ac:dyDescent="0.25">
      <c r="E2120" s="91">
        <v>46126</v>
      </c>
      <c r="F2120" t="s">
        <v>589</v>
      </c>
      <c r="G2120" s="121">
        <v>2280</v>
      </c>
    </row>
    <row r="2121" spans="5:12" ht="15.75" x14ac:dyDescent="0.25">
      <c r="F2121" t="s">
        <v>593</v>
      </c>
      <c r="G2121" s="121">
        <v>6352</v>
      </c>
      <c r="K2121" s="322" t="s">
        <v>570</v>
      </c>
      <c r="L2121" s="322"/>
    </row>
    <row r="2122" spans="5:12" x14ac:dyDescent="0.25">
      <c r="F2122" s="139" t="s">
        <v>598</v>
      </c>
      <c r="G2122" s="138">
        <v>-2975</v>
      </c>
    </row>
    <row r="2123" spans="5:12" x14ac:dyDescent="0.25">
      <c r="F2123" s="139" t="s">
        <v>604</v>
      </c>
      <c r="G2123" s="138">
        <v>-4200</v>
      </c>
      <c r="K2123" s="150" t="s">
        <v>595</v>
      </c>
      <c r="L2123" s="151">
        <v>46777.77</v>
      </c>
    </row>
    <row r="2124" spans="5:12" x14ac:dyDescent="0.25">
      <c r="F2124" s="139" t="s">
        <v>250</v>
      </c>
      <c r="G2124" s="138">
        <v>-391.5</v>
      </c>
      <c r="J2124" s="187">
        <v>46126</v>
      </c>
      <c r="K2124" s="139" t="s">
        <v>599</v>
      </c>
      <c r="L2124" s="139">
        <v>-1760</v>
      </c>
    </row>
    <row r="2125" spans="5:12" x14ac:dyDescent="0.25">
      <c r="F2125" s="163" t="s">
        <v>605</v>
      </c>
      <c r="G2125" s="164">
        <v>440</v>
      </c>
      <c r="K2125" s="139" t="s">
        <v>598</v>
      </c>
      <c r="L2125" s="139">
        <v>-2975</v>
      </c>
    </row>
    <row r="2126" spans="5:12" x14ac:dyDescent="0.25">
      <c r="E2126" s="91">
        <v>46128</v>
      </c>
      <c r="F2126" s="163" t="s">
        <v>357</v>
      </c>
      <c r="G2126" s="164">
        <v>2139.5</v>
      </c>
      <c r="J2126" s="187">
        <v>46128</v>
      </c>
      <c r="K2126" s="139" t="s">
        <v>614</v>
      </c>
      <c r="L2126" s="139">
        <v>-2042.7</v>
      </c>
    </row>
    <row r="2127" spans="5:12" x14ac:dyDescent="0.25">
      <c r="F2127" s="139" t="s">
        <v>398</v>
      </c>
      <c r="G2127" s="138">
        <v>-20</v>
      </c>
      <c r="J2127" s="187"/>
      <c r="K2127" s="139" t="s">
        <v>619</v>
      </c>
      <c r="L2127" s="139">
        <v>-4280</v>
      </c>
    </row>
    <row r="2128" spans="5:12" x14ac:dyDescent="0.25">
      <c r="E2128" s="187">
        <v>46129</v>
      </c>
      <c r="F2128" s="139" t="s">
        <v>618</v>
      </c>
      <c r="G2128" s="138">
        <v>-1350</v>
      </c>
      <c r="J2128" s="187"/>
      <c r="K2128" s="139" t="s">
        <v>623</v>
      </c>
      <c r="L2128" s="139">
        <v>-30000</v>
      </c>
    </row>
    <row r="2129" spans="5:12" x14ac:dyDescent="0.25">
      <c r="F2129" s="71" t="s">
        <v>620</v>
      </c>
      <c r="G2129" s="186">
        <v>262</v>
      </c>
      <c r="K2129" s="139" t="s">
        <v>640</v>
      </c>
      <c r="L2129" s="139">
        <v>-2080</v>
      </c>
    </row>
    <row r="2130" spans="5:12" x14ac:dyDescent="0.25">
      <c r="F2130" s="71" t="s">
        <v>622</v>
      </c>
      <c r="G2130" s="186">
        <v>150</v>
      </c>
      <c r="K2130" s="139" t="s">
        <v>623</v>
      </c>
      <c r="L2130" s="139">
        <v>-500</v>
      </c>
    </row>
    <row r="2131" spans="5:12" x14ac:dyDescent="0.25">
      <c r="F2131" s="163" t="s">
        <v>357</v>
      </c>
      <c r="G2131" s="138">
        <v>3004</v>
      </c>
      <c r="H2131" s="176"/>
    </row>
    <row r="2132" spans="5:12" x14ac:dyDescent="0.25">
      <c r="F2132" s="163" t="s">
        <v>627</v>
      </c>
      <c r="G2132" s="138">
        <v>4000</v>
      </c>
      <c r="L2132" s="193">
        <f>SUM(L2123:L2130)</f>
        <v>3140.0699999999997</v>
      </c>
    </row>
    <row r="2133" spans="5:12" x14ac:dyDescent="0.25">
      <c r="E2133" s="91">
        <v>46130</v>
      </c>
      <c r="F2133" s="163" t="s">
        <v>630</v>
      </c>
      <c r="G2133" s="164">
        <v>2520</v>
      </c>
    </row>
    <row r="2134" spans="5:12" x14ac:dyDescent="0.25">
      <c r="F2134" s="139" t="s">
        <v>631</v>
      </c>
      <c r="G2134" s="138">
        <v>-1015</v>
      </c>
    </row>
    <row r="2135" spans="5:12" x14ac:dyDescent="0.25">
      <c r="F2135" s="71" t="s">
        <v>632</v>
      </c>
      <c r="G2135" s="186">
        <v>1225</v>
      </c>
    </row>
    <row r="2136" spans="5:12" x14ac:dyDescent="0.25">
      <c r="F2136" s="139" t="s">
        <v>337</v>
      </c>
      <c r="G2136" s="138">
        <v>-150</v>
      </c>
    </row>
    <row r="2137" spans="5:12" x14ac:dyDescent="0.25">
      <c r="F2137" s="138" t="s">
        <v>634</v>
      </c>
      <c r="G2137" s="138">
        <v>-220</v>
      </c>
    </row>
    <row r="2138" spans="5:12" x14ac:dyDescent="0.25">
      <c r="F2138" s="139" t="s">
        <v>635</v>
      </c>
      <c r="G2138" s="138">
        <v>-175</v>
      </c>
    </row>
    <row r="2139" spans="5:12" x14ac:dyDescent="0.25">
      <c r="F2139" s="138" t="s">
        <v>636</v>
      </c>
      <c r="G2139" s="138">
        <v>-489</v>
      </c>
      <c r="I2139" s="121"/>
    </row>
    <row r="2140" spans="5:12" x14ac:dyDescent="0.25">
      <c r="F2140" s="138" t="s">
        <v>637</v>
      </c>
      <c r="G2140" s="138">
        <v>-323</v>
      </c>
    </row>
    <row r="2141" spans="5:12" x14ac:dyDescent="0.25">
      <c r="F2141" s="138" t="s">
        <v>638</v>
      </c>
      <c r="G2141" s="138">
        <v>-490</v>
      </c>
    </row>
    <row r="2142" spans="5:12" x14ac:dyDescent="0.25">
      <c r="F2142" s="186" t="s">
        <v>639</v>
      </c>
      <c r="G2142" s="186">
        <v>100</v>
      </c>
    </row>
    <row r="2143" spans="5:12" x14ac:dyDescent="0.25">
      <c r="F2143" s="186" t="s">
        <v>357</v>
      </c>
      <c r="G2143" s="186">
        <v>1829</v>
      </c>
    </row>
    <row r="2144" spans="5:12" x14ac:dyDescent="0.25">
      <c r="F2144" s="138" t="s">
        <v>519</v>
      </c>
      <c r="G2144" s="138">
        <v>-50</v>
      </c>
    </row>
    <row r="2145" spans="5:7" x14ac:dyDescent="0.25">
      <c r="F2145" s="186" t="s">
        <v>641</v>
      </c>
      <c r="G2145" s="186">
        <v>554.4</v>
      </c>
    </row>
    <row r="2146" spans="5:7" x14ac:dyDescent="0.25">
      <c r="F2146" s="139"/>
      <c r="G2146" s="138"/>
    </row>
    <row r="2147" spans="5:7" ht="15.75" x14ac:dyDescent="0.25">
      <c r="F2147" s="132" t="s">
        <v>236</v>
      </c>
      <c r="G2147" s="133">
        <f>SUM(G2112:G2146)</f>
        <v>27451.260000000002</v>
      </c>
    </row>
    <row r="2150" spans="5:7" x14ac:dyDescent="0.25">
      <c r="G2150">
        <v>-11.9</v>
      </c>
    </row>
    <row r="2152" spans="5:7" x14ac:dyDescent="0.25">
      <c r="E2152" s="91"/>
      <c r="F2152" s="39"/>
      <c r="G2152" s="157">
        <f>SUM(G2147:G2151)</f>
        <v>27439.360000000001</v>
      </c>
    </row>
    <row r="2153" spans="5:7" x14ac:dyDescent="0.25">
      <c r="E2153" s="91"/>
    </row>
    <row r="2154" spans="5:7" x14ac:dyDescent="0.25">
      <c r="E2154" s="91"/>
    </row>
    <row r="2155" spans="5:7" x14ac:dyDescent="0.25">
      <c r="E2155" s="91"/>
    </row>
    <row r="2156" spans="5:7" x14ac:dyDescent="0.25">
      <c r="E2156" s="91"/>
    </row>
    <row r="2157" spans="5:7" ht="15.75" x14ac:dyDescent="0.25">
      <c r="F2157" s="166" t="s">
        <v>429</v>
      </c>
      <c r="G2157" s="131">
        <v>52758.75</v>
      </c>
    </row>
    <row r="2158" spans="5:7" x14ac:dyDescent="0.25">
      <c r="F2158" s="78" t="s">
        <v>586</v>
      </c>
      <c r="G2158" s="78">
        <v>2610</v>
      </c>
    </row>
    <row r="2159" spans="5:7" x14ac:dyDescent="0.25">
      <c r="E2159" s="91">
        <v>46127</v>
      </c>
      <c r="F2159" s="177" t="s">
        <v>592</v>
      </c>
      <c r="G2159" s="188">
        <v>-6352</v>
      </c>
    </row>
    <row r="2160" spans="5:7" x14ac:dyDescent="0.25">
      <c r="E2160" s="91"/>
      <c r="F2160" s="177" t="s">
        <v>22</v>
      </c>
      <c r="G2160" s="78">
        <v>1126</v>
      </c>
    </row>
    <row r="2161" spans="5:7" x14ac:dyDescent="0.25">
      <c r="E2161" s="91"/>
      <c r="F2161" s="177" t="s">
        <v>587</v>
      </c>
      <c r="G2161" s="188">
        <v>-7200</v>
      </c>
    </row>
    <row r="2162" spans="5:7" x14ac:dyDescent="0.25">
      <c r="E2162" s="91"/>
      <c r="F2162" s="177" t="s">
        <v>22</v>
      </c>
      <c r="G2162" s="188">
        <v>-1126</v>
      </c>
    </row>
    <row r="2163" spans="5:7" x14ac:dyDescent="0.25">
      <c r="F2163" s="78" t="s">
        <v>594</v>
      </c>
      <c r="G2163" s="119">
        <v>-1760</v>
      </c>
    </row>
    <row r="2164" spans="5:7" x14ac:dyDescent="0.25">
      <c r="F2164" s="194" t="s">
        <v>606</v>
      </c>
      <c r="G2164" s="121">
        <v>4465</v>
      </c>
    </row>
    <row r="2165" spans="5:7" x14ac:dyDescent="0.25">
      <c r="E2165" s="91">
        <v>46127</v>
      </c>
      <c r="F2165" s="177" t="s">
        <v>535</v>
      </c>
      <c r="G2165" s="188">
        <v>-1.1000000000000001</v>
      </c>
    </row>
    <row r="2166" spans="5:7" x14ac:dyDescent="0.25">
      <c r="E2166" s="91">
        <v>46128</v>
      </c>
      <c r="F2166" s="139" t="s">
        <v>614</v>
      </c>
      <c r="G2166" s="188">
        <v>-2042.7</v>
      </c>
    </row>
    <row r="2167" spans="5:7" x14ac:dyDescent="0.25">
      <c r="E2167" s="91">
        <v>46129</v>
      </c>
      <c r="F2167" s="177" t="s">
        <v>615</v>
      </c>
      <c r="G2167" s="188">
        <v>-7840</v>
      </c>
    </row>
    <row r="2168" spans="5:7" x14ac:dyDescent="0.25">
      <c r="F2168" s="177" t="s">
        <v>535</v>
      </c>
      <c r="G2168" s="188">
        <v>-0.2</v>
      </c>
    </row>
    <row r="2169" spans="5:7" x14ac:dyDescent="0.25">
      <c r="F2169" s="177" t="s">
        <v>552</v>
      </c>
      <c r="G2169" s="188">
        <v>-10</v>
      </c>
    </row>
    <row r="2170" spans="5:7" x14ac:dyDescent="0.25">
      <c r="F2170" s="177" t="s">
        <v>535</v>
      </c>
      <c r="G2170" s="188">
        <v>-0.45</v>
      </c>
    </row>
    <row r="2171" spans="5:7" x14ac:dyDescent="0.25">
      <c r="F2171" s="177" t="s">
        <v>535</v>
      </c>
      <c r="G2171" s="188">
        <v>-1.3</v>
      </c>
    </row>
    <row r="2172" spans="5:7" x14ac:dyDescent="0.25">
      <c r="F2172" s="177" t="s">
        <v>623</v>
      </c>
      <c r="G2172" s="188">
        <v>-30000</v>
      </c>
    </row>
    <row r="2173" spans="5:7" x14ac:dyDescent="0.25">
      <c r="F2173" s="177" t="s">
        <v>629</v>
      </c>
      <c r="G2173" s="188">
        <v>-1740</v>
      </c>
    </row>
    <row r="2174" spans="5:7" x14ac:dyDescent="0.25">
      <c r="F2174" s="177" t="s">
        <v>497</v>
      </c>
      <c r="G2174" s="188">
        <v>-500</v>
      </c>
    </row>
    <row r="2175" spans="5:7" x14ac:dyDescent="0.25">
      <c r="F2175" s="177"/>
      <c r="G2175" s="188"/>
    </row>
    <row r="2176" spans="5:7" x14ac:dyDescent="0.25">
      <c r="F2176" s="78"/>
      <c r="G2176" s="119"/>
    </row>
    <row r="2177" spans="5:13" ht="15.75" x14ac:dyDescent="0.25">
      <c r="F2177" s="78" t="s">
        <v>596</v>
      </c>
      <c r="G2177" s="189">
        <f>SUM(G2157:G2176)</f>
        <v>2386.0000000000073</v>
      </c>
    </row>
    <row r="2190" spans="5:13" ht="18.75" x14ac:dyDescent="0.3">
      <c r="E2190" s="314" t="s">
        <v>646</v>
      </c>
      <c r="F2190" s="315"/>
      <c r="G2190" s="315"/>
      <c r="H2190" s="315"/>
      <c r="I2190" s="315"/>
      <c r="J2190" s="315"/>
      <c r="K2190" s="315"/>
      <c r="L2190" s="315"/>
      <c r="M2190" s="315"/>
    </row>
    <row r="2191" spans="5:13" x14ac:dyDescent="0.25">
      <c r="E2191" s="78"/>
      <c r="F2191" s="78"/>
      <c r="G2191" s="78"/>
      <c r="H2191" s="78"/>
      <c r="I2191" s="78"/>
      <c r="J2191" s="78"/>
      <c r="K2191" s="78"/>
      <c r="L2191" s="78"/>
      <c r="M2191" s="78"/>
    </row>
    <row r="2192" spans="5:13" ht="15.75" x14ac:dyDescent="0.25">
      <c r="E2192" s="118" t="s">
        <v>223</v>
      </c>
      <c r="F2192" s="118" t="s">
        <v>206</v>
      </c>
      <c r="G2192" s="118" t="s">
        <v>207</v>
      </c>
      <c r="H2192" s="118" t="s">
        <v>218</v>
      </c>
      <c r="I2192" s="78"/>
      <c r="J2192" s="120" t="s">
        <v>6</v>
      </c>
      <c r="K2192" s="120" t="s">
        <v>217</v>
      </c>
      <c r="L2192" s="120" t="s">
        <v>207</v>
      </c>
      <c r="M2192" s="120" t="s">
        <v>218</v>
      </c>
    </row>
    <row r="2193" spans="5:13" x14ac:dyDescent="0.25">
      <c r="E2193" s="117"/>
      <c r="F2193" s="78" t="s">
        <v>459</v>
      </c>
      <c r="G2193" s="78" t="s">
        <v>556</v>
      </c>
      <c r="H2193" s="119">
        <v>10140</v>
      </c>
      <c r="I2193" s="175" t="s">
        <v>557</v>
      </c>
      <c r="J2193" s="117"/>
      <c r="K2193" s="78"/>
      <c r="L2193" s="78"/>
      <c r="M2193" s="119"/>
    </row>
    <row r="2194" spans="5:13" x14ac:dyDescent="0.25">
      <c r="E2194" s="117">
        <v>46087</v>
      </c>
      <c r="F2194" s="78" t="s">
        <v>148</v>
      </c>
      <c r="G2194" s="78" t="s">
        <v>209</v>
      </c>
      <c r="H2194" s="119">
        <v>420</v>
      </c>
      <c r="I2194" s="78"/>
      <c r="J2194" s="117">
        <v>46037</v>
      </c>
      <c r="K2194" s="149" t="s">
        <v>66</v>
      </c>
      <c r="L2194" s="78" t="s">
        <v>222</v>
      </c>
      <c r="M2194" s="119">
        <v>2120</v>
      </c>
    </row>
    <row r="2195" spans="5:13" ht="15.75" x14ac:dyDescent="0.25">
      <c r="E2195" s="117">
        <v>46087</v>
      </c>
      <c r="F2195" s="78" t="s">
        <v>214</v>
      </c>
      <c r="G2195" s="155" t="s">
        <v>211</v>
      </c>
      <c r="H2195" s="156">
        <v>3500</v>
      </c>
      <c r="I2195" s="78"/>
      <c r="J2195" s="181">
        <v>46120</v>
      </c>
      <c r="K2195" s="182" t="s">
        <v>520</v>
      </c>
      <c r="L2195" s="182"/>
      <c r="M2195" s="183">
        <v>15120.07</v>
      </c>
    </row>
    <row r="2196" spans="5:13" ht="15.75" x14ac:dyDescent="0.25">
      <c r="E2196" s="117"/>
      <c r="F2196" s="78" t="s">
        <v>401</v>
      </c>
      <c r="G2196" s="78" t="s">
        <v>402</v>
      </c>
      <c r="H2196" s="119">
        <v>2880</v>
      </c>
      <c r="I2196" s="119"/>
      <c r="J2196" s="184">
        <v>46132</v>
      </c>
      <c r="K2196" s="185" t="s">
        <v>257</v>
      </c>
      <c r="L2196" s="185"/>
      <c r="M2196" s="140">
        <v>12520</v>
      </c>
    </row>
    <row r="2197" spans="5:13" ht="15.75" x14ac:dyDescent="0.25">
      <c r="E2197" s="78"/>
      <c r="F2197" s="166" t="s">
        <v>429</v>
      </c>
      <c r="G2197" s="166"/>
      <c r="H2197" s="167">
        <v>15061</v>
      </c>
      <c r="I2197" s="119"/>
      <c r="J2197" s="184">
        <v>46132</v>
      </c>
      <c r="K2197" s="185" t="s">
        <v>281</v>
      </c>
      <c r="L2197" s="185"/>
      <c r="M2197" s="140">
        <v>8200</v>
      </c>
    </row>
    <row r="2198" spans="5:13" ht="15.75" x14ac:dyDescent="0.25">
      <c r="E2198" s="78"/>
      <c r="F2198" s="78" t="s">
        <v>502</v>
      </c>
      <c r="G2198" s="166"/>
      <c r="H2198" s="167">
        <v>2600</v>
      </c>
      <c r="I2198" s="78"/>
      <c r="J2198" s="184"/>
      <c r="K2198" s="185"/>
      <c r="L2198" s="185"/>
      <c r="M2198" s="140"/>
    </row>
    <row r="2199" spans="5:13" x14ac:dyDescent="0.25">
      <c r="E2199" s="117">
        <v>46121</v>
      </c>
      <c r="F2199" s="78" t="s">
        <v>540</v>
      </c>
      <c r="G2199" s="166"/>
      <c r="H2199" s="167">
        <v>3120</v>
      </c>
      <c r="I2199" s="78"/>
      <c r="J2199" s="78"/>
      <c r="K2199" s="78"/>
      <c r="L2199" s="78"/>
      <c r="M2199" s="119"/>
    </row>
    <row r="2200" spans="5:13" ht="18.75" x14ac:dyDescent="0.3">
      <c r="E2200" s="117"/>
      <c r="F2200" s="78" t="s">
        <v>590</v>
      </c>
      <c r="G2200" s="166"/>
      <c r="H2200" s="167">
        <v>3520</v>
      </c>
      <c r="I2200" s="78"/>
      <c r="J2200" s="78"/>
      <c r="K2200" s="126" t="s">
        <v>226</v>
      </c>
      <c r="L2200" s="126"/>
      <c r="M2200" s="127">
        <f>SUM(M2193:M2199)</f>
        <v>37960.07</v>
      </c>
    </row>
    <row r="2201" spans="5:13" x14ac:dyDescent="0.25">
      <c r="E2201" s="117"/>
      <c r="F2201" s="78" t="s">
        <v>591</v>
      </c>
      <c r="G2201" s="166"/>
      <c r="H2201" s="167">
        <v>2200</v>
      </c>
    </row>
    <row r="2202" spans="5:13" x14ac:dyDescent="0.25">
      <c r="E2202" s="117">
        <v>46128</v>
      </c>
      <c r="F2202" s="78" t="s">
        <v>611</v>
      </c>
      <c r="G2202" s="166"/>
      <c r="H2202" s="167">
        <v>2550</v>
      </c>
      <c r="M2202" s="121"/>
    </row>
    <row r="2203" spans="5:13" x14ac:dyDescent="0.25">
      <c r="E2203" s="117"/>
      <c r="F2203" s="78" t="s">
        <v>616</v>
      </c>
      <c r="G2203" s="166"/>
      <c r="H2203" s="167">
        <v>580</v>
      </c>
      <c r="L2203" s="121"/>
    </row>
    <row r="2204" spans="5:13" x14ac:dyDescent="0.25">
      <c r="E2204" s="117"/>
      <c r="F2204" s="78"/>
      <c r="G2204" s="166"/>
      <c r="H2204" s="167"/>
      <c r="L2204" s="121"/>
    </row>
    <row r="2205" spans="5:13" x14ac:dyDescent="0.25">
      <c r="E2205" s="117"/>
      <c r="F2205" s="78" t="s">
        <v>648</v>
      </c>
      <c r="G2205" s="166"/>
      <c r="H2205" s="167">
        <v>1050</v>
      </c>
    </row>
    <row r="2206" spans="5:13" ht="15.75" x14ac:dyDescent="0.25">
      <c r="E2206" s="117"/>
      <c r="F2206" s="78"/>
      <c r="G2206" s="166"/>
      <c r="H2206" s="167"/>
      <c r="J2206" s="316" t="s">
        <v>227</v>
      </c>
      <c r="K2206" s="317"/>
      <c r="L2206" s="140">
        <f>H2213-M2200</f>
        <v>51028.500000000007</v>
      </c>
    </row>
    <row r="2207" spans="5:13" ht="15.75" x14ac:dyDescent="0.25">
      <c r="E2207" s="78"/>
      <c r="F2207" s="78"/>
      <c r="G2207" s="78"/>
      <c r="H2207" s="119"/>
      <c r="L2207" s="89"/>
    </row>
    <row r="2208" spans="5:13" ht="15.75" x14ac:dyDescent="0.25">
      <c r="E2208" s="78"/>
      <c r="F2208" s="78"/>
      <c r="G2208" s="78"/>
      <c r="H2208" s="122">
        <f>SUM(H2193:H2207)</f>
        <v>47621</v>
      </c>
      <c r="J2208" s="128" t="s">
        <v>285</v>
      </c>
      <c r="L2208" s="124">
        <f>G2232</f>
        <v>32369.059999999998</v>
      </c>
    </row>
    <row r="2209" spans="5:13" x14ac:dyDescent="0.25">
      <c r="H2209" s="157"/>
    </row>
    <row r="2210" spans="5:13" ht="21" x14ac:dyDescent="0.35">
      <c r="G2210" s="101" t="s">
        <v>224</v>
      </c>
      <c r="H2210" s="101">
        <v>41367.57</v>
      </c>
      <c r="K2210" s="198" t="s">
        <v>286</v>
      </c>
      <c r="L2210" s="137">
        <f>SUM(L2206:L2208)</f>
        <v>83397.56</v>
      </c>
    </row>
    <row r="2211" spans="5:13" x14ac:dyDescent="0.25">
      <c r="L2211" s="157">
        <v>82088.56</v>
      </c>
      <c r="M2211" s="39" t="s">
        <v>76</v>
      </c>
    </row>
    <row r="2212" spans="5:13" x14ac:dyDescent="0.25">
      <c r="E2212" s="121"/>
    </row>
    <row r="2213" spans="5:13" ht="18.75" x14ac:dyDescent="0.3">
      <c r="G2213" s="99" t="s">
        <v>225</v>
      </c>
      <c r="H2213" s="125">
        <f>SUM(H2208+H2210)</f>
        <v>88988.57</v>
      </c>
      <c r="L2213" s="154">
        <f>L2210-L2211</f>
        <v>1309</v>
      </c>
    </row>
    <row r="2214" spans="5:13" ht="18.75" x14ac:dyDescent="0.3">
      <c r="E2214" s="121"/>
      <c r="L2214" s="125"/>
    </row>
    <row r="2215" spans="5:13" ht="18.75" x14ac:dyDescent="0.3">
      <c r="E2215" s="121"/>
      <c r="L2215" s="125"/>
    </row>
    <row r="2221" spans="5:13" x14ac:dyDescent="0.25">
      <c r="E2221" s="91"/>
    </row>
    <row r="2222" spans="5:13" ht="15.75" x14ac:dyDescent="0.25">
      <c r="F2222" s="132" t="s">
        <v>235</v>
      </c>
      <c r="G2222" s="133">
        <v>27451.26</v>
      </c>
      <c r="K2222" s="322" t="s">
        <v>570</v>
      </c>
      <c r="L2222" s="322"/>
    </row>
    <row r="2223" spans="5:13" ht="15.75" x14ac:dyDescent="0.25">
      <c r="E2223" s="91">
        <v>46132</v>
      </c>
      <c r="F2223" s="128" t="s">
        <v>647</v>
      </c>
      <c r="G2223" s="171">
        <v>39</v>
      </c>
    </row>
    <row r="2224" spans="5:13" ht="15.75" x14ac:dyDescent="0.25">
      <c r="F2224" s="148" t="s">
        <v>519</v>
      </c>
      <c r="G2224" s="144">
        <v>-100</v>
      </c>
      <c r="K2224" s="150" t="s">
        <v>595</v>
      </c>
      <c r="L2224" s="151">
        <v>46777.77</v>
      </c>
    </row>
    <row r="2225" spans="6:12" ht="15.75" x14ac:dyDescent="0.25">
      <c r="F2225" s="148" t="s">
        <v>649</v>
      </c>
      <c r="G2225" s="144">
        <v>-195.6</v>
      </c>
      <c r="J2225" s="187">
        <v>46126</v>
      </c>
      <c r="K2225" s="139" t="s">
        <v>599</v>
      </c>
      <c r="L2225" s="139">
        <v>-1760</v>
      </c>
    </row>
    <row r="2226" spans="6:12" ht="15.75" x14ac:dyDescent="0.25">
      <c r="F2226" s="148" t="s">
        <v>250</v>
      </c>
      <c r="G2226" s="144">
        <v>-400</v>
      </c>
      <c r="K2226" s="139" t="s">
        <v>598</v>
      </c>
      <c r="L2226" s="139">
        <v>-2975</v>
      </c>
    </row>
    <row r="2227" spans="6:12" ht="15.75" x14ac:dyDescent="0.25">
      <c r="F2227" s="128" t="s">
        <v>357</v>
      </c>
      <c r="G2227" s="171">
        <v>5574.4</v>
      </c>
      <c r="J2227" s="187">
        <v>46128</v>
      </c>
      <c r="K2227" s="139" t="s">
        <v>614</v>
      </c>
      <c r="L2227" s="139">
        <v>-2042.7</v>
      </c>
    </row>
    <row r="2228" spans="6:12" ht="15.75" x14ac:dyDescent="0.25">
      <c r="F2228" s="128"/>
      <c r="G2228" s="171"/>
      <c r="J2228" s="187"/>
      <c r="K2228" s="139" t="s">
        <v>619</v>
      </c>
      <c r="L2228" s="139">
        <v>-4280</v>
      </c>
    </row>
    <row r="2229" spans="6:12" ht="15.75" x14ac:dyDescent="0.25">
      <c r="F2229" s="128"/>
      <c r="G2229" s="171"/>
      <c r="J2229" s="187"/>
      <c r="K2229" s="139" t="s">
        <v>623</v>
      </c>
      <c r="L2229" s="139">
        <v>-30000</v>
      </c>
    </row>
    <row r="2230" spans="6:12" ht="15.75" x14ac:dyDescent="0.25">
      <c r="F2230" s="128"/>
      <c r="G2230" s="171"/>
      <c r="K2230" s="139" t="s">
        <v>640</v>
      </c>
      <c r="L2230" s="139">
        <v>-2080</v>
      </c>
    </row>
    <row r="2231" spans="6:12" x14ac:dyDescent="0.25">
      <c r="F2231" s="139"/>
      <c r="G2231" s="138"/>
      <c r="J2231" s="187"/>
      <c r="K2231" s="139" t="s">
        <v>623</v>
      </c>
      <c r="L2231" s="139">
        <v>-500</v>
      </c>
    </row>
    <row r="2232" spans="6:12" ht="15.75" x14ac:dyDescent="0.25">
      <c r="F2232" s="132" t="s">
        <v>236</v>
      </c>
      <c r="G2232" s="133">
        <f>SUM(G2222:G2231)</f>
        <v>32369.059999999998</v>
      </c>
      <c r="J2232" s="187">
        <v>46132</v>
      </c>
      <c r="K2232" s="139" t="s">
        <v>519</v>
      </c>
      <c r="L2232" s="139">
        <v>-100</v>
      </c>
    </row>
    <row r="2233" spans="6:12" x14ac:dyDescent="0.25">
      <c r="K2233" s="139" t="s">
        <v>541</v>
      </c>
      <c r="L2233" s="139">
        <v>13500</v>
      </c>
    </row>
    <row r="2234" spans="6:12" x14ac:dyDescent="0.25">
      <c r="K2234" s="139" t="s">
        <v>652</v>
      </c>
      <c r="L2234" s="139">
        <v>-1420</v>
      </c>
    </row>
    <row r="2235" spans="6:12" x14ac:dyDescent="0.25">
      <c r="G2235">
        <v>-11.9</v>
      </c>
    </row>
    <row r="2236" spans="6:12" x14ac:dyDescent="0.25">
      <c r="L2236" s="193">
        <f>SUM(L2224:L2234)</f>
        <v>15120.07</v>
      </c>
    </row>
    <row r="2237" spans="6:12" x14ac:dyDescent="0.25">
      <c r="F2237" s="39"/>
      <c r="G2237" s="157">
        <f>SUM(G2232:G2236)</f>
        <v>32357.159999999996</v>
      </c>
    </row>
    <row r="2242" spans="5:7" ht="15.75" x14ac:dyDescent="0.25">
      <c r="E2242" s="91"/>
      <c r="F2242" s="166" t="s">
        <v>429</v>
      </c>
      <c r="G2242" s="131">
        <v>2386</v>
      </c>
    </row>
    <row r="2243" spans="5:7" x14ac:dyDescent="0.25">
      <c r="E2243" s="91"/>
      <c r="F2243" s="197"/>
      <c r="G2243" s="196"/>
    </row>
    <row r="2244" spans="5:7" x14ac:dyDescent="0.25">
      <c r="E2244" s="91"/>
      <c r="F2244" s="177" t="s">
        <v>650</v>
      </c>
      <c r="G2244" s="188">
        <v>-825</v>
      </c>
    </row>
    <row r="2245" spans="5:7" x14ac:dyDescent="0.25">
      <c r="E2245" s="91"/>
      <c r="F2245" s="197" t="s">
        <v>651</v>
      </c>
      <c r="G2245" s="196">
        <v>13500</v>
      </c>
    </row>
    <row r="2246" spans="5:7" x14ac:dyDescent="0.25">
      <c r="E2246" s="91"/>
      <c r="F2246" s="177" t="s">
        <v>535</v>
      </c>
      <c r="G2246" s="188">
        <v>-0.7</v>
      </c>
    </row>
    <row r="2247" spans="5:7" x14ac:dyDescent="0.25">
      <c r="F2247" s="177"/>
      <c r="G2247" s="188"/>
    </row>
    <row r="2248" spans="5:7" x14ac:dyDescent="0.25">
      <c r="F2248" s="177"/>
      <c r="G2248" s="188"/>
    </row>
    <row r="2249" spans="5:7" x14ac:dyDescent="0.25">
      <c r="F2249" s="78"/>
      <c r="G2249" s="119"/>
    </row>
    <row r="2250" spans="5:7" ht="15.75" x14ac:dyDescent="0.25">
      <c r="F2250" s="78" t="s">
        <v>596</v>
      </c>
      <c r="G2250" s="189">
        <f>SUM(G2242:G2249)</f>
        <v>15060.3</v>
      </c>
    </row>
    <row r="2262" spans="5:13" ht="18.75" x14ac:dyDescent="0.3">
      <c r="E2262" s="314" t="s">
        <v>659</v>
      </c>
      <c r="F2262" s="315"/>
      <c r="G2262" s="315"/>
      <c r="H2262" s="315"/>
      <c r="I2262" s="315"/>
      <c r="J2262" s="315"/>
      <c r="K2262" s="315"/>
      <c r="L2262" s="315"/>
      <c r="M2262" s="315"/>
    </row>
    <row r="2263" spans="5:13" x14ac:dyDescent="0.25">
      <c r="E2263" s="78"/>
      <c r="F2263" s="78"/>
      <c r="G2263" s="78"/>
      <c r="H2263" s="78"/>
      <c r="I2263" s="78"/>
      <c r="J2263" s="78"/>
      <c r="K2263" s="78"/>
      <c r="L2263" s="78"/>
      <c r="M2263" s="78"/>
    </row>
    <row r="2264" spans="5:13" ht="15.75" x14ac:dyDescent="0.25">
      <c r="E2264" s="118" t="s">
        <v>223</v>
      </c>
      <c r="F2264" s="118" t="s">
        <v>206</v>
      </c>
      <c r="G2264" s="118" t="s">
        <v>207</v>
      </c>
      <c r="H2264" s="118" t="s">
        <v>218</v>
      </c>
      <c r="I2264" s="78"/>
      <c r="J2264" s="120" t="s">
        <v>6</v>
      </c>
      <c r="K2264" s="120" t="s">
        <v>217</v>
      </c>
      <c r="L2264" s="120" t="s">
        <v>207</v>
      </c>
      <c r="M2264" s="120" t="s">
        <v>218</v>
      </c>
    </row>
    <row r="2265" spans="5:13" x14ac:dyDescent="0.25">
      <c r="E2265" s="117"/>
      <c r="F2265" s="78" t="s">
        <v>459</v>
      </c>
      <c r="G2265" s="78" t="s">
        <v>556</v>
      </c>
      <c r="H2265" s="119">
        <v>10140</v>
      </c>
      <c r="I2265" s="175" t="s">
        <v>557</v>
      </c>
      <c r="J2265" s="117"/>
      <c r="K2265" s="78"/>
      <c r="L2265" s="78"/>
      <c r="M2265" s="119"/>
    </row>
    <row r="2266" spans="5:13" x14ac:dyDescent="0.25">
      <c r="E2266" s="117">
        <v>46087</v>
      </c>
      <c r="F2266" s="78" t="s">
        <v>148</v>
      </c>
      <c r="G2266" s="78" t="s">
        <v>209</v>
      </c>
      <c r="H2266" s="119">
        <v>420</v>
      </c>
      <c r="I2266" s="78"/>
      <c r="J2266" s="117">
        <v>46037</v>
      </c>
      <c r="K2266" s="149" t="s">
        <v>66</v>
      </c>
      <c r="L2266" s="78" t="s">
        <v>222</v>
      </c>
      <c r="M2266" s="119">
        <v>2120</v>
      </c>
    </row>
    <row r="2267" spans="5:13" ht="15.75" x14ac:dyDescent="0.25">
      <c r="E2267" s="117">
        <v>46087</v>
      </c>
      <c r="F2267" s="78" t="s">
        <v>214</v>
      </c>
      <c r="G2267" s="155" t="s">
        <v>211</v>
      </c>
      <c r="H2267" s="156">
        <v>3500</v>
      </c>
      <c r="I2267" s="78"/>
      <c r="J2267" s="181">
        <v>46120</v>
      </c>
      <c r="K2267" s="182" t="s">
        <v>520</v>
      </c>
      <c r="L2267" s="182"/>
      <c r="M2267" s="183">
        <v>26300.07</v>
      </c>
    </row>
    <row r="2268" spans="5:13" ht="15.75" x14ac:dyDescent="0.25">
      <c r="E2268" s="117"/>
      <c r="F2268" s="78" t="s">
        <v>401</v>
      </c>
      <c r="G2268" s="78" t="s">
        <v>402</v>
      </c>
      <c r="H2268" s="119">
        <v>2880</v>
      </c>
      <c r="I2268" s="119"/>
      <c r="J2268" s="184">
        <v>46132</v>
      </c>
      <c r="K2268" s="185" t="s">
        <v>257</v>
      </c>
      <c r="L2268" s="185"/>
      <c r="M2268" s="140">
        <v>1520</v>
      </c>
    </row>
    <row r="2269" spans="5:13" ht="15.75" x14ac:dyDescent="0.25">
      <c r="E2269" s="78"/>
      <c r="F2269" s="166" t="s">
        <v>429</v>
      </c>
      <c r="G2269" s="166"/>
      <c r="H2269" s="167">
        <v>8220.2999999999993</v>
      </c>
      <c r="I2269" s="119"/>
      <c r="J2269" s="184">
        <v>46132</v>
      </c>
      <c r="K2269" s="185" t="s">
        <v>281</v>
      </c>
      <c r="L2269" s="185"/>
      <c r="M2269" s="140">
        <v>8200</v>
      </c>
    </row>
    <row r="2270" spans="5:13" ht="15.75" x14ac:dyDescent="0.25">
      <c r="E2270" s="78"/>
      <c r="F2270" s="78" t="s">
        <v>502</v>
      </c>
      <c r="G2270" s="166"/>
      <c r="H2270" s="167">
        <v>2600</v>
      </c>
      <c r="I2270" s="78"/>
      <c r="J2270" s="184"/>
      <c r="K2270" s="185"/>
      <c r="L2270" s="185"/>
      <c r="M2270" s="140"/>
    </row>
    <row r="2271" spans="5:13" x14ac:dyDescent="0.25">
      <c r="E2271" s="117">
        <v>46121</v>
      </c>
      <c r="F2271" s="78" t="s">
        <v>540</v>
      </c>
      <c r="G2271" s="166"/>
      <c r="H2271" s="167">
        <v>3120</v>
      </c>
      <c r="I2271" s="78"/>
      <c r="J2271" s="78"/>
      <c r="K2271" s="78"/>
      <c r="L2271" s="78"/>
      <c r="M2271" s="119"/>
    </row>
    <row r="2272" spans="5:13" ht="18.75" x14ac:dyDescent="0.3">
      <c r="E2272" s="117"/>
      <c r="F2272" s="78" t="s">
        <v>590</v>
      </c>
      <c r="G2272" s="166"/>
      <c r="H2272" s="167">
        <v>3520</v>
      </c>
      <c r="I2272" s="78"/>
      <c r="J2272" s="78"/>
      <c r="K2272" s="126" t="s">
        <v>226</v>
      </c>
      <c r="L2272" s="126"/>
      <c r="M2272" s="127">
        <f>SUM(M2265:M2271)</f>
        <v>38140.07</v>
      </c>
    </row>
    <row r="2273" spans="5:13" x14ac:dyDescent="0.25">
      <c r="E2273" s="117"/>
      <c r="F2273" s="78" t="s">
        <v>591</v>
      </c>
      <c r="G2273" s="166"/>
      <c r="H2273" s="167">
        <v>2200</v>
      </c>
    </row>
    <row r="2274" spans="5:13" x14ac:dyDescent="0.25">
      <c r="E2274" s="117">
        <v>46128</v>
      </c>
      <c r="F2274" s="78" t="s">
        <v>611</v>
      </c>
      <c r="G2274" s="166"/>
      <c r="H2274" s="167">
        <v>2550</v>
      </c>
      <c r="M2274" s="121"/>
    </row>
    <row r="2275" spans="5:13" x14ac:dyDescent="0.25">
      <c r="E2275" s="117"/>
      <c r="F2275" s="78" t="s">
        <v>616</v>
      </c>
      <c r="G2275" s="166"/>
      <c r="H2275" s="167">
        <v>580</v>
      </c>
      <c r="L2275" s="121"/>
    </row>
    <row r="2276" spans="5:13" x14ac:dyDescent="0.25">
      <c r="E2276" s="117"/>
      <c r="F2276" s="78"/>
      <c r="G2276" s="166"/>
      <c r="H2276" s="167"/>
      <c r="L2276" s="121"/>
    </row>
    <row r="2277" spans="5:13" x14ac:dyDescent="0.25">
      <c r="E2277" s="117"/>
      <c r="F2277" s="78" t="s">
        <v>648</v>
      </c>
      <c r="G2277" s="166"/>
      <c r="H2277" s="167">
        <v>1050</v>
      </c>
    </row>
    <row r="2278" spans="5:13" ht="15.75" x14ac:dyDescent="0.25">
      <c r="E2278" s="117"/>
      <c r="F2278" s="78"/>
      <c r="G2278" s="166"/>
      <c r="H2278" s="167"/>
      <c r="J2278" s="316" t="s">
        <v>227</v>
      </c>
      <c r="K2278" s="317"/>
      <c r="L2278" s="140">
        <f>H2285-M2272</f>
        <v>41588.400000000001</v>
      </c>
    </row>
    <row r="2279" spans="5:13" ht="15.75" x14ac:dyDescent="0.25">
      <c r="E2279" s="78"/>
      <c r="F2279" s="78"/>
      <c r="G2279" s="78"/>
      <c r="H2279" s="119"/>
      <c r="L2279" s="89"/>
    </row>
    <row r="2280" spans="5:13" ht="15.75" x14ac:dyDescent="0.25">
      <c r="E2280" s="78"/>
      <c r="F2280" s="78"/>
      <c r="G2280" s="78"/>
      <c r="H2280" s="122">
        <f>SUM(H2265:H2279)</f>
        <v>40780.300000000003</v>
      </c>
      <c r="J2280" s="128" t="s">
        <v>285</v>
      </c>
      <c r="L2280" s="124">
        <f>G2304</f>
        <v>42906.559999999998</v>
      </c>
    </row>
    <row r="2281" spans="5:13" x14ac:dyDescent="0.25">
      <c r="H2281" s="157"/>
    </row>
    <row r="2282" spans="5:13" ht="21" x14ac:dyDescent="0.35">
      <c r="G2282" s="101" t="s">
        <v>224</v>
      </c>
      <c r="H2282" s="101">
        <v>38948.17</v>
      </c>
      <c r="K2282" s="198" t="s">
        <v>286</v>
      </c>
      <c r="L2282" s="137">
        <f>SUM(L2278:L2280)</f>
        <v>84494.959999999992</v>
      </c>
    </row>
    <row r="2283" spans="5:13" x14ac:dyDescent="0.25">
      <c r="L2283" s="157">
        <v>83397.56</v>
      </c>
      <c r="M2283" s="39" t="s">
        <v>76</v>
      </c>
    </row>
    <row r="2284" spans="5:13" x14ac:dyDescent="0.25">
      <c r="E2284" s="121"/>
    </row>
    <row r="2285" spans="5:13" ht="18.75" x14ac:dyDescent="0.3">
      <c r="G2285" s="99" t="s">
        <v>225</v>
      </c>
      <c r="H2285" s="125">
        <f>SUM(H2280+H2282)</f>
        <v>79728.47</v>
      </c>
      <c r="L2285" s="154">
        <f>L2282-L2283</f>
        <v>1097.3999999999942</v>
      </c>
    </row>
    <row r="2286" spans="5:13" ht="18.75" x14ac:dyDescent="0.3">
      <c r="E2286" s="121"/>
      <c r="L2286" s="125"/>
    </row>
    <row r="2287" spans="5:13" ht="18.75" x14ac:dyDescent="0.3">
      <c r="E2287" s="121"/>
      <c r="L2287" s="125"/>
    </row>
    <row r="2293" spans="5:12" x14ac:dyDescent="0.25">
      <c r="E2293" s="91"/>
    </row>
    <row r="2294" spans="5:12" ht="15.75" x14ac:dyDescent="0.25">
      <c r="F2294" s="132" t="s">
        <v>235</v>
      </c>
      <c r="G2294" s="133">
        <v>27451.26</v>
      </c>
      <c r="K2294" s="322" t="s">
        <v>570</v>
      </c>
      <c r="L2294" s="322"/>
    </row>
    <row r="2295" spans="5:12" ht="15.75" x14ac:dyDescent="0.25">
      <c r="E2295" s="91">
        <v>46132</v>
      </c>
      <c r="F2295" s="128" t="s">
        <v>647</v>
      </c>
      <c r="G2295" s="171">
        <v>39</v>
      </c>
    </row>
    <row r="2296" spans="5:12" ht="15.75" x14ac:dyDescent="0.25">
      <c r="F2296" s="148" t="s">
        <v>519</v>
      </c>
      <c r="G2296" s="144">
        <v>-100</v>
      </c>
      <c r="K2296" s="150" t="s">
        <v>595</v>
      </c>
      <c r="L2296" s="151">
        <v>46777.77</v>
      </c>
    </row>
    <row r="2297" spans="5:12" ht="15.75" x14ac:dyDescent="0.25">
      <c r="F2297" s="148" t="s">
        <v>649</v>
      </c>
      <c r="G2297" s="144">
        <v>-195.6</v>
      </c>
      <c r="J2297" s="187">
        <v>46126</v>
      </c>
      <c r="K2297" s="139" t="s">
        <v>599</v>
      </c>
      <c r="L2297" s="139">
        <v>-1760</v>
      </c>
    </row>
    <row r="2298" spans="5:12" ht="15.75" x14ac:dyDescent="0.25">
      <c r="F2298" s="148" t="s">
        <v>250</v>
      </c>
      <c r="G2298" s="144">
        <v>-400</v>
      </c>
      <c r="K2298" s="139" t="s">
        <v>598</v>
      </c>
      <c r="L2298" s="139">
        <v>-2975</v>
      </c>
    </row>
    <row r="2299" spans="5:12" ht="15.75" x14ac:dyDescent="0.25">
      <c r="F2299" s="128" t="s">
        <v>357</v>
      </c>
      <c r="G2299" s="171">
        <v>5574.4</v>
      </c>
      <c r="J2299" s="187">
        <v>46128</v>
      </c>
      <c r="K2299" s="139" t="s">
        <v>614</v>
      </c>
      <c r="L2299" s="139">
        <v>-2042.7</v>
      </c>
    </row>
    <row r="2300" spans="5:12" ht="15.75" x14ac:dyDescent="0.25">
      <c r="E2300" s="91">
        <v>46133</v>
      </c>
      <c r="F2300" s="128" t="s">
        <v>662</v>
      </c>
      <c r="G2300" s="171">
        <v>-10</v>
      </c>
      <c r="J2300" s="187"/>
      <c r="K2300" s="139" t="s">
        <v>619</v>
      </c>
      <c r="L2300" s="139">
        <v>-4280</v>
      </c>
    </row>
    <row r="2301" spans="5:12" ht="15.75" x14ac:dyDescent="0.25">
      <c r="F2301" s="197" t="s">
        <v>665</v>
      </c>
      <c r="G2301" s="171">
        <v>4410</v>
      </c>
      <c r="J2301" s="187"/>
      <c r="K2301" s="139" t="s">
        <v>623</v>
      </c>
      <c r="L2301" s="139">
        <v>-30000</v>
      </c>
    </row>
    <row r="2302" spans="5:12" ht="15.75" x14ac:dyDescent="0.25">
      <c r="F2302" s="128" t="s">
        <v>357</v>
      </c>
      <c r="G2302" s="171">
        <v>6137.5</v>
      </c>
      <c r="K2302" s="139" t="s">
        <v>640</v>
      </c>
      <c r="L2302" s="139">
        <v>-2080</v>
      </c>
    </row>
    <row r="2303" spans="5:12" x14ac:dyDescent="0.25">
      <c r="F2303" s="139"/>
      <c r="G2303" s="138"/>
      <c r="J2303" s="187"/>
      <c r="K2303" s="139" t="s">
        <v>623</v>
      </c>
      <c r="L2303" s="139">
        <v>-500</v>
      </c>
    </row>
    <row r="2304" spans="5:12" ht="15.75" x14ac:dyDescent="0.25">
      <c r="F2304" s="132" t="s">
        <v>236</v>
      </c>
      <c r="G2304" s="133">
        <f>SUM(G2294:G2303)</f>
        <v>42906.559999999998</v>
      </c>
      <c r="J2304" s="187">
        <v>46132</v>
      </c>
      <c r="K2304" s="139" t="s">
        <v>519</v>
      </c>
      <c r="L2304" s="139">
        <v>-100</v>
      </c>
    </row>
    <row r="2305" spans="5:12" x14ac:dyDescent="0.25">
      <c r="K2305" s="139" t="s">
        <v>541</v>
      </c>
      <c r="L2305" s="139">
        <v>13500</v>
      </c>
    </row>
    <row r="2306" spans="5:12" x14ac:dyDescent="0.25">
      <c r="K2306" s="139" t="s">
        <v>652</v>
      </c>
      <c r="L2306" s="139">
        <v>-1420</v>
      </c>
    </row>
    <row r="2307" spans="5:12" x14ac:dyDescent="0.25">
      <c r="G2307">
        <v>-11.9</v>
      </c>
      <c r="K2307" s="139" t="s">
        <v>663</v>
      </c>
      <c r="L2307" s="139">
        <v>180</v>
      </c>
    </row>
    <row r="2308" spans="5:12" x14ac:dyDescent="0.25">
      <c r="K2308" s="139" t="s">
        <v>666</v>
      </c>
      <c r="L2308" s="139">
        <v>11000</v>
      </c>
    </row>
    <row r="2309" spans="5:12" x14ac:dyDescent="0.25">
      <c r="F2309" s="39"/>
      <c r="G2309" s="157">
        <f>SUM(G2304:G2308)</f>
        <v>42894.659999999996</v>
      </c>
    </row>
    <row r="2310" spans="5:12" x14ac:dyDescent="0.25">
      <c r="L2310" s="193">
        <f>SUM(L2296:L2308)</f>
        <v>26300.07</v>
      </c>
    </row>
    <row r="2314" spans="5:12" ht="15.75" x14ac:dyDescent="0.25">
      <c r="E2314" s="91"/>
      <c r="F2314" s="166" t="s">
        <v>429</v>
      </c>
      <c r="G2314" s="131">
        <v>2386</v>
      </c>
    </row>
    <row r="2315" spans="5:12" x14ac:dyDescent="0.25">
      <c r="E2315" s="91"/>
      <c r="F2315" s="197"/>
      <c r="G2315" s="196"/>
    </row>
    <row r="2316" spans="5:12" x14ac:dyDescent="0.25">
      <c r="E2316" s="91"/>
      <c r="F2316" s="177" t="s">
        <v>650</v>
      </c>
      <c r="G2316" s="188">
        <v>-825</v>
      </c>
    </row>
    <row r="2317" spans="5:12" x14ac:dyDescent="0.25">
      <c r="E2317" s="91"/>
      <c r="F2317" s="197" t="s">
        <v>651</v>
      </c>
      <c r="G2317" s="196">
        <v>13500</v>
      </c>
    </row>
    <row r="2318" spans="5:12" x14ac:dyDescent="0.25">
      <c r="E2318" s="91"/>
      <c r="F2318" s="177" t="s">
        <v>535</v>
      </c>
      <c r="G2318" s="188">
        <v>-0.7</v>
      </c>
    </row>
    <row r="2319" spans="5:12" x14ac:dyDescent="0.25">
      <c r="F2319" s="177" t="s">
        <v>661</v>
      </c>
      <c r="G2319" s="188">
        <v>-2430</v>
      </c>
    </row>
    <row r="2320" spans="5:12" x14ac:dyDescent="0.25">
      <c r="F2320" s="177" t="s">
        <v>664</v>
      </c>
      <c r="G2320" s="188">
        <v>-4410</v>
      </c>
    </row>
    <row r="2321" spans="5:13" x14ac:dyDescent="0.25">
      <c r="F2321" s="177"/>
      <c r="G2321" s="188"/>
    </row>
    <row r="2322" spans="5:13" x14ac:dyDescent="0.25">
      <c r="F2322" s="78"/>
      <c r="G2322" s="119"/>
    </row>
    <row r="2323" spans="5:13" ht="15.75" x14ac:dyDescent="0.25">
      <c r="F2323" s="78" t="s">
        <v>596</v>
      </c>
      <c r="G2323" s="189">
        <f>SUM(G2314:G2322)</f>
        <v>8220.2999999999993</v>
      </c>
    </row>
    <row r="2334" spans="5:13" ht="18.75" x14ac:dyDescent="0.3">
      <c r="E2334" s="314" t="s">
        <v>670</v>
      </c>
      <c r="F2334" s="315"/>
      <c r="G2334" s="315"/>
      <c r="H2334" s="315"/>
      <c r="I2334" s="315"/>
      <c r="J2334" s="315"/>
      <c r="K2334" s="315"/>
      <c r="L2334" s="315"/>
      <c r="M2334" s="315"/>
    </row>
    <row r="2335" spans="5:13" x14ac:dyDescent="0.25">
      <c r="E2335" s="78"/>
      <c r="F2335" s="78"/>
      <c r="G2335" s="78"/>
      <c r="H2335" s="78"/>
      <c r="I2335" s="78"/>
      <c r="J2335" s="78"/>
      <c r="K2335" s="78"/>
      <c r="L2335" s="78"/>
      <c r="M2335" s="78"/>
    </row>
    <row r="2336" spans="5:13" ht="15.75" x14ac:dyDescent="0.25">
      <c r="E2336" s="118" t="s">
        <v>223</v>
      </c>
      <c r="F2336" s="118" t="s">
        <v>206</v>
      </c>
      <c r="G2336" s="118" t="s">
        <v>207</v>
      </c>
      <c r="H2336" s="118" t="s">
        <v>218</v>
      </c>
      <c r="I2336" s="78"/>
      <c r="J2336" s="120" t="s">
        <v>6</v>
      </c>
      <c r="K2336" s="120" t="s">
        <v>217</v>
      </c>
      <c r="L2336" s="120" t="s">
        <v>207</v>
      </c>
      <c r="M2336" s="120" t="s">
        <v>218</v>
      </c>
    </row>
    <row r="2337" spans="5:13" x14ac:dyDescent="0.25">
      <c r="E2337" s="117"/>
      <c r="F2337" s="78" t="s">
        <v>459</v>
      </c>
      <c r="G2337" s="78" t="s">
        <v>556</v>
      </c>
      <c r="H2337" s="119">
        <v>10140</v>
      </c>
      <c r="I2337" s="175" t="s">
        <v>557</v>
      </c>
      <c r="J2337" s="117"/>
      <c r="K2337" s="78"/>
      <c r="L2337" s="78"/>
      <c r="M2337" s="119"/>
    </row>
    <row r="2338" spans="5:13" x14ac:dyDescent="0.25">
      <c r="E2338" s="117">
        <v>46087</v>
      </c>
      <c r="F2338" s="78" t="s">
        <v>148</v>
      </c>
      <c r="G2338" s="78" t="s">
        <v>209</v>
      </c>
      <c r="H2338" s="119">
        <v>420</v>
      </c>
      <c r="I2338" s="78"/>
      <c r="J2338" s="117">
        <v>46037</v>
      </c>
      <c r="K2338" s="149" t="s">
        <v>66</v>
      </c>
      <c r="L2338" s="78" t="s">
        <v>222</v>
      </c>
      <c r="M2338" s="119">
        <v>2120</v>
      </c>
    </row>
    <row r="2339" spans="5:13" ht="15.75" x14ac:dyDescent="0.25">
      <c r="E2339" s="117">
        <v>46087</v>
      </c>
      <c r="F2339" s="78" t="s">
        <v>214</v>
      </c>
      <c r="G2339" s="155" t="s">
        <v>211</v>
      </c>
      <c r="H2339" s="156">
        <v>3500</v>
      </c>
      <c r="I2339" s="78"/>
      <c r="J2339" s="181">
        <v>46120</v>
      </c>
      <c r="K2339" s="182" t="s">
        <v>520</v>
      </c>
      <c r="L2339" s="182"/>
      <c r="M2339" s="183">
        <v>16210.07</v>
      </c>
    </row>
    <row r="2340" spans="5:13" ht="15.75" x14ac:dyDescent="0.25">
      <c r="E2340" s="117"/>
      <c r="F2340" s="78" t="s">
        <v>401</v>
      </c>
      <c r="G2340" s="78" t="s">
        <v>402</v>
      </c>
      <c r="H2340" s="119">
        <v>2880</v>
      </c>
      <c r="I2340" s="119"/>
      <c r="J2340" s="184"/>
      <c r="K2340" s="185"/>
      <c r="L2340" s="185"/>
      <c r="M2340" s="140"/>
    </row>
    <row r="2341" spans="5:13" ht="15.75" x14ac:dyDescent="0.25">
      <c r="E2341" s="78"/>
      <c r="F2341" s="166" t="s">
        <v>429</v>
      </c>
      <c r="G2341" s="166"/>
      <c r="H2341" s="167">
        <v>36087.65</v>
      </c>
      <c r="I2341" s="119"/>
      <c r="J2341" s="184">
        <v>46132</v>
      </c>
      <c r="K2341" s="185" t="s">
        <v>281</v>
      </c>
      <c r="L2341" s="185"/>
      <c r="M2341" s="140">
        <v>10200</v>
      </c>
    </row>
    <row r="2342" spans="5:13" ht="15.75" x14ac:dyDescent="0.25">
      <c r="E2342" s="78"/>
      <c r="F2342" s="78" t="s">
        <v>502</v>
      </c>
      <c r="G2342" s="166"/>
      <c r="H2342" s="167">
        <v>2600</v>
      </c>
      <c r="I2342" s="78"/>
      <c r="J2342" s="184"/>
      <c r="K2342" s="185"/>
      <c r="L2342" s="185"/>
      <c r="M2342" s="140"/>
    </row>
    <row r="2343" spans="5:13" x14ac:dyDescent="0.25">
      <c r="E2343" s="117">
        <v>46121</v>
      </c>
      <c r="F2343" s="78" t="s">
        <v>540</v>
      </c>
      <c r="G2343" s="166"/>
      <c r="H2343" s="167">
        <v>3120</v>
      </c>
      <c r="I2343" s="78"/>
      <c r="J2343" s="78"/>
      <c r="K2343" s="78"/>
      <c r="L2343" s="78"/>
      <c r="M2343" s="119"/>
    </row>
    <row r="2344" spans="5:13" ht="18.75" x14ac:dyDescent="0.3">
      <c r="E2344" s="117"/>
      <c r="F2344" s="78" t="s">
        <v>590</v>
      </c>
      <c r="G2344" s="166"/>
      <c r="H2344" s="167">
        <v>3520</v>
      </c>
      <c r="I2344" s="78"/>
      <c r="J2344" s="78"/>
      <c r="K2344" s="126" t="s">
        <v>226</v>
      </c>
      <c r="L2344" s="126"/>
      <c r="M2344" s="127">
        <f>SUM(M2337:M2343)</f>
        <v>28530.07</v>
      </c>
    </row>
    <row r="2345" spans="5:13" x14ac:dyDescent="0.25">
      <c r="E2345" s="117"/>
      <c r="F2345" s="78" t="s">
        <v>591</v>
      </c>
      <c r="G2345" s="166"/>
      <c r="H2345" s="167">
        <v>2200</v>
      </c>
    </row>
    <row r="2346" spans="5:13" x14ac:dyDescent="0.25">
      <c r="E2346" s="117">
        <v>46128</v>
      </c>
      <c r="F2346" s="78" t="s">
        <v>611</v>
      </c>
      <c r="G2346" s="166"/>
      <c r="H2346" s="167">
        <v>2550</v>
      </c>
      <c r="M2346" s="121"/>
    </row>
    <row r="2347" spans="5:13" x14ac:dyDescent="0.25">
      <c r="E2347" s="117"/>
      <c r="F2347" s="78" t="s">
        <v>616</v>
      </c>
      <c r="G2347" s="166"/>
      <c r="H2347" s="167">
        <v>580</v>
      </c>
      <c r="L2347" s="121"/>
    </row>
    <row r="2348" spans="5:13" x14ac:dyDescent="0.25">
      <c r="E2348" s="117"/>
      <c r="F2348" s="78"/>
      <c r="G2348" s="166"/>
      <c r="H2348" s="167"/>
      <c r="L2348" s="121"/>
    </row>
    <row r="2349" spans="5:13" x14ac:dyDescent="0.25">
      <c r="E2349" s="117"/>
      <c r="F2349" s="78" t="s">
        <v>673</v>
      </c>
      <c r="G2349" s="166"/>
      <c r="H2349" s="167">
        <v>2580</v>
      </c>
    </row>
    <row r="2350" spans="5:13" ht="15.75" x14ac:dyDescent="0.25">
      <c r="E2350" s="117"/>
      <c r="F2350" s="78" t="s">
        <v>648</v>
      </c>
      <c r="G2350" s="166"/>
      <c r="H2350" s="167">
        <v>1050</v>
      </c>
      <c r="J2350" s="316" t="s">
        <v>227</v>
      </c>
      <c r="K2350" s="317"/>
      <c r="L2350" s="140">
        <f>H2358-M2344</f>
        <v>86070.41</v>
      </c>
    </row>
    <row r="2351" spans="5:13" ht="15.75" x14ac:dyDescent="0.25">
      <c r="E2351" s="117"/>
      <c r="F2351" s="78"/>
      <c r="G2351" s="166"/>
      <c r="H2351" s="167">
        <v>2367.5</v>
      </c>
      <c r="L2351" s="89"/>
    </row>
    <row r="2352" spans="5:13" ht="15.75" x14ac:dyDescent="0.25">
      <c r="E2352" s="78"/>
      <c r="F2352" s="78"/>
      <c r="G2352" s="78"/>
      <c r="H2352" s="119"/>
      <c r="J2352" s="128" t="s">
        <v>285</v>
      </c>
      <c r="L2352" s="124">
        <f>G2382</f>
        <v>364.55999999999767</v>
      </c>
    </row>
    <row r="2353" spans="5:13" x14ac:dyDescent="0.25">
      <c r="E2353" s="78"/>
      <c r="F2353" s="78"/>
      <c r="G2353" s="78"/>
      <c r="H2353" s="122">
        <f>SUM(H2337:H2352)</f>
        <v>73595.149999999994</v>
      </c>
    </row>
    <row r="2354" spans="5:13" ht="21" x14ac:dyDescent="0.35">
      <c r="H2354" s="157"/>
      <c r="K2354" s="198" t="s">
        <v>286</v>
      </c>
      <c r="L2354" s="137">
        <f>SUM(L2350:L2352)</f>
        <v>86434.97</v>
      </c>
    </row>
    <row r="2355" spans="5:13" x14ac:dyDescent="0.25">
      <c r="G2355" s="101" t="s">
        <v>224</v>
      </c>
      <c r="H2355" s="101">
        <v>41005.33</v>
      </c>
      <c r="L2355" s="157">
        <v>84494.96</v>
      </c>
      <c r="M2355" s="39" t="s">
        <v>76</v>
      </c>
    </row>
    <row r="2357" spans="5:13" ht="18.75" x14ac:dyDescent="0.3">
      <c r="E2357" s="121"/>
      <c r="L2357" s="154">
        <f>L2354-L2355</f>
        <v>1940.0099999999948</v>
      </c>
    </row>
    <row r="2358" spans="5:13" ht="18.75" x14ac:dyDescent="0.3">
      <c r="G2358" s="99" t="s">
        <v>225</v>
      </c>
      <c r="H2358" s="125">
        <f>SUM(H2353+H2355)</f>
        <v>114600.48</v>
      </c>
      <c r="L2358" s="125"/>
    </row>
    <row r="2359" spans="5:13" ht="18.75" x14ac:dyDescent="0.3">
      <c r="E2359" s="121"/>
      <c r="L2359" s="125"/>
    </row>
    <row r="2360" spans="5:13" x14ac:dyDescent="0.25">
      <c r="E2360" s="121"/>
    </row>
    <row r="2366" spans="5:13" ht="15.75" x14ac:dyDescent="0.25">
      <c r="E2366" s="91"/>
      <c r="K2366" s="322" t="s">
        <v>570</v>
      </c>
      <c r="L2366" s="322"/>
    </row>
    <row r="2367" spans="5:13" ht="15.75" x14ac:dyDescent="0.25">
      <c r="F2367" s="132" t="s">
        <v>235</v>
      </c>
      <c r="G2367" s="133">
        <v>27451.26</v>
      </c>
    </row>
    <row r="2368" spans="5:13" ht="15.75" x14ac:dyDescent="0.25">
      <c r="E2368" s="91">
        <v>46132</v>
      </c>
      <c r="F2368" s="128" t="s">
        <v>647</v>
      </c>
      <c r="G2368" s="171">
        <v>39</v>
      </c>
      <c r="K2368" s="150" t="s">
        <v>595</v>
      </c>
      <c r="L2368" s="151">
        <v>46777.77</v>
      </c>
    </row>
    <row r="2369" spans="5:12" ht="15.75" x14ac:dyDescent="0.25">
      <c r="F2369" s="148" t="s">
        <v>519</v>
      </c>
      <c r="G2369" s="144">
        <v>-100</v>
      </c>
      <c r="J2369" s="187">
        <v>46126</v>
      </c>
      <c r="K2369" s="139" t="s">
        <v>599</v>
      </c>
      <c r="L2369" s="139">
        <v>-1760</v>
      </c>
    </row>
    <row r="2370" spans="5:12" ht="15.75" x14ac:dyDescent="0.25">
      <c r="F2370" s="148" t="s">
        <v>649</v>
      </c>
      <c r="G2370" s="144">
        <v>-195.6</v>
      </c>
      <c r="K2370" s="139" t="s">
        <v>598</v>
      </c>
      <c r="L2370" s="139">
        <v>-2975</v>
      </c>
    </row>
    <row r="2371" spans="5:12" ht="15.75" x14ac:dyDescent="0.25">
      <c r="F2371" s="148" t="s">
        <v>250</v>
      </c>
      <c r="G2371" s="144">
        <v>-400</v>
      </c>
      <c r="J2371" s="187">
        <v>46128</v>
      </c>
      <c r="K2371" s="139" t="s">
        <v>614</v>
      </c>
      <c r="L2371" s="139">
        <v>-2042.7</v>
      </c>
    </row>
    <row r="2372" spans="5:12" ht="15.75" x14ac:dyDescent="0.25">
      <c r="F2372" s="128" t="s">
        <v>357</v>
      </c>
      <c r="G2372" s="171">
        <v>5574.4</v>
      </c>
      <c r="J2372" s="187"/>
      <c r="K2372" s="139" t="s">
        <v>619</v>
      </c>
      <c r="L2372" s="139">
        <v>-4280</v>
      </c>
    </row>
    <row r="2373" spans="5:12" ht="15.75" x14ac:dyDescent="0.25">
      <c r="E2373" s="91">
        <v>46133</v>
      </c>
      <c r="F2373" s="128" t="s">
        <v>662</v>
      </c>
      <c r="G2373" s="171">
        <v>-10</v>
      </c>
      <c r="J2373" s="187"/>
      <c r="K2373" s="139" t="s">
        <v>623</v>
      </c>
      <c r="L2373" s="139">
        <v>-30000</v>
      </c>
    </row>
    <row r="2374" spans="5:12" ht="15.75" x14ac:dyDescent="0.25">
      <c r="F2374" s="197" t="s">
        <v>665</v>
      </c>
      <c r="G2374" s="171">
        <v>4410</v>
      </c>
      <c r="K2374" s="139" t="s">
        <v>640</v>
      </c>
      <c r="L2374" s="139">
        <v>-2080</v>
      </c>
    </row>
    <row r="2375" spans="5:12" ht="15.75" x14ac:dyDescent="0.25">
      <c r="F2375" s="128" t="s">
        <v>357</v>
      </c>
      <c r="G2375" s="171">
        <v>6137.5</v>
      </c>
      <c r="J2375" s="187"/>
      <c r="K2375" s="139" t="s">
        <v>623</v>
      </c>
      <c r="L2375" s="139">
        <v>-500</v>
      </c>
    </row>
    <row r="2376" spans="5:12" ht="15.75" x14ac:dyDescent="0.25">
      <c r="E2376" s="91">
        <v>46134</v>
      </c>
      <c r="F2376" s="128" t="s">
        <v>674</v>
      </c>
      <c r="G2376" s="171">
        <v>-1827</v>
      </c>
      <c r="J2376" s="187">
        <v>46132</v>
      </c>
      <c r="K2376" s="139" t="s">
        <v>519</v>
      </c>
      <c r="L2376" s="139">
        <v>-100</v>
      </c>
    </row>
    <row r="2377" spans="5:12" ht="15.75" x14ac:dyDescent="0.25">
      <c r="F2377" s="128" t="s">
        <v>676</v>
      </c>
      <c r="G2377" s="171">
        <v>210</v>
      </c>
      <c r="K2377" s="139" t="s">
        <v>541</v>
      </c>
      <c r="L2377" s="139">
        <v>13500</v>
      </c>
    </row>
    <row r="2378" spans="5:12" ht="15.75" x14ac:dyDescent="0.25">
      <c r="F2378" s="148" t="s">
        <v>680</v>
      </c>
      <c r="G2378" s="144">
        <v>-825</v>
      </c>
      <c r="K2378" s="139" t="s">
        <v>652</v>
      </c>
      <c r="L2378" s="139">
        <v>-1420</v>
      </c>
    </row>
    <row r="2379" spans="5:12" ht="15.75" x14ac:dyDescent="0.25">
      <c r="F2379" s="148" t="s">
        <v>686</v>
      </c>
      <c r="G2379" s="144">
        <v>-40000</v>
      </c>
      <c r="K2379" s="139" t="s">
        <v>663</v>
      </c>
      <c r="L2379" s="139">
        <v>180</v>
      </c>
    </row>
    <row r="2380" spans="5:12" ht="15.75" x14ac:dyDescent="0.25">
      <c r="F2380" s="148" t="s">
        <v>688</v>
      </c>
      <c r="G2380" s="144">
        <v>-100</v>
      </c>
      <c r="K2380" s="139" t="s">
        <v>666</v>
      </c>
      <c r="L2380" s="139">
        <v>11000</v>
      </c>
    </row>
    <row r="2381" spans="5:12" x14ac:dyDescent="0.25">
      <c r="F2381" s="139"/>
      <c r="G2381" s="138"/>
      <c r="K2381" s="139" t="s">
        <v>675</v>
      </c>
      <c r="L2381" s="139">
        <v>-1000</v>
      </c>
    </row>
    <row r="2382" spans="5:12" ht="15.75" x14ac:dyDescent="0.25">
      <c r="F2382" s="132" t="s">
        <v>236</v>
      </c>
      <c r="G2382" s="133">
        <f>SUM(G2367:G2381)</f>
        <v>364.55999999999767</v>
      </c>
      <c r="K2382" s="139" t="s">
        <v>677</v>
      </c>
      <c r="L2382" s="139">
        <v>-1040</v>
      </c>
    </row>
    <row r="2383" spans="5:12" x14ac:dyDescent="0.25">
      <c r="K2383" s="139" t="s">
        <v>678</v>
      </c>
      <c r="L2383" s="139">
        <v>-7000</v>
      </c>
    </row>
    <row r="2384" spans="5:12" x14ac:dyDescent="0.25">
      <c r="K2384" s="139" t="s">
        <v>685</v>
      </c>
      <c r="L2384" s="139">
        <v>-1050</v>
      </c>
    </row>
    <row r="2385" spans="5:12" x14ac:dyDescent="0.25">
      <c r="G2385">
        <v>-11.9</v>
      </c>
    </row>
    <row r="2386" spans="5:12" x14ac:dyDescent="0.25">
      <c r="L2386" s="193">
        <f>SUM(L2368:L2384)</f>
        <v>16210.07</v>
      </c>
    </row>
    <row r="2387" spans="5:12" x14ac:dyDescent="0.25">
      <c r="F2387" s="39"/>
      <c r="G2387" s="157">
        <f>SUM(G2382:G2386)</f>
        <v>352.65999999999769</v>
      </c>
    </row>
    <row r="2388" spans="5:12" x14ac:dyDescent="0.25">
      <c r="E2388" s="91"/>
    </row>
    <row r="2389" spans="5:12" x14ac:dyDescent="0.25">
      <c r="E2389" s="91"/>
    </row>
    <row r="2390" spans="5:12" x14ac:dyDescent="0.25">
      <c r="E2390" s="91"/>
    </row>
    <row r="2391" spans="5:12" x14ac:dyDescent="0.25">
      <c r="E2391" s="91"/>
    </row>
    <row r="2392" spans="5:12" ht="15.75" x14ac:dyDescent="0.25">
      <c r="E2392" s="91"/>
      <c r="F2392" s="166" t="s">
        <v>429</v>
      </c>
      <c r="G2392" s="131">
        <v>2386</v>
      </c>
    </row>
    <row r="2393" spans="5:12" x14ac:dyDescent="0.25">
      <c r="F2393" s="197"/>
      <c r="G2393" s="196"/>
    </row>
    <row r="2394" spans="5:12" x14ac:dyDescent="0.25">
      <c r="F2394" s="177" t="s">
        <v>650</v>
      </c>
      <c r="G2394" s="188">
        <v>-825</v>
      </c>
    </row>
    <row r="2395" spans="5:12" x14ac:dyDescent="0.25">
      <c r="F2395" s="197" t="s">
        <v>651</v>
      </c>
      <c r="G2395" s="196">
        <v>13500</v>
      </c>
    </row>
    <row r="2396" spans="5:12" x14ac:dyDescent="0.25">
      <c r="F2396" s="177" t="s">
        <v>535</v>
      </c>
      <c r="G2396" s="188">
        <v>-0.7</v>
      </c>
    </row>
    <row r="2397" spans="5:12" x14ac:dyDescent="0.25">
      <c r="F2397" s="177" t="s">
        <v>661</v>
      </c>
      <c r="G2397" s="188">
        <v>-2430</v>
      </c>
    </row>
    <row r="2398" spans="5:12" x14ac:dyDescent="0.25">
      <c r="F2398" s="177" t="s">
        <v>664</v>
      </c>
      <c r="G2398" s="188">
        <v>-4410</v>
      </c>
    </row>
    <row r="2399" spans="5:12" x14ac:dyDescent="0.25">
      <c r="E2399" s="91">
        <v>46134</v>
      </c>
      <c r="F2399" s="177" t="s">
        <v>671</v>
      </c>
      <c r="G2399" s="188">
        <v>-1310</v>
      </c>
    </row>
    <row r="2400" spans="5:12" x14ac:dyDescent="0.25">
      <c r="E2400" s="91">
        <v>46134</v>
      </c>
      <c r="F2400" s="177" t="s">
        <v>672</v>
      </c>
      <c r="G2400" s="188">
        <v>-3320</v>
      </c>
    </row>
    <row r="2401" spans="5:7" x14ac:dyDescent="0.25">
      <c r="E2401" s="91">
        <v>46134</v>
      </c>
      <c r="F2401" s="177" t="s">
        <v>679</v>
      </c>
      <c r="G2401" s="188">
        <v>-7000</v>
      </c>
    </row>
    <row r="2402" spans="5:7" x14ac:dyDescent="0.25">
      <c r="E2402" s="91">
        <v>46134</v>
      </c>
      <c r="F2402" s="177" t="s">
        <v>681</v>
      </c>
      <c r="G2402" s="188">
        <v>-500</v>
      </c>
    </row>
    <row r="2403" spans="5:7" x14ac:dyDescent="0.25">
      <c r="E2403" s="91"/>
      <c r="F2403" s="177" t="s">
        <v>687</v>
      </c>
      <c r="G2403" s="188">
        <v>40000</v>
      </c>
    </row>
    <row r="2404" spans="5:7" x14ac:dyDescent="0.25">
      <c r="E2404" s="91"/>
      <c r="F2404" s="177" t="s">
        <v>535</v>
      </c>
      <c r="G2404" s="188">
        <v>-2.65</v>
      </c>
    </row>
    <row r="2405" spans="5:7" x14ac:dyDescent="0.25">
      <c r="F2405" s="177"/>
      <c r="G2405" s="188"/>
    </row>
    <row r="2406" spans="5:7" x14ac:dyDescent="0.25">
      <c r="F2406" s="78"/>
      <c r="G2406" s="119"/>
    </row>
    <row r="2407" spans="5:7" ht="15.75" x14ac:dyDescent="0.25">
      <c r="F2407" s="78" t="s">
        <v>596</v>
      </c>
      <c r="G2407" s="189">
        <f>SUM(G2392:G2406)</f>
        <v>36087.65</v>
      </c>
    </row>
    <row r="2415" spans="5:7" ht="18.75" x14ac:dyDescent="0.3">
      <c r="G2415" s="99" t="s">
        <v>684</v>
      </c>
    </row>
    <row r="2422" spans="5:13" ht="18.75" x14ac:dyDescent="0.3">
      <c r="E2422" s="314" t="s">
        <v>698</v>
      </c>
      <c r="F2422" s="315"/>
      <c r="G2422" s="315"/>
      <c r="H2422" s="315"/>
      <c r="I2422" s="315"/>
      <c r="J2422" s="315"/>
      <c r="K2422" s="315"/>
      <c r="L2422" s="315"/>
      <c r="M2422" s="315"/>
    </row>
    <row r="2423" spans="5:13" x14ac:dyDescent="0.25">
      <c r="E2423" s="78"/>
      <c r="F2423" s="78"/>
      <c r="G2423" s="78"/>
      <c r="H2423" s="78"/>
      <c r="I2423" s="78"/>
      <c r="J2423" s="78"/>
      <c r="K2423" s="78"/>
      <c r="L2423" s="78"/>
      <c r="M2423" s="78"/>
    </row>
    <row r="2424" spans="5:13" ht="15.75" x14ac:dyDescent="0.25">
      <c r="E2424" s="118" t="s">
        <v>223</v>
      </c>
      <c r="F2424" s="118" t="s">
        <v>206</v>
      </c>
      <c r="G2424" s="118" t="s">
        <v>207</v>
      </c>
      <c r="H2424" s="118" t="s">
        <v>218</v>
      </c>
      <c r="I2424" s="78"/>
      <c r="J2424" s="120" t="s">
        <v>6</v>
      </c>
      <c r="K2424" s="120" t="s">
        <v>217</v>
      </c>
      <c r="L2424" s="120" t="s">
        <v>207</v>
      </c>
      <c r="M2424" s="120" t="s">
        <v>218</v>
      </c>
    </row>
    <row r="2425" spans="5:13" x14ac:dyDescent="0.25">
      <c r="E2425" s="117"/>
      <c r="F2425" s="78" t="s">
        <v>459</v>
      </c>
      <c r="G2425" s="78" t="s">
        <v>556</v>
      </c>
      <c r="H2425" s="119">
        <v>10140</v>
      </c>
      <c r="I2425" s="175" t="s">
        <v>557</v>
      </c>
      <c r="J2425" s="117"/>
      <c r="K2425" s="78"/>
      <c r="L2425" s="78"/>
      <c r="M2425" s="119"/>
    </row>
    <row r="2426" spans="5:13" x14ac:dyDescent="0.25">
      <c r="E2426" s="117">
        <v>46087</v>
      </c>
      <c r="F2426" s="78" t="s">
        <v>148</v>
      </c>
      <c r="G2426" s="78" t="s">
        <v>209</v>
      </c>
      <c r="H2426" s="119">
        <v>420</v>
      </c>
      <c r="I2426" s="78"/>
      <c r="J2426" s="117">
        <v>46037</v>
      </c>
      <c r="K2426" s="149" t="s">
        <v>66</v>
      </c>
      <c r="L2426" s="78" t="s">
        <v>222</v>
      </c>
      <c r="M2426" s="119">
        <v>2120</v>
      </c>
    </row>
    <row r="2427" spans="5:13" ht="15.75" x14ac:dyDescent="0.25">
      <c r="E2427" s="117">
        <v>46087</v>
      </c>
      <c r="F2427" s="78" t="s">
        <v>214</v>
      </c>
      <c r="G2427" s="155" t="s">
        <v>211</v>
      </c>
      <c r="H2427" s="156">
        <v>3500</v>
      </c>
      <c r="I2427" s="78"/>
      <c r="J2427" s="181">
        <v>46120</v>
      </c>
      <c r="K2427" s="182" t="s">
        <v>520</v>
      </c>
      <c r="L2427" s="182"/>
      <c r="M2427" s="183">
        <v>27660.07</v>
      </c>
    </row>
    <row r="2428" spans="5:13" ht="15.75" x14ac:dyDescent="0.25">
      <c r="E2428" s="117"/>
      <c r="F2428" s="78" t="s">
        <v>401</v>
      </c>
      <c r="G2428" s="78" t="s">
        <v>402</v>
      </c>
      <c r="H2428" s="119">
        <v>2880</v>
      </c>
      <c r="I2428" s="119"/>
      <c r="J2428" s="184"/>
      <c r="K2428" s="185"/>
      <c r="L2428" s="185"/>
      <c r="M2428" s="140"/>
    </row>
    <row r="2429" spans="5:13" ht="15.75" x14ac:dyDescent="0.25">
      <c r="E2429" s="78"/>
      <c r="F2429" s="201" t="s">
        <v>429</v>
      </c>
      <c r="G2429" s="201"/>
      <c r="H2429" s="202">
        <v>38386.35</v>
      </c>
      <c r="I2429" s="119"/>
      <c r="J2429" s="184">
        <v>46135</v>
      </c>
      <c r="K2429" s="185" t="s">
        <v>257</v>
      </c>
      <c r="L2429" s="185"/>
      <c r="M2429" s="140">
        <v>2400</v>
      </c>
    </row>
    <row r="2430" spans="5:13" x14ac:dyDescent="0.25">
      <c r="E2430" s="78"/>
      <c r="F2430" s="78" t="s">
        <v>502</v>
      </c>
      <c r="G2430" s="166"/>
      <c r="H2430" s="167">
        <v>2600</v>
      </c>
      <c r="I2430" s="78"/>
      <c r="J2430" s="78"/>
      <c r="K2430" s="78"/>
      <c r="L2430" s="78"/>
      <c r="M2430" s="119"/>
    </row>
    <row r="2431" spans="5:13" ht="18.75" x14ac:dyDescent="0.3">
      <c r="E2431" s="117">
        <v>46121</v>
      </c>
      <c r="F2431" s="78" t="s">
        <v>540</v>
      </c>
      <c r="G2431" s="166"/>
      <c r="H2431" s="167">
        <v>3120</v>
      </c>
      <c r="I2431" s="78"/>
      <c r="J2431" s="78"/>
      <c r="K2431" s="126" t="s">
        <v>226</v>
      </c>
      <c r="L2431" s="126"/>
      <c r="M2431" s="127">
        <f>SUM(M2425:M2430)</f>
        <v>32180.07</v>
      </c>
    </row>
    <row r="2432" spans="5:13" x14ac:dyDescent="0.25">
      <c r="E2432" s="117"/>
      <c r="F2432" s="78" t="s">
        <v>590</v>
      </c>
      <c r="G2432" s="166"/>
      <c r="H2432" s="167">
        <v>3520</v>
      </c>
      <c r="I2432" s="78"/>
    </row>
    <row r="2433" spans="5:13" x14ac:dyDescent="0.25">
      <c r="E2433" s="117"/>
      <c r="F2433" s="78" t="s">
        <v>591</v>
      </c>
      <c r="G2433" s="166"/>
      <c r="H2433" s="167">
        <v>2200</v>
      </c>
      <c r="M2433" s="121"/>
    </row>
    <row r="2434" spans="5:13" x14ac:dyDescent="0.25">
      <c r="E2434" s="117">
        <v>46128</v>
      </c>
      <c r="F2434" s="78" t="s">
        <v>611</v>
      </c>
      <c r="G2434" s="166"/>
      <c r="H2434" s="167">
        <v>2550</v>
      </c>
      <c r="L2434" s="121"/>
    </row>
    <row r="2435" spans="5:13" x14ac:dyDescent="0.25">
      <c r="E2435" s="117"/>
      <c r="F2435" s="78" t="s">
        <v>616</v>
      </c>
      <c r="G2435" s="166"/>
      <c r="H2435" s="167">
        <v>580</v>
      </c>
      <c r="L2435" s="121"/>
    </row>
    <row r="2436" spans="5:13" x14ac:dyDescent="0.25">
      <c r="E2436" s="117"/>
      <c r="F2436" s="78" t="s">
        <v>673</v>
      </c>
      <c r="G2436" s="166"/>
      <c r="H2436" s="167">
        <v>2580</v>
      </c>
    </row>
    <row r="2437" spans="5:13" ht="15.75" x14ac:dyDescent="0.25">
      <c r="E2437" s="117"/>
      <c r="F2437" s="204" t="s">
        <v>287</v>
      </c>
      <c r="G2437" s="166"/>
      <c r="H2437" s="203">
        <v>2913.7</v>
      </c>
      <c r="J2437" s="316" t="s">
        <v>227</v>
      </c>
      <c r="K2437" s="317"/>
      <c r="L2437" s="140">
        <f>H2444-M2431</f>
        <v>79906.609999999986</v>
      </c>
    </row>
    <row r="2438" spans="5:13" ht="15.75" x14ac:dyDescent="0.25">
      <c r="E2438" s="78"/>
      <c r="F2438" s="78"/>
      <c r="G2438" s="78"/>
      <c r="H2438" s="119"/>
      <c r="L2438" s="89"/>
    </row>
    <row r="2439" spans="5:13" ht="15.75" x14ac:dyDescent="0.25">
      <c r="E2439" s="78"/>
      <c r="F2439" s="78"/>
      <c r="G2439" s="78"/>
      <c r="H2439" s="122">
        <f>SUM(H2425:H2438)</f>
        <v>75390.05</v>
      </c>
      <c r="J2439" s="128" t="s">
        <v>285</v>
      </c>
      <c r="L2439" s="124">
        <f>G2473</f>
        <v>6945.0599999999977</v>
      </c>
    </row>
    <row r="2440" spans="5:13" x14ac:dyDescent="0.25">
      <c r="H2440" s="157"/>
    </row>
    <row r="2441" spans="5:13" ht="21" x14ac:dyDescent="0.35">
      <c r="G2441" s="101" t="s">
        <v>224</v>
      </c>
      <c r="H2441" s="101">
        <v>36696.629999999997</v>
      </c>
      <c r="K2441" s="198" t="s">
        <v>286</v>
      </c>
      <c r="L2441" s="137">
        <f>SUM(L2437:L2439)</f>
        <v>86851.669999999984</v>
      </c>
    </row>
    <row r="2442" spans="5:13" x14ac:dyDescent="0.25">
      <c r="L2442" s="157">
        <v>86434.97</v>
      </c>
      <c r="M2442" s="39" t="s">
        <v>76</v>
      </c>
    </row>
    <row r="2443" spans="5:13" x14ac:dyDescent="0.25">
      <c r="E2443" s="121"/>
    </row>
    <row r="2444" spans="5:13" ht="18.75" x14ac:dyDescent="0.3">
      <c r="G2444" s="99" t="s">
        <v>225</v>
      </c>
      <c r="H2444" s="125">
        <f>SUM(H2439+H2441)</f>
        <v>112086.68</v>
      </c>
      <c r="L2444" s="154">
        <f>L2441-L2442</f>
        <v>416.69999999998254</v>
      </c>
    </row>
    <row r="2445" spans="5:13" ht="18.75" x14ac:dyDescent="0.3">
      <c r="E2445" s="121"/>
      <c r="L2445" s="125"/>
    </row>
    <row r="2446" spans="5:13" ht="18.75" x14ac:dyDescent="0.3">
      <c r="E2446" s="121"/>
      <c r="L2446" s="125"/>
    </row>
    <row r="2452" spans="5:12" x14ac:dyDescent="0.25">
      <c r="E2452" s="91"/>
    </row>
    <row r="2453" spans="5:12" ht="15.75" x14ac:dyDescent="0.25">
      <c r="F2453" s="132" t="s">
        <v>235</v>
      </c>
      <c r="G2453" s="133">
        <v>27451.26</v>
      </c>
      <c r="K2453" s="322" t="s">
        <v>570</v>
      </c>
      <c r="L2453" s="322"/>
    </row>
    <row r="2454" spans="5:12" ht="15.75" x14ac:dyDescent="0.25">
      <c r="E2454" s="91">
        <v>46132</v>
      </c>
      <c r="F2454" s="128" t="s">
        <v>647</v>
      </c>
      <c r="G2454" s="171">
        <v>39</v>
      </c>
    </row>
    <row r="2455" spans="5:12" ht="15.75" x14ac:dyDescent="0.25">
      <c r="F2455" s="148" t="s">
        <v>519</v>
      </c>
      <c r="G2455" s="144">
        <v>-100</v>
      </c>
      <c r="K2455" s="150" t="s">
        <v>595</v>
      </c>
      <c r="L2455" s="151">
        <v>46777.77</v>
      </c>
    </row>
    <row r="2456" spans="5:12" ht="15.75" x14ac:dyDescent="0.25">
      <c r="F2456" s="148" t="s">
        <v>649</v>
      </c>
      <c r="G2456" s="144">
        <v>-195.6</v>
      </c>
      <c r="J2456" s="187">
        <v>46126</v>
      </c>
      <c r="K2456" s="139" t="s">
        <v>599</v>
      </c>
      <c r="L2456" s="139">
        <v>-1760</v>
      </c>
    </row>
    <row r="2457" spans="5:12" ht="15.75" x14ac:dyDescent="0.25">
      <c r="F2457" s="148" t="s">
        <v>250</v>
      </c>
      <c r="G2457" s="144">
        <v>-400</v>
      </c>
      <c r="K2457" s="139" t="s">
        <v>598</v>
      </c>
      <c r="L2457" s="139">
        <v>-2975</v>
      </c>
    </row>
    <row r="2458" spans="5:12" ht="15.75" x14ac:dyDescent="0.25">
      <c r="F2458" s="128" t="s">
        <v>357</v>
      </c>
      <c r="G2458" s="171">
        <v>5574.4</v>
      </c>
      <c r="J2458" s="187">
        <v>46128</v>
      </c>
      <c r="K2458" s="139" t="s">
        <v>614</v>
      </c>
      <c r="L2458" s="139">
        <v>-2042.7</v>
      </c>
    </row>
    <row r="2459" spans="5:12" ht="15.75" x14ac:dyDescent="0.25">
      <c r="E2459" s="91">
        <v>46133</v>
      </c>
      <c r="F2459" s="128" t="s">
        <v>662</v>
      </c>
      <c r="G2459" s="171">
        <v>-10</v>
      </c>
      <c r="J2459" s="187"/>
      <c r="K2459" s="139" t="s">
        <v>619</v>
      </c>
      <c r="L2459" s="139">
        <v>-4280</v>
      </c>
    </row>
    <row r="2460" spans="5:12" ht="15.75" x14ac:dyDescent="0.25">
      <c r="F2460" s="197" t="s">
        <v>665</v>
      </c>
      <c r="G2460" s="171">
        <v>4410</v>
      </c>
      <c r="J2460" s="187"/>
      <c r="K2460" s="139" t="s">
        <v>623</v>
      </c>
      <c r="L2460" s="139">
        <v>-30000</v>
      </c>
    </row>
    <row r="2461" spans="5:12" ht="15.75" x14ac:dyDescent="0.25">
      <c r="F2461" s="128" t="s">
        <v>357</v>
      </c>
      <c r="G2461" s="171">
        <v>6137.5</v>
      </c>
      <c r="K2461" s="139" t="s">
        <v>640</v>
      </c>
      <c r="L2461" s="139">
        <v>-2080</v>
      </c>
    </row>
    <row r="2462" spans="5:12" ht="15.75" x14ac:dyDescent="0.25">
      <c r="E2462" s="91">
        <v>46134</v>
      </c>
      <c r="F2462" s="128" t="s">
        <v>674</v>
      </c>
      <c r="G2462" s="171">
        <v>-1827</v>
      </c>
      <c r="J2462" s="187"/>
      <c r="K2462" s="139" t="s">
        <v>623</v>
      </c>
      <c r="L2462" s="139">
        <v>-500</v>
      </c>
    </row>
    <row r="2463" spans="5:12" ht="15.75" x14ac:dyDescent="0.25">
      <c r="F2463" s="128" t="s">
        <v>676</v>
      </c>
      <c r="G2463" s="171">
        <v>210</v>
      </c>
      <c r="J2463" s="187">
        <v>46132</v>
      </c>
      <c r="K2463" s="139" t="s">
        <v>519</v>
      </c>
      <c r="L2463" s="139">
        <v>-100</v>
      </c>
    </row>
    <row r="2464" spans="5:12" ht="15.75" x14ac:dyDescent="0.25">
      <c r="F2464" s="148" t="s">
        <v>680</v>
      </c>
      <c r="G2464" s="144">
        <v>-825</v>
      </c>
      <c r="K2464" s="139" t="s">
        <v>541</v>
      </c>
      <c r="L2464" s="139">
        <v>13500</v>
      </c>
    </row>
    <row r="2465" spans="5:12" ht="15.75" x14ac:dyDescent="0.25">
      <c r="F2465" s="148" t="s">
        <v>686</v>
      </c>
      <c r="G2465" s="144">
        <v>-40000</v>
      </c>
      <c r="K2465" s="139" t="s">
        <v>652</v>
      </c>
      <c r="L2465" s="139">
        <v>-1420</v>
      </c>
    </row>
    <row r="2466" spans="5:12" ht="15.75" x14ac:dyDescent="0.25">
      <c r="F2466" s="148" t="s">
        <v>688</v>
      </c>
      <c r="G2466" s="144">
        <v>-100</v>
      </c>
      <c r="K2466" s="139" t="s">
        <v>663</v>
      </c>
      <c r="L2466" s="139">
        <v>180</v>
      </c>
    </row>
    <row r="2467" spans="5:12" ht="15.75" x14ac:dyDescent="0.25">
      <c r="F2467" s="199" t="s">
        <v>357</v>
      </c>
      <c r="G2467" s="200">
        <v>2367.5</v>
      </c>
      <c r="K2467" s="139" t="s">
        <v>666</v>
      </c>
      <c r="L2467" s="139">
        <v>11000</v>
      </c>
    </row>
    <row r="2468" spans="5:12" ht="15.75" x14ac:dyDescent="0.25">
      <c r="E2468" s="91">
        <v>46135</v>
      </c>
      <c r="F2468" s="199" t="s">
        <v>690</v>
      </c>
      <c r="G2468" s="200">
        <v>2850</v>
      </c>
      <c r="K2468" s="139" t="s">
        <v>675</v>
      </c>
      <c r="L2468" s="139">
        <v>-1000</v>
      </c>
    </row>
    <row r="2469" spans="5:12" ht="15.75" x14ac:dyDescent="0.25">
      <c r="E2469" s="91"/>
      <c r="F2469" s="199" t="s">
        <v>691</v>
      </c>
      <c r="G2469" s="200">
        <v>1770</v>
      </c>
      <c r="K2469" s="139" t="s">
        <v>677</v>
      </c>
      <c r="L2469" s="139">
        <v>-1040</v>
      </c>
    </row>
    <row r="2470" spans="5:12" ht="15.75" x14ac:dyDescent="0.25">
      <c r="E2470" s="91"/>
      <c r="F2470" s="148" t="s">
        <v>272</v>
      </c>
      <c r="G2470" s="144">
        <v>-400</v>
      </c>
      <c r="K2470" s="139" t="s">
        <v>678</v>
      </c>
      <c r="L2470" s="139">
        <v>-7000</v>
      </c>
    </row>
    <row r="2471" spans="5:12" ht="15.75" x14ac:dyDescent="0.25">
      <c r="E2471" s="91"/>
      <c r="F2471" s="148" t="s">
        <v>697</v>
      </c>
      <c r="G2471" s="144">
        <v>-7</v>
      </c>
      <c r="K2471" s="139" t="s">
        <v>685</v>
      </c>
      <c r="L2471" s="139">
        <v>-1050</v>
      </c>
    </row>
    <row r="2472" spans="5:12" x14ac:dyDescent="0.25">
      <c r="F2472" s="139"/>
      <c r="G2472" s="138"/>
      <c r="K2472" s="139" t="s">
        <v>623</v>
      </c>
      <c r="L2472" s="139">
        <v>12500</v>
      </c>
    </row>
    <row r="2473" spans="5:12" ht="15.75" x14ac:dyDescent="0.25">
      <c r="F2473" s="132" t="s">
        <v>236</v>
      </c>
      <c r="G2473" s="133">
        <f>SUM(G2453:G2472)</f>
        <v>6945.0599999999977</v>
      </c>
      <c r="K2473" s="139" t="s">
        <v>696</v>
      </c>
      <c r="L2473" s="139">
        <v>-1050</v>
      </c>
    </row>
    <row r="2475" spans="5:12" x14ac:dyDescent="0.25">
      <c r="L2475" s="193">
        <f>SUM(L2455:L2473)</f>
        <v>27660.07</v>
      </c>
    </row>
    <row r="2476" spans="5:12" x14ac:dyDescent="0.25">
      <c r="G2476">
        <v>-11.9</v>
      </c>
    </row>
    <row r="2478" spans="5:12" x14ac:dyDescent="0.25">
      <c r="F2478" s="39"/>
      <c r="G2478" s="157">
        <f>SUM(G2473:G2477)</f>
        <v>6933.159999999998</v>
      </c>
    </row>
    <row r="2479" spans="5:12" x14ac:dyDescent="0.25">
      <c r="E2479" s="91"/>
    </row>
    <row r="2480" spans="5:12" x14ac:dyDescent="0.25">
      <c r="E2480" s="91"/>
    </row>
    <row r="2481" spans="5:10" x14ac:dyDescent="0.25">
      <c r="E2481" s="91"/>
    </row>
    <row r="2482" spans="5:10" x14ac:dyDescent="0.25">
      <c r="E2482" s="91"/>
    </row>
    <row r="2483" spans="5:10" ht="15.75" x14ac:dyDescent="0.25">
      <c r="E2483" s="91"/>
      <c r="F2483" s="166" t="s">
        <v>429</v>
      </c>
      <c r="G2483" s="131">
        <v>2386</v>
      </c>
    </row>
    <row r="2484" spans="5:10" x14ac:dyDescent="0.25">
      <c r="F2484" s="197"/>
      <c r="G2484" s="196"/>
    </row>
    <row r="2485" spans="5:10" x14ac:dyDescent="0.25">
      <c r="F2485" s="177" t="s">
        <v>650</v>
      </c>
      <c r="G2485" s="188">
        <v>-825</v>
      </c>
    </row>
    <row r="2486" spans="5:10" x14ac:dyDescent="0.25">
      <c r="F2486" s="197" t="s">
        <v>651</v>
      </c>
      <c r="G2486" s="196">
        <v>13500</v>
      </c>
    </row>
    <row r="2487" spans="5:10" x14ac:dyDescent="0.25">
      <c r="F2487" s="177" t="s">
        <v>535</v>
      </c>
      <c r="G2487" s="188">
        <v>-0.7</v>
      </c>
    </row>
    <row r="2488" spans="5:10" x14ac:dyDescent="0.25">
      <c r="F2488" s="177" t="s">
        <v>661</v>
      </c>
      <c r="G2488" s="188">
        <v>-2430</v>
      </c>
    </row>
    <row r="2489" spans="5:10" x14ac:dyDescent="0.25">
      <c r="F2489" s="177" t="s">
        <v>664</v>
      </c>
      <c r="G2489" s="188">
        <v>-4410</v>
      </c>
    </row>
    <row r="2490" spans="5:10" x14ac:dyDescent="0.25">
      <c r="E2490" s="91">
        <v>46134</v>
      </c>
      <c r="F2490" s="177" t="s">
        <v>671</v>
      </c>
      <c r="G2490" s="188">
        <v>-1310</v>
      </c>
    </row>
    <row r="2491" spans="5:10" x14ac:dyDescent="0.25">
      <c r="E2491" s="91">
        <v>46134</v>
      </c>
      <c r="F2491" s="177" t="s">
        <v>672</v>
      </c>
      <c r="G2491" s="188">
        <v>-3320</v>
      </c>
      <c r="J2491" s="121"/>
    </row>
    <row r="2492" spans="5:10" x14ac:dyDescent="0.25">
      <c r="E2492" s="91">
        <v>46134</v>
      </c>
      <c r="F2492" s="177" t="s">
        <v>679</v>
      </c>
      <c r="G2492" s="188">
        <v>-7000</v>
      </c>
    </row>
    <row r="2493" spans="5:10" x14ac:dyDescent="0.25">
      <c r="E2493" s="91">
        <v>46134</v>
      </c>
      <c r="F2493" s="177" t="s">
        <v>681</v>
      </c>
      <c r="G2493" s="188">
        <v>-500</v>
      </c>
    </row>
    <row r="2494" spans="5:10" x14ac:dyDescent="0.25">
      <c r="E2494" s="91"/>
      <c r="F2494" s="177" t="s">
        <v>687</v>
      </c>
      <c r="G2494" s="188">
        <v>40000</v>
      </c>
    </row>
    <row r="2495" spans="5:10" x14ac:dyDescent="0.25">
      <c r="E2495" s="91"/>
      <c r="F2495" s="177" t="s">
        <v>535</v>
      </c>
      <c r="G2495" s="188">
        <v>-2.65</v>
      </c>
    </row>
    <row r="2496" spans="5:10" x14ac:dyDescent="0.25">
      <c r="E2496" s="91">
        <v>46135</v>
      </c>
      <c r="F2496" s="177" t="s">
        <v>695</v>
      </c>
      <c r="G2496" s="188">
        <v>-10200</v>
      </c>
    </row>
    <row r="2497" spans="6:7" x14ac:dyDescent="0.25">
      <c r="F2497" s="177" t="s">
        <v>623</v>
      </c>
      <c r="G2497" s="188">
        <v>12500</v>
      </c>
    </row>
    <row r="2498" spans="6:7" x14ac:dyDescent="0.25">
      <c r="F2498" s="177" t="s">
        <v>535</v>
      </c>
      <c r="G2498" s="188">
        <v>-1.3</v>
      </c>
    </row>
    <row r="2499" spans="6:7" x14ac:dyDescent="0.25">
      <c r="F2499" s="78"/>
      <c r="G2499" s="119"/>
    </row>
    <row r="2500" spans="6:7" ht="15.75" x14ac:dyDescent="0.25">
      <c r="F2500" s="78" t="s">
        <v>596</v>
      </c>
      <c r="G2500" s="189">
        <f>SUM(G2483:G2499)</f>
        <v>38386.35</v>
      </c>
    </row>
    <row r="2514" spans="5:13" ht="18.75" x14ac:dyDescent="0.3">
      <c r="E2514" s="314" t="s">
        <v>699</v>
      </c>
      <c r="F2514" s="315"/>
      <c r="G2514" s="315"/>
      <c r="H2514" s="315"/>
      <c r="I2514" s="315"/>
      <c r="J2514" s="315"/>
      <c r="K2514" s="315"/>
      <c r="L2514" s="315"/>
      <c r="M2514" s="315"/>
    </row>
    <row r="2515" spans="5:13" x14ac:dyDescent="0.25">
      <c r="E2515" s="78"/>
      <c r="F2515" s="78"/>
      <c r="G2515" s="78"/>
      <c r="H2515" s="78"/>
      <c r="I2515" s="78"/>
      <c r="J2515" s="78"/>
      <c r="K2515" s="78"/>
      <c r="L2515" s="78"/>
      <c r="M2515" s="78"/>
    </row>
    <row r="2516" spans="5:13" ht="15.75" x14ac:dyDescent="0.25">
      <c r="E2516" s="118" t="s">
        <v>223</v>
      </c>
      <c r="F2516" s="118" t="s">
        <v>206</v>
      </c>
      <c r="G2516" s="118" t="s">
        <v>207</v>
      </c>
      <c r="H2516" s="118" t="s">
        <v>218</v>
      </c>
      <c r="I2516" s="78"/>
      <c r="J2516" s="120" t="s">
        <v>6</v>
      </c>
      <c r="K2516" s="120" t="s">
        <v>217</v>
      </c>
      <c r="L2516" s="120" t="s">
        <v>207</v>
      </c>
      <c r="M2516" s="120" t="s">
        <v>218</v>
      </c>
    </row>
    <row r="2517" spans="5:13" x14ac:dyDescent="0.25">
      <c r="E2517" s="117"/>
      <c r="F2517" s="78" t="s">
        <v>459</v>
      </c>
      <c r="G2517" s="78" t="s">
        <v>556</v>
      </c>
      <c r="H2517" s="119">
        <v>10140</v>
      </c>
      <c r="I2517" s="175" t="s">
        <v>557</v>
      </c>
      <c r="J2517" s="117"/>
      <c r="K2517" s="78"/>
      <c r="L2517" s="78"/>
      <c r="M2517" s="119"/>
    </row>
    <row r="2518" spans="5:13" x14ac:dyDescent="0.25">
      <c r="E2518" s="117">
        <v>46087</v>
      </c>
      <c r="F2518" s="78" t="s">
        <v>148</v>
      </c>
      <c r="G2518" s="78" t="s">
        <v>209</v>
      </c>
      <c r="H2518" s="119">
        <v>420</v>
      </c>
      <c r="I2518" s="78"/>
      <c r="J2518" s="117">
        <v>46037</v>
      </c>
      <c r="K2518" s="149" t="s">
        <v>66</v>
      </c>
      <c r="L2518" s="78" t="s">
        <v>222</v>
      </c>
      <c r="M2518" s="119">
        <v>2120</v>
      </c>
    </row>
    <row r="2519" spans="5:13" ht="15.75" x14ac:dyDescent="0.25">
      <c r="E2519" s="117">
        <v>46087</v>
      </c>
      <c r="F2519" s="78" t="s">
        <v>214</v>
      </c>
      <c r="G2519" s="155" t="s">
        <v>211</v>
      </c>
      <c r="H2519" s="156">
        <v>3500</v>
      </c>
      <c r="I2519" s="78"/>
      <c r="J2519" s="181">
        <v>46120</v>
      </c>
      <c r="K2519" s="182" t="s">
        <v>520</v>
      </c>
      <c r="L2519" s="182"/>
      <c r="M2519" s="183">
        <v>27660.07</v>
      </c>
    </row>
    <row r="2520" spans="5:13" ht="15.75" x14ac:dyDescent="0.25">
      <c r="E2520" s="117"/>
      <c r="F2520" s="78" t="s">
        <v>401</v>
      </c>
      <c r="G2520" s="78" t="s">
        <v>402</v>
      </c>
      <c r="H2520" s="119">
        <v>2880</v>
      </c>
      <c r="I2520" s="119"/>
      <c r="J2520" s="184"/>
      <c r="K2520" s="185"/>
      <c r="L2520" s="185"/>
      <c r="M2520" s="140"/>
    </row>
    <row r="2521" spans="5:13" ht="15.75" x14ac:dyDescent="0.25">
      <c r="E2521" s="78"/>
      <c r="F2521" s="201" t="s">
        <v>429</v>
      </c>
      <c r="G2521" s="201"/>
      <c r="H2521" s="202">
        <v>37516.35</v>
      </c>
      <c r="I2521" s="119"/>
      <c r="J2521" s="184">
        <v>46135</v>
      </c>
      <c r="K2521" s="185" t="s">
        <v>257</v>
      </c>
      <c r="L2521" s="185"/>
      <c r="M2521" s="140">
        <v>2400</v>
      </c>
    </row>
    <row r="2522" spans="5:13" ht="15.75" x14ac:dyDescent="0.25">
      <c r="E2522" s="78"/>
      <c r="F2522" s="78" t="s">
        <v>502</v>
      </c>
      <c r="G2522" s="166"/>
      <c r="H2522" s="167">
        <v>2600</v>
      </c>
      <c r="I2522" s="78"/>
      <c r="J2522" s="184"/>
      <c r="K2522" s="185" t="s">
        <v>216</v>
      </c>
      <c r="L2522" s="185"/>
      <c r="M2522" s="140">
        <v>2000</v>
      </c>
    </row>
    <row r="2523" spans="5:13" ht="15.75" x14ac:dyDescent="0.25">
      <c r="E2523" s="117">
        <v>46121</v>
      </c>
      <c r="F2523" s="78" t="s">
        <v>540</v>
      </c>
      <c r="G2523" s="166"/>
      <c r="H2523" s="167">
        <v>3120</v>
      </c>
      <c r="I2523" s="78"/>
      <c r="J2523" s="184"/>
      <c r="K2523" s="185"/>
      <c r="L2523" s="185"/>
      <c r="M2523" s="140"/>
    </row>
    <row r="2524" spans="5:13" x14ac:dyDescent="0.25">
      <c r="E2524" s="117"/>
      <c r="F2524" s="78" t="s">
        <v>590</v>
      </c>
      <c r="G2524" s="166"/>
      <c r="H2524" s="167">
        <v>3520</v>
      </c>
      <c r="I2524" s="78"/>
      <c r="J2524" s="78"/>
      <c r="K2524" s="78"/>
      <c r="L2524" s="78"/>
      <c r="M2524" s="119"/>
    </row>
    <row r="2525" spans="5:13" ht="18.75" x14ac:dyDescent="0.3">
      <c r="E2525" s="117"/>
      <c r="F2525" s="78" t="s">
        <v>591</v>
      </c>
      <c r="G2525" s="166"/>
      <c r="H2525" s="167">
        <v>2200</v>
      </c>
      <c r="J2525" s="78"/>
      <c r="K2525" s="126" t="s">
        <v>226</v>
      </c>
      <c r="L2525" s="126"/>
      <c r="M2525" s="127">
        <f>SUM(M2517:M2524)</f>
        <v>34180.07</v>
      </c>
    </row>
    <row r="2526" spans="5:13" x14ac:dyDescent="0.25">
      <c r="E2526" s="117">
        <v>46128</v>
      </c>
      <c r="F2526" s="78" t="s">
        <v>611</v>
      </c>
      <c r="G2526" s="166"/>
      <c r="H2526" s="167">
        <v>2550</v>
      </c>
    </row>
    <row r="2527" spans="5:13" x14ac:dyDescent="0.25">
      <c r="E2527" s="117"/>
      <c r="F2527" s="78" t="s">
        <v>616</v>
      </c>
      <c r="G2527" s="166"/>
      <c r="H2527" s="167">
        <v>580</v>
      </c>
      <c r="M2527" s="121"/>
    </row>
    <row r="2528" spans="5:13" x14ac:dyDescent="0.25">
      <c r="E2528" s="117"/>
      <c r="F2528" s="78" t="s">
        <v>673</v>
      </c>
      <c r="G2528" s="166"/>
      <c r="H2528" s="167">
        <v>2580</v>
      </c>
      <c r="L2528" s="121"/>
    </row>
    <row r="2529" spans="5:13" x14ac:dyDescent="0.25">
      <c r="E2529" s="117"/>
      <c r="F2529" s="78" t="s">
        <v>406</v>
      </c>
      <c r="G2529" s="166"/>
      <c r="H2529" s="167">
        <v>920</v>
      </c>
      <c r="L2529" s="121"/>
    </row>
    <row r="2530" spans="5:13" x14ac:dyDescent="0.25">
      <c r="E2530" s="117"/>
      <c r="F2530" s="78"/>
      <c r="G2530" s="166"/>
      <c r="H2530" s="167"/>
    </row>
    <row r="2531" spans="5:13" ht="15.75" x14ac:dyDescent="0.25">
      <c r="E2531" s="78"/>
      <c r="F2531" s="78"/>
      <c r="G2531" s="78"/>
      <c r="H2531" s="119"/>
      <c r="J2531" s="316" t="s">
        <v>227</v>
      </c>
      <c r="K2531" s="317"/>
      <c r="L2531" s="140">
        <f>H2537-M2525</f>
        <v>75254.830000000016</v>
      </c>
    </row>
    <row r="2532" spans="5:13" ht="15.75" x14ac:dyDescent="0.25">
      <c r="E2532" s="78"/>
      <c r="F2532" s="78"/>
      <c r="G2532" s="78"/>
      <c r="H2532" s="122">
        <f>SUM(H2517:H2531)</f>
        <v>72526.350000000006</v>
      </c>
      <c r="L2532" s="89"/>
    </row>
    <row r="2533" spans="5:13" ht="15.75" x14ac:dyDescent="0.25">
      <c r="H2533" s="157"/>
      <c r="J2533" s="128" t="s">
        <v>285</v>
      </c>
      <c r="L2533" s="124">
        <f>G2573</f>
        <v>12046.519999999999</v>
      </c>
    </row>
    <row r="2534" spans="5:13" x14ac:dyDescent="0.25">
      <c r="G2534" s="101" t="s">
        <v>224</v>
      </c>
      <c r="H2534" s="101">
        <v>36908.550000000003</v>
      </c>
    </row>
    <row r="2535" spans="5:13" ht="21" x14ac:dyDescent="0.35">
      <c r="K2535" s="198" t="s">
        <v>286</v>
      </c>
      <c r="L2535" s="137">
        <f>SUM(L2531:L2533)</f>
        <v>87301.35000000002</v>
      </c>
    </row>
    <row r="2536" spans="5:13" x14ac:dyDescent="0.25">
      <c r="E2536" s="121"/>
      <c r="L2536" s="157">
        <v>86851.67</v>
      </c>
      <c r="M2536" s="39" t="s">
        <v>76</v>
      </c>
    </row>
    <row r="2537" spans="5:13" ht="18.75" x14ac:dyDescent="0.3">
      <c r="G2537" s="99" t="s">
        <v>225</v>
      </c>
      <c r="H2537" s="125">
        <f>SUM(H2532+H2534)</f>
        <v>109434.90000000001</v>
      </c>
    </row>
    <row r="2538" spans="5:13" ht="18.75" x14ac:dyDescent="0.3">
      <c r="E2538" s="121"/>
      <c r="L2538" s="154">
        <f>L2535-L2536</f>
        <v>449.68000000002212</v>
      </c>
    </row>
    <row r="2539" spans="5:13" ht="18.75" x14ac:dyDescent="0.3">
      <c r="E2539" s="121"/>
      <c r="L2539" s="125"/>
    </row>
    <row r="2540" spans="5:13" ht="18.75" x14ac:dyDescent="0.3">
      <c r="L2540" s="125"/>
    </row>
    <row r="2545" spans="5:12" x14ac:dyDescent="0.25">
      <c r="E2545" s="91"/>
    </row>
    <row r="2546" spans="5:12" ht="15.75" x14ac:dyDescent="0.25">
      <c r="F2546" s="132" t="s">
        <v>235</v>
      </c>
      <c r="G2546" s="133">
        <v>27451.26</v>
      </c>
    </row>
    <row r="2547" spans="5:12" ht="15.75" x14ac:dyDescent="0.25">
      <c r="E2547" s="91">
        <v>46132</v>
      </c>
      <c r="F2547" s="128" t="s">
        <v>647</v>
      </c>
      <c r="G2547" s="171">
        <v>39</v>
      </c>
      <c r="K2547" s="322" t="s">
        <v>570</v>
      </c>
      <c r="L2547" s="322"/>
    </row>
    <row r="2548" spans="5:12" ht="15.75" x14ac:dyDescent="0.25">
      <c r="F2548" s="148" t="s">
        <v>519</v>
      </c>
      <c r="G2548" s="144">
        <v>-100</v>
      </c>
    </row>
    <row r="2549" spans="5:12" ht="15.75" x14ac:dyDescent="0.25">
      <c r="F2549" s="148" t="s">
        <v>649</v>
      </c>
      <c r="G2549" s="144">
        <v>-195.6</v>
      </c>
      <c r="K2549" s="150" t="s">
        <v>595</v>
      </c>
      <c r="L2549" s="151">
        <v>46777.77</v>
      </c>
    </row>
    <row r="2550" spans="5:12" ht="15.75" x14ac:dyDescent="0.25">
      <c r="F2550" s="148" t="s">
        <v>250</v>
      </c>
      <c r="G2550" s="144">
        <v>-400</v>
      </c>
      <c r="J2550" s="187">
        <v>46126</v>
      </c>
      <c r="K2550" s="139" t="s">
        <v>599</v>
      </c>
      <c r="L2550" s="139">
        <v>-1760</v>
      </c>
    </row>
    <row r="2551" spans="5:12" ht="15.75" x14ac:dyDescent="0.25">
      <c r="F2551" s="128" t="s">
        <v>357</v>
      </c>
      <c r="G2551" s="171">
        <v>5574.4</v>
      </c>
      <c r="K2551" s="139" t="s">
        <v>598</v>
      </c>
      <c r="L2551" s="139">
        <v>-2975</v>
      </c>
    </row>
    <row r="2552" spans="5:12" ht="15.75" x14ac:dyDescent="0.25">
      <c r="E2552" s="91">
        <v>46133</v>
      </c>
      <c r="F2552" s="128" t="s">
        <v>662</v>
      </c>
      <c r="G2552" s="171">
        <v>-10</v>
      </c>
      <c r="J2552" s="187">
        <v>46128</v>
      </c>
      <c r="K2552" s="139" t="s">
        <v>614</v>
      </c>
      <c r="L2552" s="139">
        <v>-2042.7</v>
      </c>
    </row>
    <row r="2553" spans="5:12" ht="15.75" x14ac:dyDescent="0.25">
      <c r="F2553" s="197" t="s">
        <v>665</v>
      </c>
      <c r="G2553" s="171">
        <v>4410</v>
      </c>
      <c r="J2553" s="187"/>
      <c r="K2553" s="139" t="s">
        <v>619</v>
      </c>
      <c r="L2553" s="139">
        <v>-4280</v>
      </c>
    </row>
    <row r="2554" spans="5:12" ht="15.75" x14ac:dyDescent="0.25">
      <c r="F2554" s="128" t="s">
        <v>357</v>
      </c>
      <c r="G2554" s="171">
        <v>6137.5</v>
      </c>
      <c r="J2554" s="187"/>
      <c r="K2554" s="139" t="s">
        <v>623</v>
      </c>
      <c r="L2554" s="139">
        <v>-30000</v>
      </c>
    </row>
    <row r="2555" spans="5:12" ht="15.75" x14ac:dyDescent="0.25">
      <c r="E2555" s="91">
        <v>46134</v>
      </c>
      <c r="F2555" s="128" t="s">
        <v>674</v>
      </c>
      <c r="G2555" s="171">
        <v>-1827</v>
      </c>
      <c r="K2555" s="139" t="s">
        <v>640</v>
      </c>
      <c r="L2555" s="139">
        <v>-2080</v>
      </c>
    </row>
    <row r="2556" spans="5:12" ht="15.75" x14ac:dyDescent="0.25">
      <c r="F2556" s="128" t="s">
        <v>676</v>
      </c>
      <c r="G2556" s="171">
        <v>210</v>
      </c>
      <c r="J2556" s="187"/>
      <c r="K2556" s="139" t="s">
        <v>623</v>
      </c>
      <c r="L2556" s="139">
        <v>-500</v>
      </c>
    </row>
    <row r="2557" spans="5:12" ht="15.75" x14ac:dyDescent="0.25">
      <c r="F2557" s="148" t="s">
        <v>680</v>
      </c>
      <c r="G2557" s="144">
        <v>-825</v>
      </c>
      <c r="J2557" s="187">
        <v>46132</v>
      </c>
      <c r="K2557" s="139" t="s">
        <v>519</v>
      </c>
      <c r="L2557" s="139">
        <v>-100</v>
      </c>
    </row>
    <row r="2558" spans="5:12" ht="15.75" x14ac:dyDescent="0.25">
      <c r="F2558" s="148" t="s">
        <v>686</v>
      </c>
      <c r="G2558" s="144">
        <v>-40000</v>
      </c>
      <c r="K2558" s="139" t="s">
        <v>541</v>
      </c>
      <c r="L2558" s="139">
        <v>13500</v>
      </c>
    </row>
    <row r="2559" spans="5:12" ht="15.75" x14ac:dyDescent="0.25">
      <c r="F2559" s="148" t="s">
        <v>688</v>
      </c>
      <c r="G2559" s="144">
        <v>-100</v>
      </c>
      <c r="K2559" s="139" t="s">
        <v>652</v>
      </c>
      <c r="L2559" s="139">
        <v>-1420</v>
      </c>
    </row>
    <row r="2560" spans="5:12" ht="15.75" x14ac:dyDescent="0.25">
      <c r="F2560" s="199" t="s">
        <v>357</v>
      </c>
      <c r="G2560" s="200">
        <v>2367.5</v>
      </c>
      <c r="K2560" s="139" t="s">
        <v>663</v>
      </c>
      <c r="L2560" s="139">
        <v>180</v>
      </c>
    </row>
    <row r="2561" spans="5:12" ht="15.75" x14ac:dyDescent="0.25">
      <c r="E2561" s="91">
        <v>46135</v>
      </c>
      <c r="F2561" s="199" t="s">
        <v>690</v>
      </c>
      <c r="G2561" s="200">
        <v>2850</v>
      </c>
      <c r="K2561" s="139" t="s">
        <v>666</v>
      </c>
      <c r="L2561" s="139">
        <v>11000</v>
      </c>
    </row>
    <row r="2562" spans="5:12" ht="15.75" x14ac:dyDescent="0.25">
      <c r="E2562" s="91"/>
      <c r="F2562" s="199" t="s">
        <v>691</v>
      </c>
      <c r="G2562" s="200">
        <v>1770</v>
      </c>
      <c r="K2562" s="139" t="s">
        <v>675</v>
      </c>
      <c r="L2562" s="139">
        <v>-1000</v>
      </c>
    </row>
    <row r="2563" spans="5:12" ht="15.75" x14ac:dyDescent="0.25">
      <c r="E2563" s="91"/>
      <c r="F2563" s="148" t="s">
        <v>272</v>
      </c>
      <c r="G2563" s="144">
        <v>-400</v>
      </c>
      <c r="K2563" s="139" t="s">
        <v>677</v>
      </c>
      <c r="L2563" s="139">
        <v>-1040</v>
      </c>
    </row>
    <row r="2564" spans="5:12" ht="15.75" x14ac:dyDescent="0.25">
      <c r="E2564" s="91"/>
      <c r="F2564" s="148" t="s">
        <v>697</v>
      </c>
      <c r="G2564" s="144">
        <v>-7</v>
      </c>
      <c r="K2564" s="139" t="s">
        <v>678</v>
      </c>
      <c r="L2564" s="139">
        <v>-7000</v>
      </c>
    </row>
    <row r="2565" spans="5:12" ht="15.75" x14ac:dyDescent="0.25">
      <c r="E2565" s="91">
        <v>46136</v>
      </c>
      <c r="F2565" s="205" t="s">
        <v>700</v>
      </c>
      <c r="G2565" s="206">
        <v>2100</v>
      </c>
      <c r="K2565" s="139" t="s">
        <v>685</v>
      </c>
      <c r="L2565" s="139">
        <v>-1050</v>
      </c>
    </row>
    <row r="2566" spans="5:12" ht="15.75" x14ac:dyDescent="0.25">
      <c r="E2566" s="91"/>
      <c r="F2566" s="199" t="s">
        <v>702</v>
      </c>
      <c r="G2566" s="200">
        <v>1040</v>
      </c>
      <c r="K2566" s="139" t="s">
        <v>623</v>
      </c>
      <c r="L2566" s="139">
        <v>12500</v>
      </c>
    </row>
    <row r="2567" spans="5:12" ht="15.75" x14ac:dyDescent="0.25">
      <c r="E2567" s="91"/>
      <c r="F2567" s="148" t="s">
        <v>703</v>
      </c>
      <c r="G2567" s="144">
        <v>-900</v>
      </c>
      <c r="K2567" s="139" t="s">
        <v>696</v>
      </c>
      <c r="L2567" s="139">
        <v>-1050</v>
      </c>
    </row>
    <row r="2568" spans="5:12" ht="15.75" x14ac:dyDescent="0.25">
      <c r="E2568" s="91"/>
      <c r="F2568" s="199" t="s">
        <v>704</v>
      </c>
      <c r="G2568" s="200">
        <v>2913.7</v>
      </c>
    </row>
    <row r="2569" spans="5:12" ht="15.75" x14ac:dyDescent="0.25">
      <c r="E2569" s="91"/>
      <c r="F2569" s="148" t="s">
        <v>250</v>
      </c>
      <c r="G2569" s="144">
        <v>-439.8</v>
      </c>
      <c r="L2569" s="193">
        <f>SUM(L2549:L2567)</f>
        <v>27660.07</v>
      </c>
    </row>
    <row r="2570" spans="5:12" ht="15.75" x14ac:dyDescent="0.25">
      <c r="E2570" s="91"/>
      <c r="F2570" s="148" t="s">
        <v>357</v>
      </c>
      <c r="G2570" s="144">
        <v>395.56</v>
      </c>
    </row>
    <row r="2571" spans="5:12" ht="15.75" x14ac:dyDescent="0.25">
      <c r="E2571" s="91"/>
      <c r="F2571" s="148" t="s">
        <v>708</v>
      </c>
      <c r="G2571" s="144">
        <v>-8</v>
      </c>
    </row>
    <row r="2572" spans="5:12" x14ac:dyDescent="0.25">
      <c r="F2572" s="139"/>
      <c r="G2572" s="138"/>
    </row>
    <row r="2573" spans="5:12" ht="15.75" x14ac:dyDescent="0.25">
      <c r="F2573" s="132" t="s">
        <v>236</v>
      </c>
      <c r="G2573" s="133">
        <f>SUM(G2546:G2572)</f>
        <v>12046.519999999999</v>
      </c>
    </row>
    <row r="2576" spans="5:12" x14ac:dyDescent="0.25">
      <c r="G2576">
        <v>-11.9</v>
      </c>
    </row>
    <row r="2578" spans="5:10" x14ac:dyDescent="0.25">
      <c r="F2578" s="39"/>
      <c r="G2578" s="157">
        <f>SUM(G2573:G2577)</f>
        <v>12034.619999999999</v>
      </c>
    </row>
    <row r="2579" spans="5:10" x14ac:dyDescent="0.25">
      <c r="E2579" s="91"/>
    </row>
    <row r="2580" spans="5:10" x14ac:dyDescent="0.25">
      <c r="E2580" s="91"/>
    </row>
    <row r="2581" spans="5:10" x14ac:dyDescent="0.25">
      <c r="E2581" s="91"/>
    </row>
    <row r="2582" spans="5:10" x14ac:dyDescent="0.25">
      <c r="E2582" s="91"/>
    </row>
    <row r="2583" spans="5:10" ht="15.75" x14ac:dyDescent="0.25">
      <c r="E2583" s="91"/>
      <c r="F2583" s="166" t="s">
        <v>429</v>
      </c>
      <c r="G2583" s="131">
        <v>2386</v>
      </c>
    </row>
    <row r="2584" spans="5:10" x14ac:dyDescent="0.25">
      <c r="F2584" s="197"/>
      <c r="G2584" s="196"/>
    </row>
    <row r="2585" spans="5:10" x14ac:dyDescent="0.25">
      <c r="F2585" s="177" t="s">
        <v>650</v>
      </c>
      <c r="G2585" s="188">
        <v>-825</v>
      </c>
      <c r="J2585" s="121"/>
    </row>
    <row r="2586" spans="5:10" x14ac:dyDescent="0.25">
      <c r="F2586" s="197" t="s">
        <v>651</v>
      </c>
      <c r="G2586" s="196">
        <v>13500</v>
      </c>
    </row>
    <row r="2587" spans="5:10" x14ac:dyDescent="0.25">
      <c r="F2587" s="177" t="s">
        <v>535</v>
      </c>
      <c r="G2587" s="188">
        <v>-0.7</v>
      </c>
    </row>
    <row r="2588" spans="5:10" x14ac:dyDescent="0.25">
      <c r="F2588" s="177" t="s">
        <v>661</v>
      </c>
      <c r="G2588" s="188">
        <v>-2430</v>
      </c>
    </row>
    <row r="2589" spans="5:10" x14ac:dyDescent="0.25">
      <c r="F2589" s="177" t="s">
        <v>664</v>
      </c>
      <c r="G2589" s="188">
        <v>-4410</v>
      </c>
    </row>
    <row r="2590" spans="5:10" x14ac:dyDescent="0.25">
      <c r="E2590" s="91">
        <v>46134</v>
      </c>
      <c r="F2590" s="177" t="s">
        <v>671</v>
      </c>
      <c r="G2590" s="188">
        <v>-1310</v>
      </c>
    </row>
    <row r="2591" spans="5:10" x14ac:dyDescent="0.25">
      <c r="E2591" s="91">
        <v>46134</v>
      </c>
      <c r="F2591" s="177" t="s">
        <v>672</v>
      </c>
      <c r="G2591" s="188">
        <v>-3320</v>
      </c>
    </row>
    <row r="2592" spans="5:10" x14ac:dyDescent="0.25">
      <c r="E2592" s="91">
        <v>46134</v>
      </c>
      <c r="F2592" s="177" t="s">
        <v>679</v>
      </c>
      <c r="G2592" s="188">
        <v>-7000</v>
      </c>
    </row>
    <row r="2593" spans="5:7" x14ac:dyDescent="0.25">
      <c r="E2593" s="91">
        <v>46134</v>
      </c>
      <c r="F2593" s="177" t="s">
        <v>681</v>
      </c>
      <c r="G2593" s="188">
        <v>-500</v>
      </c>
    </row>
    <row r="2594" spans="5:7" x14ac:dyDescent="0.25">
      <c r="E2594" s="91"/>
      <c r="F2594" s="197" t="s">
        <v>687</v>
      </c>
      <c r="G2594" s="196">
        <v>40000</v>
      </c>
    </row>
    <row r="2595" spans="5:7" x14ac:dyDescent="0.25">
      <c r="E2595" s="91"/>
      <c r="F2595" s="177" t="s">
        <v>535</v>
      </c>
      <c r="G2595" s="188">
        <v>-2.65</v>
      </c>
    </row>
    <row r="2596" spans="5:7" x14ac:dyDescent="0.25">
      <c r="E2596" s="91">
        <v>46135</v>
      </c>
      <c r="F2596" s="177" t="s">
        <v>695</v>
      </c>
      <c r="G2596" s="188">
        <v>-10200</v>
      </c>
    </row>
    <row r="2597" spans="5:7" x14ac:dyDescent="0.25">
      <c r="F2597" s="177" t="s">
        <v>623</v>
      </c>
      <c r="G2597" s="188">
        <v>12500</v>
      </c>
    </row>
    <row r="2598" spans="5:7" x14ac:dyDescent="0.25">
      <c r="F2598" s="177" t="s">
        <v>535</v>
      </c>
      <c r="G2598" s="188">
        <v>-1.3</v>
      </c>
    </row>
    <row r="2599" spans="5:7" x14ac:dyDescent="0.25">
      <c r="E2599" s="91">
        <v>46136</v>
      </c>
      <c r="F2599" s="177" t="s">
        <v>701</v>
      </c>
      <c r="G2599" s="188">
        <v>-870</v>
      </c>
    </row>
    <row r="2600" spans="5:7" ht="15.75" x14ac:dyDescent="0.25">
      <c r="F2600" s="207" t="s">
        <v>707</v>
      </c>
      <c r="G2600" s="208">
        <v>2750</v>
      </c>
    </row>
    <row r="2601" spans="5:7" x14ac:dyDescent="0.25">
      <c r="F2601" s="177"/>
      <c r="G2601" s="188"/>
    </row>
    <row r="2602" spans="5:7" x14ac:dyDescent="0.25">
      <c r="F2602" s="78"/>
      <c r="G2602" s="119"/>
    </row>
    <row r="2603" spans="5:7" ht="15.75" x14ac:dyDescent="0.25">
      <c r="F2603" s="78" t="s">
        <v>596</v>
      </c>
      <c r="G2603" s="189">
        <f>SUM(G2583:G2602)</f>
        <v>40266.35</v>
      </c>
    </row>
    <row r="2614" spans="5:13" ht="18.75" x14ac:dyDescent="0.3">
      <c r="E2614" s="314" t="s">
        <v>709</v>
      </c>
      <c r="F2614" s="315"/>
      <c r="G2614" s="315"/>
      <c r="H2614" s="315"/>
      <c r="I2614" s="315"/>
      <c r="J2614" s="315"/>
      <c r="K2614" s="315"/>
      <c r="L2614" s="315"/>
      <c r="M2614" s="315"/>
    </row>
    <row r="2615" spans="5:13" x14ac:dyDescent="0.25">
      <c r="E2615" s="78"/>
      <c r="F2615" s="78"/>
      <c r="G2615" s="78"/>
      <c r="H2615" s="78"/>
      <c r="I2615" s="78"/>
      <c r="J2615" s="78"/>
      <c r="K2615" s="78"/>
      <c r="L2615" s="78"/>
      <c r="M2615" s="78"/>
    </row>
    <row r="2616" spans="5:13" ht="15.75" x14ac:dyDescent="0.25">
      <c r="E2616" s="118" t="s">
        <v>223</v>
      </c>
      <c r="F2616" s="118" t="s">
        <v>206</v>
      </c>
      <c r="G2616" s="118" t="s">
        <v>207</v>
      </c>
      <c r="H2616" s="118" t="s">
        <v>218</v>
      </c>
      <c r="I2616" s="78"/>
      <c r="J2616" s="120" t="s">
        <v>6</v>
      </c>
      <c r="K2616" s="120" t="s">
        <v>217</v>
      </c>
      <c r="L2616" s="120" t="s">
        <v>207</v>
      </c>
      <c r="M2616" s="120" t="s">
        <v>218</v>
      </c>
    </row>
    <row r="2617" spans="5:13" x14ac:dyDescent="0.25">
      <c r="E2617" s="117"/>
      <c r="F2617" s="78" t="s">
        <v>459</v>
      </c>
      <c r="G2617" s="78" t="s">
        <v>556</v>
      </c>
      <c r="H2617" s="119">
        <v>10140</v>
      </c>
      <c r="I2617" s="175" t="s">
        <v>557</v>
      </c>
      <c r="J2617" s="117"/>
      <c r="K2617" s="78"/>
      <c r="L2617" s="78"/>
      <c r="M2617" s="119"/>
    </row>
    <row r="2618" spans="5:13" x14ac:dyDescent="0.25">
      <c r="E2618" s="117">
        <v>46087</v>
      </c>
      <c r="F2618" s="78" t="s">
        <v>148</v>
      </c>
      <c r="G2618" s="78" t="s">
        <v>209</v>
      </c>
      <c r="H2618" s="119">
        <v>420</v>
      </c>
      <c r="I2618" s="78"/>
      <c r="J2618" s="117">
        <v>46037</v>
      </c>
      <c r="K2618" s="149" t="s">
        <v>66</v>
      </c>
      <c r="L2618" s="78" t="s">
        <v>222</v>
      </c>
      <c r="M2618" s="119">
        <v>2120</v>
      </c>
    </row>
    <row r="2619" spans="5:13" ht="15.75" x14ac:dyDescent="0.25">
      <c r="E2619" s="117">
        <v>46087</v>
      </c>
      <c r="F2619" s="78" t="s">
        <v>214</v>
      </c>
      <c r="G2619" s="155" t="s">
        <v>211</v>
      </c>
      <c r="H2619" s="156">
        <v>3400</v>
      </c>
      <c r="I2619" s="78"/>
      <c r="J2619" s="181">
        <v>46120</v>
      </c>
      <c r="K2619" s="182" t="s">
        <v>520</v>
      </c>
      <c r="L2619" s="182"/>
      <c r="M2619" s="183">
        <v>17626.830000000002</v>
      </c>
    </row>
    <row r="2620" spans="5:13" ht="15.75" x14ac:dyDescent="0.25">
      <c r="E2620" s="117"/>
      <c r="F2620" s="78" t="s">
        <v>401</v>
      </c>
      <c r="G2620" s="78" t="s">
        <v>402</v>
      </c>
      <c r="H2620" s="119">
        <v>2880</v>
      </c>
      <c r="I2620" s="119"/>
      <c r="J2620" s="184"/>
      <c r="K2620" s="185"/>
      <c r="L2620" s="185"/>
      <c r="M2620" s="140"/>
    </row>
    <row r="2621" spans="5:13" ht="15.75" x14ac:dyDescent="0.25">
      <c r="E2621" s="78"/>
      <c r="F2621" s="201" t="s">
        <v>429</v>
      </c>
      <c r="G2621" s="201"/>
      <c r="H2621" s="202">
        <v>32382.66</v>
      </c>
      <c r="I2621" s="119"/>
      <c r="J2621" s="184">
        <v>46135</v>
      </c>
      <c r="K2621" s="185" t="s">
        <v>257</v>
      </c>
      <c r="L2621" s="185"/>
      <c r="M2621" s="140">
        <v>6000</v>
      </c>
    </row>
    <row r="2622" spans="5:13" ht="15.75" x14ac:dyDescent="0.25">
      <c r="E2622" s="78"/>
      <c r="F2622" s="78" t="s">
        <v>502</v>
      </c>
      <c r="G2622" s="166"/>
      <c r="H2622" s="167">
        <v>2600</v>
      </c>
      <c r="I2622" s="78"/>
      <c r="J2622" s="184"/>
      <c r="K2622" s="185" t="s">
        <v>216</v>
      </c>
      <c r="L2622" s="185"/>
      <c r="M2622" s="140">
        <v>2000</v>
      </c>
    </row>
    <row r="2623" spans="5:13" ht="15.75" x14ac:dyDescent="0.25">
      <c r="E2623" s="117">
        <v>46121</v>
      </c>
      <c r="F2623" s="78" t="s">
        <v>540</v>
      </c>
      <c r="G2623" s="166"/>
      <c r="H2623" s="167">
        <v>3120</v>
      </c>
      <c r="I2623" s="78"/>
      <c r="J2623" s="184"/>
      <c r="K2623" s="185"/>
      <c r="L2623" s="185"/>
      <c r="M2623" s="140"/>
    </row>
    <row r="2624" spans="5:13" x14ac:dyDescent="0.25">
      <c r="E2624" s="117"/>
      <c r="F2624" s="78" t="s">
        <v>590</v>
      </c>
      <c r="G2624" s="166"/>
      <c r="H2624" s="167">
        <v>3520</v>
      </c>
      <c r="I2624" s="78"/>
      <c r="J2624" s="78"/>
      <c r="K2624" s="78"/>
      <c r="L2624" s="78"/>
      <c r="M2624" s="119"/>
    </row>
    <row r="2625" spans="5:16" ht="18.75" x14ac:dyDescent="0.3">
      <c r="E2625" s="117"/>
      <c r="F2625" s="78" t="s">
        <v>591</v>
      </c>
      <c r="G2625" s="166"/>
      <c r="H2625" s="167">
        <v>2200</v>
      </c>
      <c r="J2625" s="78"/>
      <c r="K2625" s="126" t="s">
        <v>226</v>
      </c>
      <c r="L2625" s="126"/>
      <c r="M2625" s="127">
        <f>SUM(M2617:M2624)</f>
        <v>27746.83</v>
      </c>
    </row>
    <row r="2626" spans="5:16" x14ac:dyDescent="0.25">
      <c r="E2626" s="117">
        <v>46128</v>
      </c>
      <c r="F2626" s="78" t="s">
        <v>611</v>
      </c>
      <c r="G2626" s="166"/>
      <c r="H2626" s="167">
        <v>2550</v>
      </c>
    </row>
    <row r="2627" spans="5:16" x14ac:dyDescent="0.25">
      <c r="E2627" s="117"/>
      <c r="F2627" s="78" t="s">
        <v>616</v>
      </c>
      <c r="G2627" s="166"/>
      <c r="H2627" s="167">
        <v>580</v>
      </c>
      <c r="M2627" s="121"/>
    </row>
    <row r="2628" spans="5:16" x14ac:dyDescent="0.25">
      <c r="E2628" s="117"/>
      <c r="F2628" s="78" t="s">
        <v>673</v>
      </c>
      <c r="G2628" s="166"/>
      <c r="H2628" s="167">
        <v>2580</v>
      </c>
      <c r="L2628" s="121"/>
    </row>
    <row r="2629" spans="5:16" x14ac:dyDescent="0.25">
      <c r="E2629" s="117"/>
      <c r="F2629" s="78" t="s">
        <v>406</v>
      </c>
      <c r="G2629" s="166"/>
      <c r="H2629" s="167">
        <v>920</v>
      </c>
      <c r="L2629" s="121"/>
    </row>
    <row r="2630" spans="5:16" x14ac:dyDescent="0.25">
      <c r="E2630" s="117"/>
      <c r="F2630" s="78"/>
      <c r="G2630" s="166"/>
      <c r="H2630" s="167"/>
    </row>
    <row r="2631" spans="5:16" ht="15.75" x14ac:dyDescent="0.25">
      <c r="E2631" s="78"/>
      <c r="F2631" s="78"/>
      <c r="G2631" s="78"/>
      <c r="H2631" s="119"/>
      <c r="J2631" s="316" t="s">
        <v>227</v>
      </c>
      <c r="K2631" s="317"/>
      <c r="L2631" s="140">
        <f>H2637-M2625</f>
        <v>74534.38</v>
      </c>
    </row>
    <row r="2632" spans="5:16" ht="15.75" x14ac:dyDescent="0.25">
      <c r="E2632" s="78"/>
      <c r="F2632" s="78"/>
      <c r="G2632" s="78"/>
      <c r="H2632" s="122">
        <f>SUM(H2617:H2631)</f>
        <v>67292.66</v>
      </c>
      <c r="L2632" s="89"/>
      <c r="P2632">
        <f>1500*2.4</f>
        <v>3600</v>
      </c>
    </row>
    <row r="2633" spans="5:16" ht="15.75" x14ac:dyDescent="0.25">
      <c r="H2633" s="157"/>
      <c r="J2633" s="128" t="s">
        <v>285</v>
      </c>
      <c r="L2633" s="124">
        <f>G2681</f>
        <v>12280.519999999999</v>
      </c>
    </row>
    <row r="2634" spans="5:16" x14ac:dyDescent="0.25">
      <c r="G2634" s="101" t="s">
        <v>224</v>
      </c>
      <c r="H2634" s="101">
        <f>'STOCK 20-25-04 (10)'!AE53</f>
        <v>34988.550000000003</v>
      </c>
    </row>
    <row r="2635" spans="5:16" ht="21" x14ac:dyDescent="0.35">
      <c r="K2635" s="198" t="s">
        <v>286</v>
      </c>
      <c r="L2635" s="137">
        <f>SUM(L2631:L2633)</f>
        <v>86814.900000000009</v>
      </c>
    </row>
    <row r="2636" spans="5:16" x14ac:dyDescent="0.25">
      <c r="E2636" s="121"/>
      <c r="L2636" s="157">
        <v>87301.35</v>
      </c>
      <c r="M2636" s="39" t="s">
        <v>76</v>
      </c>
    </row>
    <row r="2637" spans="5:16" ht="18.75" x14ac:dyDescent="0.3">
      <c r="G2637" s="99" t="s">
        <v>225</v>
      </c>
      <c r="H2637" s="125">
        <f>SUM(H2632+H2634)</f>
        <v>102281.21</v>
      </c>
    </row>
    <row r="2638" spans="5:16" ht="18.75" x14ac:dyDescent="0.3">
      <c r="E2638" s="121"/>
      <c r="L2638" s="154">
        <f>L2635-L2636</f>
        <v>-486.44999999999709</v>
      </c>
    </row>
    <row r="2639" spans="5:16" ht="18.75" x14ac:dyDescent="0.3">
      <c r="E2639" s="121"/>
      <c r="L2639" s="125"/>
    </row>
    <row r="2640" spans="5:16" ht="18.75" x14ac:dyDescent="0.3">
      <c r="L2640" s="125"/>
    </row>
    <row r="2645" spans="5:12" x14ac:dyDescent="0.25">
      <c r="E2645" s="91"/>
    </row>
    <row r="2646" spans="5:12" ht="15.75" x14ac:dyDescent="0.25">
      <c r="F2646" s="132" t="s">
        <v>235</v>
      </c>
      <c r="G2646" s="133">
        <v>27451.26</v>
      </c>
    </row>
    <row r="2647" spans="5:12" ht="15.75" x14ac:dyDescent="0.25">
      <c r="E2647" s="91">
        <v>46132</v>
      </c>
      <c r="F2647" s="128" t="s">
        <v>647</v>
      </c>
      <c r="G2647" s="171">
        <v>39</v>
      </c>
      <c r="K2647" s="322" t="s">
        <v>570</v>
      </c>
      <c r="L2647" s="322"/>
    </row>
    <row r="2648" spans="5:12" ht="15.75" x14ac:dyDescent="0.25">
      <c r="F2648" s="148" t="s">
        <v>519</v>
      </c>
      <c r="G2648" s="144">
        <v>-100</v>
      </c>
    </row>
    <row r="2649" spans="5:12" ht="15.75" x14ac:dyDescent="0.25">
      <c r="F2649" s="148" t="s">
        <v>649</v>
      </c>
      <c r="G2649" s="144">
        <v>-195.6</v>
      </c>
      <c r="K2649" s="150" t="s">
        <v>595</v>
      </c>
      <c r="L2649" s="151">
        <v>46777.77</v>
      </c>
    </row>
    <row r="2650" spans="5:12" ht="15.75" x14ac:dyDescent="0.25">
      <c r="F2650" s="148" t="s">
        <v>250</v>
      </c>
      <c r="G2650" s="144">
        <v>-400</v>
      </c>
      <c r="J2650" s="187">
        <v>46126</v>
      </c>
      <c r="K2650" s="139" t="s">
        <v>599</v>
      </c>
      <c r="L2650" s="139">
        <v>-1760</v>
      </c>
    </row>
    <row r="2651" spans="5:12" ht="15.75" x14ac:dyDescent="0.25">
      <c r="F2651" s="128" t="s">
        <v>357</v>
      </c>
      <c r="G2651" s="171">
        <v>5574.4</v>
      </c>
      <c r="K2651" s="139" t="s">
        <v>598</v>
      </c>
      <c r="L2651" s="139">
        <v>-2975</v>
      </c>
    </row>
    <row r="2652" spans="5:12" ht="15.75" x14ac:dyDescent="0.25">
      <c r="E2652" s="91">
        <v>46133</v>
      </c>
      <c r="F2652" s="128" t="s">
        <v>662</v>
      </c>
      <c r="G2652" s="171">
        <v>-10</v>
      </c>
      <c r="J2652" s="187">
        <v>46128</v>
      </c>
      <c r="K2652" s="139" t="s">
        <v>614</v>
      </c>
      <c r="L2652" s="139">
        <v>-2042.7</v>
      </c>
    </row>
    <row r="2653" spans="5:12" ht="15.75" x14ac:dyDescent="0.25">
      <c r="F2653" s="197" t="s">
        <v>665</v>
      </c>
      <c r="G2653" s="171">
        <v>4410</v>
      </c>
      <c r="J2653" s="187"/>
      <c r="K2653" s="139" t="s">
        <v>619</v>
      </c>
      <c r="L2653" s="139">
        <v>-4280</v>
      </c>
    </row>
    <row r="2654" spans="5:12" ht="15.75" x14ac:dyDescent="0.25">
      <c r="F2654" s="128" t="s">
        <v>357</v>
      </c>
      <c r="G2654" s="171">
        <v>6137.5</v>
      </c>
      <c r="J2654" s="187"/>
      <c r="K2654" s="139" t="s">
        <v>623</v>
      </c>
      <c r="L2654" s="139">
        <v>-30000</v>
      </c>
    </row>
    <row r="2655" spans="5:12" ht="15.75" x14ac:dyDescent="0.25">
      <c r="E2655" s="91">
        <v>46134</v>
      </c>
      <c r="F2655" s="128" t="s">
        <v>674</v>
      </c>
      <c r="G2655" s="171">
        <v>-1827</v>
      </c>
      <c r="K2655" s="139" t="s">
        <v>640</v>
      </c>
      <c r="L2655" s="139">
        <v>-2080</v>
      </c>
    </row>
    <row r="2656" spans="5:12" ht="15.75" x14ac:dyDescent="0.25">
      <c r="F2656" s="128" t="s">
        <v>676</v>
      </c>
      <c r="G2656" s="171">
        <v>210</v>
      </c>
      <c r="J2656" s="187"/>
      <c r="K2656" s="139" t="s">
        <v>623</v>
      </c>
      <c r="L2656" s="139">
        <v>-500</v>
      </c>
    </row>
    <row r="2657" spans="5:12" ht="15.75" x14ac:dyDescent="0.25">
      <c r="F2657" s="148" t="s">
        <v>680</v>
      </c>
      <c r="G2657" s="144">
        <v>-825</v>
      </c>
      <c r="J2657" s="187">
        <v>46132</v>
      </c>
      <c r="K2657" s="139" t="s">
        <v>519</v>
      </c>
      <c r="L2657" s="139">
        <v>-100</v>
      </c>
    </row>
    <row r="2658" spans="5:12" ht="15.75" x14ac:dyDescent="0.25">
      <c r="F2658" s="148" t="s">
        <v>686</v>
      </c>
      <c r="G2658" s="144">
        <v>-40000</v>
      </c>
      <c r="K2658" s="139" t="s">
        <v>541</v>
      </c>
      <c r="L2658" s="139">
        <v>13500</v>
      </c>
    </row>
    <row r="2659" spans="5:12" ht="15.75" x14ac:dyDescent="0.25">
      <c r="F2659" s="148" t="s">
        <v>688</v>
      </c>
      <c r="G2659" s="144">
        <v>-100</v>
      </c>
      <c r="K2659" s="139" t="s">
        <v>652</v>
      </c>
      <c r="L2659" s="139">
        <v>-1420</v>
      </c>
    </row>
    <row r="2660" spans="5:12" ht="15.75" x14ac:dyDescent="0.25">
      <c r="F2660" s="199" t="s">
        <v>357</v>
      </c>
      <c r="G2660" s="200">
        <v>2367.5</v>
      </c>
      <c r="K2660" s="139" t="s">
        <v>663</v>
      </c>
      <c r="L2660" s="139">
        <v>180</v>
      </c>
    </row>
    <row r="2661" spans="5:12" ht="15.75" x14ac:dyDescent="0.25">
      <c r="E2661" s="91">
        <v>46135</v>
      </c>
      <c r="F2661" s="199" t="s">
        <v>690</v>
      </c>
      <c r="G2661" s="200">
        <v>2850</v>
      </c>
      <c r="K2661" s="139" t="s">
        <v>666</v>
      </c>
      <c r="L2661" s="139">
        <v>11000</v>
      </c>
    </row>
    <row r="2662" spans="5:12" ht="15.75" x14ac:dyDescent="0.25">
      <c r="E2662" s="91"/>
      <c r="F2662" s="199" t="s">
        <v>691</v>
      </c>
      <c r="G2662" s="200">
        <v>1770</v>
      </c>
      <c r="K2662" s="139" t="s">
        <v>675</v>
      </c>
      <c r="L2662" s="139">
        <v>-1000</v>
      </c>
    </row>
    <row r="2663" spans="5:12" ht="15.75" x14ac:dyDescent="0.25">
      <c r="E2663" s="91"/>
      <c r="F2663" s="148" t="s">
        <v>272</v>
      </c>
      <c r="G2663" s="144">
        <v>-400</v>
      </c>
      <c r="K2663" s="139" t="s">
        <v>677</v>
      </c>
      <c r="L2663" s="139">
        <v>-1040</v>
      </c>
    </row>
    <row r="2664" spans="5:12" ht="15.75" x14ac:dyDescent="0.25">
      <c r="E2664" s="91"/>
      <c r="F2664" s="148" t="s">
        <v>697</v>
      </c>
      <c r="G2664" s="144">
        <v>-7</v>
      </c>
      <c r="K2664" s="139" t="s">
        <v>678</v>
      </c>
      <c r="L2664" s="139">
        <v>-7000</v>
      </c>
    </row>
    <row r="2665" spans="5:12" ht="15.75" x14ac:dyDescent="0.25">
      <c r="E2665" s="91">
        <v>46136</v>
      </c>
      <c r="F2665" s="205" t="s">
        <v>700</v>
      </c>
      <c r="G2665" s="206">
        <v>2100</v>
      </c>
      <c r="K2665" s="139" t="s">
        <v>685</v>
      </c>
      <c r="L2665" s="139">
        <v>-1050</v>
      </c>
    </row>
    <row r="2666" spans="5:12" ht="15.75" x14ac:dyDescent="0.25">
      <c r="E2666" s="91"/>
      <c r="F2666" s="199" t="s">
        <v>702</v>
      </c>
      <c r="G2666" s="200">
        <v>1040</v>
      </c>
      <c r="K2666" s="139" t="s">
        <v>623</v>
      </c>
      <c r="L2666" s="139">
        <v>12500</v>
      </c>
    </row>
    <row r="2667" spans="5:12" ht="15.75" x14ac:dyDescent="0.25">
      <c r="E2667" s="91"/>
      <c r="F2667" s="148" t="s">
        <v>703</v>
      </c>
      <c r="G2667" s="144">
        <v>-900</v>
      </c>
      <c r="K2667" s="139" t="s">
        <v>696</v>
      </c>
      <c r="L2667" s="139">
        <v>-1050</v>
      </c>
    </row>
    <row r="2668" spans="5:12" ht="15.75" x14ac:dyDescent="0.25">
      <c r="E2668" s="91"/>
      <c r="F2668" s="199" t="s">
        <v>704</v>
      </c>
      <c r="G2668" s="200">
        <v>2913.7</v>
      </c>
      <c r="J2668" s="91">
        <v>46137</v>
      </c>
      <c r="K2668" s="139" t="s">
        <v>623</v>
      </c>
      <c r="L2668" s="139">
        <v>-7883.24</v>
      </c>
    </row>
    <row r="2669" spans="5:12" ht="15.75" x14ac:dyDescent="0.25">
      <c r="E2669" s="91"/>
      <c r="F2669" s="148" t="s">
        <v>250</v>
      </c>
      <c r="G2669" s="144">
        <v>-439.8</v>
      </c>
      <c r="K2669" s="139" t="s">
        <v>714</v>
      </c>
      <c r="L2669" s="139">
        <v>-1800</v>
      </c>
    </row>
    <row r="2670" spans="5:12" ht="15.75" x14ac:dyDescent="0.25">
      <c r="E2670" s="91"/>
      <c r="F2670" s="148" t="s">
        <v>357</v>
      </c>
      <c r="G2670" s="144">
        <v>395.56</v>
      </c>
      <c r="K2670" s="139" t="s">
        <v>716</v>
      </c>
      <c r="L2670" s="139">
        <v>-350</v>
      </c>
    </row>
    <row r="2671" spans="5:12" ht="15.75" x14ac:dyDescent="0.25">
      <c r="E2671" s="91"/>
      <c r="F2671" s="148" t="s">
        <v>708</v>
      </c>
      <c r="G2671" s="144">
        <v>-8</v>
      </c>
    </row>
    <row r="2672" spans="5:12" ht="15.75" x14ac:dyDescent="0.25">
      <c r="E2672" s="91">
        <v>46137</v>
      </c>
      <c r="F2672" s="148" t="s">
        <v>713</v>
      </c>
      <c r="G2672" s="144">
        <v>-1800</v>
      </c>
      <c r="L2672" s="193">
        <f>SUM(L2649:L2670)</f>
        <v>17626.830000000002</v>
      </c>
    </row>
    <row r="2673" spans="5:10" ht="15.75" x14ac:dyDescent="0.25">
      <c r="E2673" s="91"/>
      <c r="F2673" s="148" t="s">
        <v>715</v>
      </c>
      <c r="G2673" s="144">
        <v>-625</v>
      </c>
    </row>
    <row r="2674" spans="5:10" ht="15.75" x14ac:dyDescent="0.25">
      <c r="E2674" s="91"/>
      <c r="F2674" s="199" t="s">
        <v>577</v>
      </c>
      <c r="G2674" s="200">
        <v>100</v>
      </c>
    </row>
    <row r="2675" spans="5:10" ht="15.75" x14ac:dyDescent="0.25">
      <c r="E2675" s="91"/>
      <c r="F2675" s="199" t="s">
        <v>357</v>
      </c>
      <c r="G2675" s="200">
        <v>3791</v>
      </c>
    </row>
    <row r="2676" spans="5:10" ht="15.75" x14ac:dyDescent="0.25">
      <c r="E2676" s="91"/>
      <c r="F2676" s="148" t="s">
        <v>574</v>
      </c>
      <c r="G2676" s="144">
        <v>-353</v>
      </c>
    </row>
    <row r="2677" spans="5:10" ht="15.75" x14ac:dyDescent="0.25">
      <c r="E2677" s="91"/>
      <c r="F2677" s="148" t="s">
        <v>717</v>
      </c>
      <c r="G2677" s="144">
        <v>-350</v>
      </c>
    </row>
    <row r="2678" spans="5:10" ht="15.75" x14ac:dyDescent="0.25">
      <c r="F2678" s="148" t="s">
        <v>718</v>
      </c>
      <c r="G2678" s="144">
        <v>-340</v>
      </c>
    </row>
    <row r="2679" spans="5:10" ht="15.75" x14ac:dyDescent="0.25">
      <c r="F2679" s="199" t="s">
        <v>719</v>
      </c>
      <c r="G2679" s="200">
        <v>11</v>
      </c>
    </row>
    <row r="2680" spans="5:10" x14ac:dyDescent="0.25">
      <c r="F2680" s="139" t="s">
        <v>494</v>
      </c>
      <c r="G2680" s="138">
        <v>-200</v>
      </c>
    </row>
    <row r="2681" spans="5:10" ht="15.75" x14ac:dyDescent="0.25">
      <c r="F2681" s="132" t="s">
        <v>236</v>
      </c>
      <c r="G2681" s="133">
        <f>SUM(G2646:G2680)</f>
        <v>12280.519999999999</v>
      </c>
    </row>
    <row r="2684" spans="5:10" x14ac:dyDescent="0.25">
      <c r="G2684">
        <v>-11.9</v>
      </c>
    </row>
    <row r="2685" spans="5:10" x14ac:dyDescent="0.25">
      <c r="E2685" s="91"/>
      <c r="J2685" s="121"/>
    </row>
    <row r="2686" spans="5:10" x14ac:dyDescent="0.25">
      <c r="E2686" s="91"/>
      <c r="F2686" s="39"/>
      <c r="G2686" s="157">
        <f>SUM(G2681:G2685)</f>
        <v>12268.619999999999</v>
      </c>
    </row>
    <row r="2687" spans="5:10" x14ac:dyDescent="0.25">
      <c r="E2687" s="91"/>
    </row>
    <row r="2688" spans="5:10" x14ac:dyDescent="0.25">
      <c r="E2688" s="91"/>
    </row>
    <row r="2689" spans="5:7" x14ac:dyDescent="0.25">
      <c r="E2689" s="91"/>
    </row>
    <row r="2691" spans="5:7" ht="15.75" x14ac:dyDescent="0.25">
      <c r="F2691" s="166" t="s">
        <v>429</v>
      </c>
      <c r="G2691" s="131">
        <v>2386</v>
      </c>
    </row>
    <row r="2692" spans="5:7" x14ac:dyDescent="0.25">
      <c r="F2692" s="197"/>
      <c r="G2692" s="196"/>
    </row>
    <row r="2693" spans="5:7" x14ac:dyDescent="0.25">
      <c r="F2693" s="177" t="s">
        <v>650</v>
      </c>
      <c r="G2693" s="188">
        <v>-825</v>
      </c>
    </row>
    <row r="2694" spans="5:7" x14ac:dyDescent="0.25">
      <c r="F2694" s="197" t="s">
        <v>651</v>
      </c>
      <c r="G2694" s="196">
        <v>13500</v>
      </c>
    </row>
    <row r="2695" spans="5:7" x14ac:dyDescent="0.25">
      <c r="F2695" s="177" t="s">
        <v>535</v>
      </c>
      <c r="G2695" s="188">
        <v>-0.7</v>
      </c>
    </row>
    <row r="2696" spans="5:7" x14ac:dyDescent="0.25">
      <c r="E2696" s="91">
        <v>46134</v>
      </c>
      <c r="F2696" s="177" t="s">
        <v>661</v>
      </c>
      <c r="G2696" s="188">
        <v>-2430</v>
      </c>
    </row>
    <row r="2697" spans="5:7" x14ac:dyDescent="0.25">
      <c r="E2697" s="91">
        <v>46134</v>
      </c>
      <c r="F2697" s="177" t="s">
        <v>664</v>
      </c>
      <c r="G2697" s="188">
        <v>-4410</v>
      </c>
    </row>
    <row r="2698" spans="5:7" x14ac:dyDescent="0.25">
      <c r="E2698" s="91">
        <v>46134</v>
      </c>
      <c r="F2698" s="177" t="s">
        <v>671</v>
      </c>
      <c r="G2698" s="188">
        <v>-1310</v>
      </c>
    </row>
    <row r="2699" spans="5:7" x14ac:dyDescent="0.25">
      <c r="E2699" s="91">
        <v>46134</v>
      </c>
      <c r="F2699" s="177" t="s">
        <v>672</v>
      </c>
      <c r="G2699" s="188">
        <v>-3320</v>
      </c>
    </row>
    <row r="2700" spans="5:7" x14ac:dyDescent="0.25">
      <c r="E2700" s="91"/>
      <c r="F2700" s="177" t="s">
        <v>679</v>
      </c>
      <c r="G2700" s="188">
        <v>-7000</v>
      </c>
    </row>
    <row r="2701" spans="5:7" x14ac:dyDescent="0.25">
      <c r="E2701" s="91"/>
      <c r="F2701" s="177" t="s">
        <v>681</v>
      </c>
      <c r="G2701" s="188">
        <v>-500</v>
      </c>
    </row>
    <row r="2702" spans="5:7" x14ac:dyDescent="0.25">
      <c r="E2702" s="91">
        <v>46135</v>
      </c>
      <c r="F2702" s="197" t="s">
        <v>687</v>
      </c>
      <c r="G2702" s="196">
        <v>40000</v>
      </c>
    </row>
    <row r="2703" spans="5:7" x14ac:dyDescent="0.25">
      <c r="F2703" s="177" t="s">
        <v>535</v>
      </c>
      <c r="G2703" s="188">
        <v>-2.65</v>
      </c>
    </row>
    <row r="2704" spans="5:7" x14ac:dyDescent="0.25">
      <c r="F2704" s="177" t="s">
        <v>695</v>
      </c>
      <c r="G2704" s="188">
        <v>-10200</v>
      </c>
    </row>
    <row r="2705" spans="5:9" x14ac:dyDescent="0.25">
      <c r="E2705" s="91">
        <v>46136</v>
      </c>
      <c r="F2705" s="177" t="s">
        <v>623</v>
      </c>
      <c r="G2705" s="188">
        <v>12500</v>
      </c>
    </row>
    <row r="2706" spans="5:9" x14ac:dyDescent="0.25">
      <c r="F2706" s="177" t="s">
        <v>535</v>
      </c>
      <c r="G2706" s="188">
        <v>-1.3</v>
      </c>
    </row>
    <row r="2707" spans="5:9" x14ac:dyDescent="0.25">
      <c r="F2707" s="177" t="s">
        <v>701</v>
      </c>
      <c r="G2707" s="188">
        <v>-870</v>
      </c>
    </row>
    <row r="2708" spans="5:9" ht="15.75" x14ac:dyDescent="0.25">
      <c r="F2708" s="209" t="s">
        <v>712</v>
      </c>
      <c r="G2708" s="210">
        <v>2750</v>
      </c>
    </row>
    <row r="2709" spans="5:9" x14ac:dyDescent="0.25">
      <c r="F2709" s="177" t="s">
        <v>623</v>
      </c>
      <c r="G2709" s="188">
        <v>-7883.24</v>
      </c>
    </row>
    <row r="2710" spans="5:9" x14ac:dyDescent="0.25">
      <c r="F2710" s="177" t="s">
        <v>535</v>
      </c>
      <c r="G2710" s="188">
        <v>-0.45</v>
      </c>
    </row>
    <row r="2711" spans="5:9" x14ac:dyDescent="0.25">
      <c r="F2711" s="78"/>
      <c r="G2711" s="119"/>
    </row>
    <row r="2712" spans="5:9" ht="15.75" x14ac:dyDescent="0.25">
      <c r="F2712" s="78" t="s">
        <v>596</v>
      </c>
      <c r="G2712" s="189">
        <f>SUM(G2691:G2711)</f>
        <v>32382.66</v>
      </c>
    </row>
    <row r="2720" spans="5:9" x14ac:dyDescent="0.25">
      <c r="I2720" s="121"/>
    </row>
    <row r="2724" spans="5:13" ht="18.75" x14ac:dyDescent="0.3">
      <c r="E2724" s="314" t="s">
        <v>720</v>
      </c>
      <c r="F2724" s="315"/>
      <c r="G2724" s="315"/>
      <c r="H2724" s="315"/>
      <c r="I2724" s="315"/>
      <c r="J2724" s="315"/>
      <c r="K2724" s="315"/>
      <c r="L2724" s="315"/>
      <c r="M2724" s="315"/>
    </row>
    <row r="2725" spans="5:13" x14ac:dyDescent="0.25">
      <c r="E2725" s="78"/>
      <c r="F2725" s="78"/>
      <c r="G2725" s="78"/>
      <c r="H2725" s="78"/>
      <c r="I2725" s="78"/>
      <c r="J2725" s="78"/>
      <c r="K2725" s="78"/>
      <c r="L2725" s="78"/>
      <c r="M2725" s="78"/>
    </row>
    <row r="2726" spans="5:13" ht="15.75" x14ac:dyDescent="0.25">
      <c r="E2726" s="118" t="s">
        <v>223</v>
      </c>
      <c r="F2726" s="118" t="s">
        <v>206</v>
      </c>
      <c r="G2726" s="118" t="s">
        <v>207</v>
      </c>
      <c r="H2726" s="118" t="s">
        <v>218</v>
      </c>
      <c r="I2726" s="78"/>
      <c r="J2726" s="120" t="s">
        <v>6</v>
      </c>
      <c r="K2726" s="120" t="s">
        <v>217</v>
      </c>
      <c r="L2726" s="120" t="s">
        <v>207</v>
      </c>
      <c r="M2726" s="120" t="s">
        <v>218</v>
      </c>
    </row>
    <row r="2727" spans="5:13" x14ac:dyDescent="0.25">
      <c r="E2727" s="117"/>
      <c r="F2727" s="78" t="s">
        <v>459</v>
      </c>
      <c r="G2727" s="78" t="s">
        <v>556</v>
      </c>
      <c r="H2727" s="119">
        <v>10140</v>
      </c>
      <c r="I2727" s="175" t="s">
        <v>557</v>
      </c>
      <c r="J2727" s="117"/>
      <c r="K2727" s="78"/>
      <c r="L2727" s="78"/>
      <c r="M2727" s="119"/>
    </row>
    <row r="2728" spans="5:13" x14ac:dyDescent="0.25">
      <c r="E2728" s="117">
        <v>46087</v>
      </c>
      <c r="F2728" s="78" t="s">
        <v>148</v>
      </c>
      <c r="G2728" s="78" t="s">
        <v>209</v>
      </c>
      <c r="H2728" s="119">
        <v>420</v>
      </c>
      <c r="I2728" s="78"/>
      <c r="J2728" s="117">
        <v>46037</v>
      </c>
      <c r="K2728" s="149" t="s">
        <v>66</v>
      </c>
      <c r="L2728" s="78" t="s">
        <v>222</v>
      </c>
      <c r="M2728" s="119">
        <v>2120</v>
      </c>
    </row>
    <row r="2729" spans="5:13" ht="15.75" x14ac:dyDescent="0.25">
      <c r="E2729" s="117">
        <v>46087</v>
      </c>
      <c r="F2729" s="78" t="s">
        <v>214</v>
      </c>
      <c r="G2729" s="155" t="s">
        <v>211</v>
      </c>
      <c r="H2729" s="156">
        <v>3400</v>
      </c>
      <c r="I2729" s="78"/>
      <c r="J2729" s="181">
        <v>46120</v>
      </c>
      <c r="K2729" s="182" t="s">
        <v>520</v>
      </c>
      <c r="L2729" s="182"/>
      <c r="M2729" s="183">
        <v>17626.830000000002</v>
      </c>
    </row>
    <row r="2730" spans="5:13" ht="15.75" x14ac:dyDescent="0.25">
      <c r="E2730" s="117"/>
      <c r="F2730" s="78" t="s">
        <v>401</v>
      </c>
      <c r="G2730" s="78" t="s">
        <v>402</v>
      </c>
      <c r="H2730" s="119">
        <v>2880</v>
      </c>
      <c r="I2730" s="119"/>
      <c r="J2730" s="184"/>
      <c r="K2730" s="185"/>
      <c r="L2730" s="185"/>
      <c r="M2730" s="140"/>
    </row>
    <row r="2731" spans="5:13" ht="15.75" x14ac:dyDescent="0.25">
      <c r="E2731" s="78"/>
      <c r="F2731" s="201" t="s">
        <v>429</v>
      </c>
      <c r="G2731" s="201"/>
      <c r="H2731" s="202">
        <v>32382.66</v>
      </c>
      <c r="I2731" s="119"/>
      <c r="J2731" s="184">
        <v>46135</v>
      </c>
      <c r="K2731" s="185" t="s">
        <v>257</v>
      </c>
      <c r="L2731" s="185"/>
      <c r="M2731" s="140">
        <v>11640</v>
      </c>
    </row>
    <row r="2732" spans="5:13" ht="15.75" x14ac:dyDescent="0.25">
      <c r="E2732" s="78"/>
      <c r="F2732" s="78" t="s">
        <v>502</v>
      </c>
      <c r="G2732" s="166"/>
      <c r="H2732" s="167">
        <v>2600</v>
      </c>
      <c r="I2732" s="78"/>
      <c r="J2732" s="184"/>
      <c r="K2732" s="185" t="s">
        <v>216</v>
      </c>
      <c r="L2732" s="185"/>
      <c r="M2732" s="140">
        <v>4500</v>
      </c>
    </row>
    <row r="2733" spans="5:13" ht="15.75" x14ac:dyDescent="0.25">
      <c r="E2733" s="117">
        <v>46121</v>
      </c>
      <c r="F2733" s="78" t="s">
        <v>540</v>
      </c>
      <c r="G2733" s="166"/>
      <c r="H2733" s="167">
        <v>3120</v>
      </c>
      <c r="I2733" s="78"/>
      <c r="J2733" s="184"/>
      <c r="K2733" s="185"/>
      <c r="L2733" s="185"/>
      <c r="M2733" s="140"/>
    </row>
    <row r="2734" spans="5:13" x14ac:dyDescent="0.25">
      <c r="E2734" s="117"/>
      <c r="F2734" s="78" t="s">
        <v>590</v>
      </c>
      <c r="G2734" s="166"/>
      <c r="H2734" s="167">
        <v>3520</v>
      </c>
      <c r="I2734" s="78"/>
      <c r="J2734" s="78"/>
      <c r="K2734" s="78"/>
      <c r="L2734" s="78"/>
      <c r="M2734" s="119"/>
    </row>
    <row r="2735" spans="5:13" ht="18.75" x14ac:dyDescent="0.3">
      <c r="E2735" s="117"/>
      <c r="F2735" s="78" t="s">
        <v>591</v>
      </c>
      <c r="G2735" s="166"/>
      <c r="H2735" s="167">
        <v>2200</v>
      </c>
      <c r="J2735" s="78"/>
      <c r="K2735" s="126" t="s">
        <v>226</v>
      </c>
      <c r="L2735" s="126"/>
      <c r="M2735" s="127">
        <f>SUM(M2727:M2734)</f>
        <v>35886.83</v>
      </c>
    </row>
    <row r="2736" spans="5:13" x14ac:dyDescent="0.25">
      <c r="E2736" s="117">
        <v>46128</v>
      </c>
      <c r="F2736" s="78" t="s">
        <v>611</v>
      </c>
      <c r="G2736" s="166"/>
      <c r="H2736" s="167">
        <v>2550</v>
      </c>
    </row>
    <row r="2737" spans="5:13" x14ac:dyDescent="0.25">
      <c r="E2737" s="117"/>
      <c r="F2737" s="78" t="s">
        <v>616</v>
      </c>
      <c r="G2737" s="166"/>
      <c r="H2737" s="167">
        <v>580</v>
      </c>
      <c r="M2737" s="121"/>
    </row>
    <row r="2738" spans="5:13" x14ac:dyDescent="0.25">
      <c r="E2738" s="117"/>
      <c r="F2738" s="78" t="s">
        <v>673</v>
      </c>
      <c r="G2738" s="166"/>
      <c r="H2738" s="167">
        <v>2580</v>
      </c>
      <c r="L2738" s="121"/>
    </row>
    <row r="2739" spans="5:13" x14ac:dyDescent="0.25">
      <c r="E2739" s="117"/>
      <c r="F2739" s="78" t="s">
        <v>721</v>
      </c>
      <c r="G2739" s="166"/>
      <c r="H2739" s="167">
        <v>920</v>
      </c>
      <c r="L2739" s="121"/>
    </row>
    <row r="2740" spans="5:13" x14ac:dyDescent="0.25">
      <c r="E2740" s="117"/>
      <c r="F2740" s="78" t="s">
        <v>723</v>
      </c>
      <c r="G2740" s="166"/>
      <c r="H2740" s="167">
        <v>3250</v>
      </c>
    </row>
    <row r="2741" spans="5:13" ht="15.75" x14ac:dyDescent="0.25">
      <c r="E2741" s="78"/>
      <c r="F2741" s="78"/>
      <c r="G2741" s="166"/>
      <c r="H2741" s="167"/>
      <c r="J2741" s="316" t="s">
        <v>227</v>
      </c>
      <c r="K2741" s="317"/>
      <c r="L2741" s="140">
        <f>H2748-M2735</f>
        <v>76652.38</v>
      </c>
    </row>
    <row r="2742" spans="5:13" ht="15.75" x14ac:dyDescent="0.25">
      <c r="E2742" s="78"/>
      <c r="F2742" s="78"/>
      <c r="G2742" s="78"/>
      <c r="H2742" s="119"/>
      <c r="L2742" s="89"/>
    </row>
    <row r="2743" spans="5:13" ht="15.75" x14ac:dyDescent="0.25">
      <c r="F2743" s="78"/>
      <c r="G2743" s="78"/>
      <c r="H2743" s="122">
        <f>SUM(H2727:H2742)</f>
        <v>70542.66</v>
      </c>
      <c r="J2743" s="128" t="s">
        <v>285</v>
      </c>
      <c r="L2743" s="124">
        <f>G2764</f>
        <v>11704.92</v>
      </c>
    </row>
    <row r="2744" spans="5:13" x14ac:dyDescent="0.25">
      <c r="H2744" s="157"/>
    </row>
    <row r="2745" spans="5:13" ht="21" x14ac:dyDescent="0.35">
      <c r="G2745" s="101" t="s">
        <v>224</v>
      </c>
      <c r="H2745" s="101">
        <v>41996.55</v>
      </c>
      <c r="K2745" s="198" t="s">
        <v>286</v>
      </c>
      <c r="L2745" s="137">
        <f>SUM(L2741:L2743)</f>
        <v>88357.3</v>
      </c>
    </row>
    <row r="2746" spans="5:13" x14ac:dyDescent="0.25">
      <c r="E2746" s="121"/>
      <c r="L2746" s="157">
        <v>86814.9</v>
      </c>
      <c r="M2746" s="39" t="s">
        <v>76</v>
      </c>
    </row>
    <row r="2748" spans="5:13" ht="18.75" x14ac:dyDescent="0.3">
      <c r="E2748" s="121"/>
      <c r="G2748" s="99" t="s">
        <v>225</v>
      </c>
      <c r="H2748" s="125">
        <f>SUM(H2743+H2745)</f>
        <v>112539.21</v>
      </c>
      <c r="L2748" s="154">
        <f>L2745-L2746</f>
        <v>1542.4000000000087</v>
      </c>
    </row>
    <row r="2749" spans="5:13" ht="18.75" x14ac:dyDescent="0.3">
      <c r="E2749" s="121"/>
      <c r="L2749" s="125"/>
    </row>
    <row r="2750" spans="5:13" ht="18.75" x14ac:dyDescent="0.3">
      <c r="L2750" s="125"/>
    </row>
    <row r="2755" spans="5:11" x14ac:dyDescent="0.25">
      <c r="E2755" s="91"/>
    </row>
    <row r="2757" spans="5:11" ht="15.75" x14ac:dyDescent="0.25">
      <c r="F2757" s="132" t="s">
        <v>235</v>
      </c>
      <c r="G2757" s="133">
        <v>12280.52</v>
      </c>
      <c r="J2757" s="322" t="s">
        <v>570</v>
      </c>
      <c r="K2757" s="322"/>
    </row>
    <row r="2758" spans="5:11" ht="15.75" x14ac:dyDescent="0.25">
      <c r="F2758" s="211" t="s">
        <v>722</v>
      </c>
      <c r="G2758" s="138">
        <v>-2900</v>
      </c>
    </row>
    <row r="2759" spans="5:11" x14ac:dyDescent="0.25">
      <c r="F2759" t="s">
        <v>724</v>
      </c>
      <c r="G2759" s="121">
        <v>1590</v>
      </c>
      <c r="J2759" s="150" t="s">
        <v>595</v>
      </c>
      <c r="K2759" s="151">
        <v>17626.830000000002</v>
      </c>
    </row>
    <row r="2760" spans="5:11" x14ac:dyDescent="0.25">
      <c r="F2760" s="139" t="s">
        <v>729</v>
      </c>
      <c r="G2760" s="138">
        <v>-40</v>
      </c>
    </row>
    <row r="2761" spans="5:11" x14ac:dyDescent="0.25">
      <c r="F2761" t="s">
        <v>357</v>
      </c>
      <c r="G2761">
        <v>774.4</v>
      </c>
      <c r="K2761" s="193">
        <f>SUM(K2759:K2759)</f>
        <v>17626.830000000002</v>
      </c>
    </row>
    <row r="2764" spans="5:11" ht="15.75" x14ac:dyDescent="0.25">
      <c r="F2764" s="132" t="s">
        <v>236</v>
      </c>
      <c r="G2764" s="133">
        <f>SUM(G2757:G2763)</f>
        <v>11704.92</v>
      </c>
    </row>
    <row r="2767" spans="5:11" x14ac:dyDescent="0.25">
      <c r="G2767">
        <v>-11.9</v>
      </c>
    </row>
    <row r="2768" spans="5:11" x14ac:dyDescent="0.25">
      <c r="E2768" s="91"/>
    </row>
    <row r="2769" spans="5:7" x14ac:dyDescent="0.25">
      <c r="E2769" s="91"/>
      <c r="F2769" s="39"/>
      <c r="G2769" s="157">
        <f>SUM(G2764:G2768)</f>
        <v>11693.02</v>
      </c>
    </row>
    <row r="2770" spans="5:7" x14ac:dyDescent="0.25">
      <c r="E2770" s="91"/>
    </row>
    <row r="2771" spans="5:7" x14ac:dyDescent="0.25">
      <c r="E2771" s="91"/>
    </row>
    <row r="2772" spans="5:7" x14ac:dyDescent="0.25">
      <c r="E2772" s="91"/>
    </row>
    <row r="2774" spans="5:7" ht="15.75" x14ac:dyDescent="0.25">
      <c r="F2774" s="166" t="s">
        <v>429</v>
      </c>
      <c r="G2774" s="131">
        <v>32382.66</v>
      </c>
    </row>
    <row r="2775" spans="5:7" ht="15.75" x14ac:dyDescent="0.25">
      <c r="F2775" s="166"/>
      <c r="G2775" s="140"/>
    </row>
    <row r="2776" spans="5:7" ht="15.75" x14ac:dyDescent="0.25">
      <c r="F2776" s="166"/>
      <c r="G2776" s="140"/>
    </row>
    <row r="2777" spans="5:7" ht="15.75" x14ac:dyDescent="0.25">
      <c r="F2777" s="166"/>
      <c r="G2777" s="140"/>
    </row>
    <row r="2778" spans="5:7" x14ac:dyDescent="0.25">
      <c r="F2778" s="197"/>
      <c r="G2778" s="196"/>
    </row>
    <row r="2779" spans="5:7" x14ac:dyDescent="0.25">
      <c r="F2779" s="78"/>
      <c r="G2779" s="119"/>
    </row>
    <row r="2780" spans="5:7" ht="15.75" x14ac:dyDescent="0.25">
      <c r="F2780" s="78" t="s">
        <v>596</v>
      </c>
      <c r="G2780" s="189">
        <f>SUM(G2774:G2779)</f>
        <v>32382.66</v>
      </c>
    </row>
    <row r="2790" spans="5:13" x14ac:dyDescent="0.25">
      <c r="H2790" s="121"/>
    </row>
    <row r="2793" spans="5:13" ht="18.75" x14ac:dyDescent="0.3">
      <c r="E2793" s="314" t="s">
        <v>730</v>
      </c>
      <c r="F2793" s="315"/>
      <c r="G2793" s="315"/>
      <c r="H2793" s="315"/>
      <c r="I2793" s="315"/>
      <c r="J2793" s="315"/>
      <c r="K2793" s="315"/>
      <c r="L2793" s="315"/>
      <c r="M2793" s="315"/>
    </row>
    <row r="2794" spans="5:13" x14ac:dyDescent="0.25">
      <c r="E2794" s="78"/>
      <c r="F2794" s="78"/>
      <c r="G2794" s="78"/>
      <c r="H2794" s="78"/>
      <c r="I2794" s="78"/>
      <c r="J2794" s="78"/>
      <c r="K2794" s="78"/>
      <c r="L2794" s="78"/>
      <c r="M2794" s="78"/>
    </row>
    <row r="2795" spans="5:13" ht="15.75" x14ac:dyDescent="0.25">
      <c r="E2795" s="118" t="s">
        <v>223</v>
      </c>
      <c r="F2795" s="118" t="s">
        <v>206</v>
      </c>
      <c r="G2795" s="118" t="s">
        <v>207</v>
      </c>
      <c r="H2795" s="118" t="s">
        <v>218</v>
      </c>
      <c r="I2795" s="78"/>
      <c r="J2795" s="120" t="s">
        <v>6</v>
      </c>
      <c r="K2795" s="120" t="s">
        <v>217</v>
      </c>
      <c r="L2795" s="120" t="s">
        <v>207</v>
      </c>
      <c r="M2795" s="120" t="s">
        <v>218</v>
      </c>
    </row>
    <row r="2796" spans="5:13" x14ac:dyDescent="0.25">
      <c r="E2796" s="117"/>
      <c r="F2796" s="78" t="s">
        <v>459</v>
      </c>
      <c r="G2796" s="78" t="s">
        <v>732</v>
      </c>
      <c r="H2796" s="119">
        <v>5460</v>
      </c>
      <c r="I2796" s="175" t="s">
        <v>731</v>
      </c>
      <c r="J2796" s="117"/>
      <c r="K2796" s="78"/>
      <c r="L2796" s="78"/>
      <c r="M2796" s="119"/>
    </row>
    <row r="2797" spans="5:13" x14ac:dyDescent="0.25">
      <c r="E2797" s="117">
        <v>46087</v>
      </c>
      <c r="F2797" s="78" t="s">
        <v>148</v>
      </c>
      <c r="G2797" s="78" t="s">
        <v>209</v>
      </c>
      <c r="H2797" s="119">
        <v>420</v>
      </c>
      <c r="I2797" s="78"/>
      <c r="J2797" s="117">
        <v>46037</v>
      </c>
      <c r="K2797" s="149" t="s">
        <v>66</v>
      </c>
      <c r="L2797" s="78" t="s">
        <v>222</v>
      </c>
      <c r="M2797" s="119">
        <v>2120</v>
      </c>
    </row>
    <row r="2798" spans="5:13" ht="15.75" x14ac:dyDescent="0.25">
      <c r="E2798" s="117">
        <v>46087</v>
      </c>
      <c r="F2798" s="78" t="s">
        <v>214</v>
      </c>
      <c r="G2798" s="155" t="s">
        <v>211</v>
      </c>
      <c r="H2798" s="156">
        <v>3400</v>
      </c>
      <c r="I2798" s="78"/>
      <c r="J2798" s="181">
        <v>46120</v>
      </c>
      <c r="K2798" s="182" t="s">
        <v>520</v>
      </c>
      <c r="L2798" s="182"/>
      <c r="M2798" s="183">
        <v>17626.830000000002</v>
      </c>
    </row>
    <row r="2799" spans="5:13" ht="15.75" x14ac:dyDescent="0.25">
      <c r="E2799" s="78"/>
      <c r="F2799" s="201" t="s">
        <v>429</v>
      </c>
      <c r="G2799" s="201"/>
      <c r="H2799" s="202">
        <v>14393.81</v>
      </c>
      <c r="I2799" s="119"/>
      <c r="J2799" s="184"/>
      <c r="K2799" s="185"/>
      <c r="L2799" s="185"/>
      <c r="M2799" s="140"/>
    </row>
    <row r="2800" spans="5:13" ht="15.75" x14ac:dyDescent="0.25">
      <c r="E2800" s="78"/>
      <c r="F2800" s="78" t="s">
        <v>502</v>
      </c>
      <c r="G2800" s="166"/>
      <c r="H2800" s="167">
        <v>2600</v>
      </c>
      <c r="I2800" s="119"/>
      <c r="J2800" s="184"/>
      <c r="K2800" s="185" t="s">
        <v>216</v>
      </c>
      <c r="L2800" s="185"/>
      <c r="M2800" s="140">
        <v>4500</v>
      </c>
    </row>
    <row r="2801" spans="5:13" ht="15.75" x14ac:dyDescent="0.25">
      <c r="E2801" s="117">
        <v>46121</v>
      </c>
      <c r="F2801" s="78" t="s">
        <v>540</v>
      </c>
      <c r="G2801" s="166"/>
      <c r="H2801" s="167">
        <v>3120</v>
      </c>
      <c r="I2801" s="78"/>
      <c r="J2801" s="184"/>
      <c r="K2801" s="185"/>
      <c r="L2801" s="185"/>
      <c r="M2801" s="140"/>
    </row>
    <row r="2802" spans="5:13" x14ac:dyDescent="0.25">
      <c r="E2802" s="117"/>
      <c r="F2802" s="78" t="s">
        <v>590</v>
      </c>
      <c r="G2802" s="166"/>
      <c r="H2802" s="167">
        <v>3520</v>
      </c>
      <c r="I2802" s="78"/>
      <c r="J2802" s="78"/>
      <c r="K2802" s="78"/>
      <c r="L2802" s="78"/>
      <c r="M2802" s="119"/>
    </row>
    <row r="2803" spans="5:13" ht="18.75" x14ac:dyDescent="0.3">
      <c r="E2803" s="117"/>
      <c r="F2803" s="78" t="s">
        <v>591</v>
      </c>
      <c r="G2803" s="166"/>
      <c r="H2803" s="167">
        <v>2200</v>
      </c>
      <c r="I2803" s="78"/>
      <c r="J2803" s="78"/>
      <c r="K2803" s="126" t="s">
        <v>226</v>
      </c>
      <c r="L2803" s="126"/>
      <c r="M2803" s="127">
        <f>SUM(M2796:M2802)</f>
        <v>24246.83</v>
      </c>
    </row>
    <row r="2804" spans="5:13" x14ac:dyDescent="0.25">
      <c r="E2804" s="117">
        <v>46128</v>
      </c>
      <c r="F2804" s="78" t="s">
        <v>611</v>
      </c>
      <c r="G2804" s="166"/>
      <c r="H2804" s="167">
        <v>2550</v>
      </c>
    </row>
    <row r="2805" spans="5:13" x14ac:dyDescent="0.25">
      <c r="E2805" s="117"/>
      <c r="F2805" s="78" t="s">
        <v>616</v>
      </c>
      <c r="G2805" s="166"/>
      <c r="H2805" s="167">
        <v>580</v>
      </c>
      <c r="M2805" s="121"/>
    </row>
    <row r="2806" spans="5:13" x14ac:dyDescent="0.25">
      <c r="E2806" s="117"/>
      <c r="F2806" s="78" t="s">
        <v>673</v>
      </c>
      <c r="G2806" s="166"/>
      <c r="H2806" s="167">
        <v>2580</v>
      </c>
      <c r="L2806" s="121"/>
    </row>
    <row r="2807" spans="5:13" x14ac:dyDescent="0.25">
      <c r="E2807" s="117"/>
      <c r="F2807" s="78" t="s">
        <v>721</v>
      </c>
      <c r="G2807" s="166"/>
      <c r="H2807" s="167">
        <v>920</v>
      </c>
      <c r="L2807" s="121"/>
    </row>
    <row r="2808" spans="5:13" x14ac:dyDescent="0.25">
      <c r="E2808" s="117"/>
      <c r="F2808" s="78" t="s">
        <v>723</v>
      </c>
      <c r="G2808" s="166"/>
      <c r="H2808" s="167">
        <v>3250</v>
      </c>
    </row>
    <row r="2809" spans="5:13" ht="15.75" x14ac:dyDescent="0.25">
      <c r="E2809" s="78"/>
      <c r="F2809" s="78"/>
      <c r="G2809" s="166"/>
      <c r="H2809" s="167"/>
      <c r="J2809" s="316" t="s">
        <v>227</v>
      </c>
      <c r="K2809" s="317"/>
      <c r="L2809" s="140">
        <f>H2816-M2803</f>
        <v>67765.77</v>
      </c>
    </row>
    <row r="2810" spans="5:13" ht="15.75" x14ac:dyDescent="0.25">
      <c r="E2810" s="78"/>
      <c r="F2810" s="78"/>
      <c r="G2810" s="78"/>
      <c r="H2810" s="119"/>
      <c r="L2810" s="89"/>
    </row>
    <row r="2811" spans="5:13" ht="15.75" x14ac:dyDescent="0.25">
      <c r="F2811" s="78"/>
      <c r="G2811" s="78"/>
      <c r="H2811" s="122">
        <f>SUM(H2796:H2810)</f>
        <v>44993.81</v>
      </c>
      <c r="J2811" s="128" t="s">
        <v>285</v>
      </c>
      <c r="L2811" s="124">
        <f>G2834</f>
        <v>21565.719999999998</v>
      </c>
    </row>
    <row r="2812" spans="5:13" x14ac:dyDescent="0.25">
      <c r="H2812" s="157"/>
    </row>
    <row r="2813" spans="5:13" ht="21" x14ac:dyDescent="0.35">
      <c r="G2813" s="101" t="s">
        <v>224</v>
      </c>
      <c r="H2813" s="101">
        <v>47018.79</v>
      </c>
      <c r="K2813" s="198" t="s">
        <v>286</v>
      </c>
      <c r="L2813" s="137">
        <f>SUM(L2809:L2811)</f>
        <v>89331.49</v>
      </c>
    </row>
    <row r="2814" spans="5:13" x14ac:dyDescent="0.25">
      <c r="E2814" s="121"/>
      <c r="L2814" s="157">
        <v>88357.3</v>
      </c>
      <c r="M2814" s="39" t="s">
        <v>76</v>
      </c>
    </row>
    <row r="2816" spans="5:13" ht="18.75" x14ac:dyDescent="0.3">
      <c r="E2816" s="121"/>
      <c r="G2816" s="99" t="s">
        <v>225</v>
      </c>
      <c r="H2816" s="125">
        <f>SUM(H2811+H2813)</f>
        <v>92012.6</v>
      </c>
      <c r="L2816" s="154">
        <f>L2813-L2814</f>
        <v>974.19000000000233</v>
      </c>
    </row>
    <row r="2817" spans="5:12" ht="18.75" x14ac:dyDescent="0.3">
      <c r="E2817" s="121"/>
      <c r="L2817" s="125"/>
    </row>
    <row r="2818" spans="5:12" ht="18.75" x14ac:dyDescent="0.3">
      <c r="L2818" s="125"/>
    </row>
    <row r="2823" spans="5:12" x14ac:dyDescent="0.25">
      <c r="E2823" s="91"/>
    </row>
    <row r="2825" spans="5:12" ht="15.75" x14ac:dyDescent="0.25">
      <c r="F2825" s="132" t="s">
        <v>235</v>
      </c>
      <c r="G2825" s="133">
        <v>12280.52</v>
      </c>
      <c r="J2825" s="322" t="s">
        <v>570</v>
      </c>
      <c r="K2825" s="322"/>
    </row>
    <row r="2826" spans="5:12" ht="15.75" x14ac:dyDescent="0.25">
      <c r="F2826" s="211" t="s">
        <v>722</v>
      </c>
      <c r="G2826" s="138">
        <v>-2900</v>
      </c>
    </row>
    <row r="2827" spans="5:12" x14ac:dyDescent="0.25">
      <c r="F2827" t="s">
        <v>724</v>
      </c>
      <c r="G2827" s="121">
        <v>1590</v>
      </c>
      <c r="J2827" s="150" t="s">
        <v>595</v>
      </c>
      <c r="K2827" s="151">
        <v>17626.830000000002</v>
      </c>
    </row>
    <row r="2828" spans="5:12" x14ac:dyDescent="0.25">
      <c r="F2828" s="139" t="s">
        <v>729</v>
      </c>
      <c r="G2828" s="138">
        <v>-40</v>
      </c>
    </row>
    <row r="2829" spans="5:12" x14ac:dyDescent="0.25">
      <c r="F2829" t="s">
        <v>357</v>
      </c>
      <c r="G2829" s="121">
        <v>774.4</v>
      </c>
      <c r="K2829" s="193">
        <f>SUM(K2827:K2827)</f>
        <v>17626.830000000002</v>
      </c>
    </row>
    <row r="2830" spans="5:12" x14ac:dyDescent="0.25">
      <c r="E2830" s="91">
        <v>46140</v>
      </c>
      <c r="F2830" t="s">
        <v>272</v>
      </c>
      <c r="G2830" s="121">
        <v>-400</v>
      </c>
    </row>
    <row r="2831" spans="5:12" x14ac:dyDescent="0.25">
      <c r="F2831" t="s">
        <v>736</v>
      </c>
      <c r="G2831" s="121">
        <v>6318</v>
      </c>
    </row>
    <row r="2832" spans="5:12" x14ac:dyDescent="0.25">
      <c r="F2832" t="s">
        <v>357</v>
      </c>
      <c r="G2832" s="121">
        <v>3942.8</v>
      </c>
    </row>
    <row r="2834" spans="5:7" ht="15.75" x14ac:dyDescent="0.25">
      <c r="F2834" s="132" t="s">
        <v>236</v>
      </c>
      <c r="G2834" s="133">
        <f>SUM(G2825:G2833)</f>
        <v>21565.719999999998</v>
      </c>
    </row>
    <row r="2837" spans="5:7" x14ac:dyDescent="0.25">
      <c r="G2837">
        <v>-11.9</v>
      </c>
    </row>
    <row r="2838" spans="5:7" x14ac:dyDescent="0.25">
      <c r="E2838" s="91"/>
    </row>
    <row r="2839" spans="5:7" x14ac:dyDescent="0.25">
      <c r="E2839" s="91"/>
      <c r="F2839" s="39"/>
      <c r="G2839" s="157">
        <f>SUM(G2834:G2838)</f>
        <v>21553.819999999996</v>
      </c>
    </row>
    <row r="2840" spans="5:7" x14ac:dyDescent="0.25">
      <c r="E2840" s="91"/>
    </row>
    <row r="2841" spans="5:7" x14ac:dyDescent="0.25">
      <c r="E2841" s="91"/>
    </row>
    <row r="2842" spans="5:7" x14ac:dyDescent="0.25">
      <c r="E2842" s="91"/>
    </row>
    <row r="2844" spans="5:7" ht="15.75" x14ac:dyDescent="0.25">
      <c r="F2844" s="166" t="s">
        <v>429</v>
      </c>
      <c r="G2844" s="131">
        <v>32382.66</v>
      </c>
    </row>
    <row r="2845" spans="5:7" ht="15.75" x14ac:dyDescent="0.25">
      <c r="F2845" s="177" t="s">
        <v>506</v>
      </c>
      <c r="G2845" s="213">
        <v>-20</v>
      </c>
    </row>
    <row r="2846" spans="5:7" ht="15.75" x14ac:dyDescent="0.25">
      <c r="F2846" s="178" t="s">
        <v>733</v>
      </c>
      <c r="G2846" s="212">
        <v>-6318</v>
      </c>
    </row>
    <row r="2847" spans="5:7" ht="15.75" x14ac:dyDescent="0.25">
      <c r="F2847" s="178" t="s">
        <v>734</v>
      </c>
      <c r="G2847" s="212">
        <v>-10</v>
      </c>
    </row>
    <row r="2848" spans="5:7" x14ac:dyDescent="0.25">
      <c r="F2848" s="177" t="s">
        <v>735</v>
      </c>
      <c r="G2848" s="188">
        <v>-11640</v>
      </c>
    </row>
    <row r="2849" spans="6:8" x14ac:dyDescent="0.25">
      <c r="F2849" s="177" t="s">
        <v>535</v>
      </c>
      <c r="G2849" s="188">
        <v>-0.85</v>
      </c>
    </row>
    <row r="2850" spans="6:8" x14ac:dyDescent="0.25">
      <c r="F2850" s="78"/>
      <c r="G2850" s="119"/>
    </row>
    <row r="2851" spans="6:8" ht="15.75" x14ac:dyDescent="0.25">
      <c r="F2851" s="78" t="s">
        <v>596</v>
      </c>
      <c r="G2851" s="189">
        <f>SUM(G2844:G2850)</f>
        <v>14393.81</v>
      </c>
    </row>
    <row r="2863" spans="6:8" ht="15.75" x14ac:dyDescent="0.25">
      <c r="F2863" s="319" t="s">
        <v>148</v>
      </c>
      <c r="G2863" s="325"/>
      <c r="H2863" s="320"/>
    </row>
    <row r="2864" spans="6:8" x14ac:dyDescent="0.25">
      <c r="F2864" s="78" t="s">
        <v>148</v>
      </c>
      <c r="G2864" s="78" t="s">
        <v>737</v>
      </c>
      <c r="H2864" s="119">
        <v>420</v>
      </c>
    </row>
    <row r="2865" spans="6:8" x14ac:dyDescent="0.25">
      <c r="F2865" s="78" t="s">
        <v>540</v>
      </c>
      <c r="G2865" s="166"/>
      <c r="H2865" s="167">
        <v>3120</v>
      </c>
    </row>
    <row r="2866" spans="6:8" x14ac:dyDescent="0.25">
      <c r="F2866" s="78" t="s">
        <v>611</v>
      </c>
      <c r="G2866" s="166"/>
      <c r="H2866" s="167">
        <v>2550</v>
      </c>
    </row>
    <row r="2868" spans="6:8" ht="18.75" x14ac:dyDescent="0.3">
      <c r="H2868" s="137">
        <f>SUM(H2864:H2867)</f>
        <v>6090</v>
      </c>
    </row>
    <row r="2875" spans="6:8" ht="15.75" x14ac:dyDescent="0.25">
      <c r="F2875" s="324" t="s">
        <v>406</v>
      </c>
      <c r="G2875" s="324"/>
      <c r="H2875" s="324"/>
    </row>
    <row r="2876" spans="6:8" x14ac:dyDescent="0.25">
      <c r="F2876" s="78" t="s">
        <v>721</v>
      </c>
      <c r="G2876" s="166"/>
      <c r="H2876" s="167">
        <v>920</v>
      </c>
    </row>
    <row r="2877" spans="6:8" x14ac:dyDescent="0.25">
      <c r="F2877" s="78" t="s">
        <v>723</v>
      </c>
      <c r="G2877" s="166"/>
      <c r="H2877" s="167">
        <v>3250</v>
      </c>
    </row>
    <row r="2880" spans="6:8" ht="15.75" x14ac:dyDescent="0.25">
      <c r="H2880" s="133">
        <f>SUM(H2876:H2879)</f>
        <v>4170</v>
      </c>
    </row>
    <row r="2886" spans="5:13" ht="18.75" x14ac:dyDescent="0.3">
      <c r="E2886" s="314" t="s">
        <v>738</v>
      </c>
      <c r="F2886" s="315"/>
      <c r="G2886" s="315"/>
      <c r="H2886" s="315"/>
      <c r="I2886" s="315"/>
      <c r="J2886" s="315"/>
      <c r="K2886" s="315"/>
      <c r="L2886" s="315"/>
      <c r="M2886" s="315"/>
    </row>
    <row r="2887" spans="5:13" x14ac:dyDescent="0.25">
      <c r="E2887" s="78"/>
      <c r="F2887" s="78"/>
      <c r="G2887" s="78"/>
      <c r="H2887" s="78"/>
      <c r="I2887" s="78"/>
      <c r="J2887" s="78"/>
      <c r="K2887" s="78"/>
      <c r="L2887" s="78"/>
      <c r="M2887" s="78"/>
    </row>
    <row r="2888" spans="5:13" ht="15.75" x14ac:dyDescent="0.25">
      <c r="E2888" s="118" t="s">
        <v>223</v>
      </c>
      <c r="F2888" s="118" t="s">
        <v>206</v>
      </c>
      <c r="G2888" s="118" t="s">
        <v>207</v>
      </c>
      <c r="H2888" s="118" t="s">
        <v>218</v>
      </c>
      <c r="I2888" s="78"/>
      <c r="J2888" s="120" t="s">
        <v>6</v>
      </c>
      <c r="K2888" s="120" t="s">
        <v>217</v>
      </c>
      <c r="L2888" s="120" t="s">
        <v>207</v>
      </c>
      <c r="M2888" s="120" t="s">
        <v>218</v>
      </c>
    </row>
    <row r="2889" spans="5:13" x14ac:dyDescent="0.25">
      <c r="E2889" s="117"/>
      <c r="F2889" s="78" t="s">
        <v>459</v>
      </c>
      <c r="G2889" s="78" t="s">
        <v>732</v>
      </c>
      <c r="H2889" s="119">
        <v>5460</v>
      </c>
      <c r="I2889" s="175" t="s">
        <v>731</v>
      </c>
      <c r="J2889" s="117"/>
      <c r="K2889" s="78"/>
      <c r="L2889" s="78"/>
      <c r="M2889" s="119"/>
    </row>
    <row r="2890" spans="5:13" x14ac:dyDescent="0.25">
      <c r="E2890" s="117">
        <v>46087</v>
      </c>
      <c r="F2890" s="78" t="s">
        <v>148</v>
      </c>
      <c r="G2890" s="78" t="s">
        <v>209</v>
      </c>
      <c r="H2890" s="119">
        <v>420</v>
      </c>
      <c r="I2890" s="78"/>
      <c r="J2890" s="117">
        <v>46037</v>
      </c>
      <c r="K2890" s="149" t="s">
        <v>66</v>
      </c>
      <c r="L2890" s="78" t="s">
        <v>222</v>
      </c>
      <c r="M2890" s="119">
        <v>2120</v>
      </c>
    </row>
    <row r="2891" spans="5:13" ht="15.75" x14ac:dyDescent="0.25">
      <c r="E2891" s="117">
        <v>46087</v>
      </c>
      <c r="F2891" s="78" t="s">
        <v>214</v>
      </c>
      <c r="G2891" s="155" t="s">
        <v>211</v>
      </c>
      <c r="H2891" s="156">
        <v>3400</v>
      </c>
      <c r="I2891" s="78"/>
      <c r="J2891" s="181">
        <v>46120</v>
      </c>
      <c r="K2891" s="182" t="s">
        <v>520</v>
      </c>
      <c r="L2891" s="182"/>
      <c r="M2891" s="183">
        <v>3326.83</v>
      </c>
    </row>
    <row r="2892" spans="5:13" ht="15.75" x14ac:dyDescent="0.25">
      <c r="E2892" s="78"/>
      <c r="F2892" s="201" t="s">
        <v>429</v>
      </c>
      <c r="G2892" s="201"/>
      <c r="H2892" s="202">
        <v>8643.56</v>
      </c>
      <c r="I2892" s="119"/>
      <c r="J2892" s="184"/>
      <c r="K2892" s="185"/>
      <c r="L2892" s="185"/>
      <c r="M2892" s="140"/>
    </row>
    <row r="2893" spans="5:13" ht="15.75" x14ac:dyDescent="0.25">
      <c r="E2893" s="78"/>
      <c r="F2893" s="78" t="s">
        <v>502</v>
      </c>
      <c r="G2893" s="166"/>
      <c r="H2893" s="167">
        <v>2600</v>
      </c>
      <c r="I2893" s="119"/>
      <c r="J2893" s="184"/>
      <c r="K2893" s="185" t="s">
        <v>216</v>
      </c>
      <c r="L2893" s="185"/>
      <c r="M2893" s="140">
        <v>6600</v>
      </c>
    </row>
    <row r="2894" spans="5:13" ht="15.75" x14ac:dyDescent="0.25">
      <c r="E2894" s="117">
        <v>46121</v>
      </c>
      <c r="F2894" s="78" t="s">
        <v>540</v>
      </c>
      <c r="G2894" s="166"/>
      <c r="H2894" s="167">
        <v>3120</v>
      </c>
      <c r="I2894" s="78"/>
      <c r="J2894" s="184"/>
      <c r="K2894" s="185" t="s">
        <v>82</v>
      </c>
      <c r="L2894" s="185" t="s">
        <v>741</v>
      </c>
      <c r="M2894" s="140">
        <v>2300</v>
      </c>
    </row>
    <row r="2895" spans="5:13" x14ac:dyDescent="0.25">
      <c r="E2895" s="117"/>
      <c r="F2895" s="78" t="s">
        <v>590</v>
      </c>
      <c r="G2895" s="166"/>
      <c r="H2895" s="167">
        <v>3520</v>
      </c>
      <c r="I2895" s="78"/>
      <c r="J2895" s="78"/>
      <c r="K2895" s="78"/>
      <c r="L2895" s="78"/>
      <c r="M2895" s="119"/>
    </row>
    <row r="2896" spans="5:13" ht="18.75" x14ac:dyDescent="0.3">
      <c r="E2896" s="117"/>
      <c r="F2896" s="78" t="s">
        <v>591</v>
      </c>
      <c r="G2896" s="166"/>
      <c r="H2896" s="167">
        <v>2200</v>
      </c>
      <c r="I2896" s="78"/>
      <c r="J2896" s="78"/>
      <c r="K2896" s="126" t="s">
        <v>226</v>
      </c>
      <c r="L2896" s="126"/>
      <c r="M2896" s="127">
        <f>SUM(M2889:M2895)</f>
        <v>14346.83</v>
      </c>
    </row>
    <row r="2897" spans="5:13" x14ac:dyDescent="0.25">
      <c r="E2897" s="117">
        <v>46128</v>
      </c>
      <c r="F2897" s="78" t="s">
        <v>611</v>
      </c>
      <c r="G2897" s="166"/>
      <c r="H2897" s="167">
        <v>2550</v>
      </c>
    </row>
    <row r="2898" spans="5:13" x14ac:dyDescent="0.25">
      <c r="E2898" s="117"/>
      <c r="F2898" s="78" t="s">
        <v>616</v>
      </c>
      <c r="G2898" s="166"/>
      <c r="H2898" s="167">
        <v>580</v>
      </c>
      <c r="M2898" s="121"/>
    </row>
    <row r="2899" spans="5:13" ht="15.75" x14ac:dyDescent="0.25">
      <c r="E2899" s="117">
        <v>46141</v>
      </c>
      <c r="F2899" s="215" t="s">
        <v>742</v>
      </c>
      <c r="G2899" s="166"/>
      <c r="H2899" s="167">
        <v>2600</v>
      </c>
      <c r="L2899" s="121"/>
    </row>
    <row r="2900" spans="5:13" x14ac:dyDescent="0.25">
      <c r="E2900" s="117"/>
      <c r="F2900" s="216" t="s">
        <v>93</v>
      </c>
      <c r="G2900" s="217" t="s">
        <v>751</v>
      </c>
      <c r="H2900" s="218">
        <v>2546</v>
      </c>
      <c r="L2900" s="121"/>
    </row>
    <row r="2901" spans="5:13" x14ac:dyDescent="0.25">
      <c r="E2901" s="78"/>
      <c r="F2901" s="78"/>
      <c r="G2901" s="166"/>
      <c r="H2901" s="167"/>
    </row>
    <row r="2902" spans="5:13" ht="15.75" x14ac:dyDescent="0.25">
      <c r="E2902" s="78"/>
      <c r="F2902" s="78"/>
      <c r="G2902" s="78"/>
      <c r="H2902" s="119"/>
      <c r="J2902" s="316" t="s">
        <v>227</v>
      </c>
      <c r="K2902" s="317"/>
      <c r="L2902" s="140">
        <f>H2908-M2896</f>
        <v>65731.520000000004</v>
      </c>
    </row>
    <row r="2903" spans="5:13" ht="15.75" x14ac:dyDescent="0.25">
      <c r="F2903" s="78"/>
      <c r="G2903" s="78"/>
      <c r="H2903" s="122">
        <f>SUM(H2889:H2902)</f>
        <v>37639.56</v>
      </c>
      <c r="L2903" s="89"/>
    </row>
    <row r="2904" spans="5:13" ht="15.75" x14ac:dyDescent="0.25">
      <c r="H2904" s="157"/>
      <c r="J2904" s="128" t="s">
        <v>285</v>
      </c>
      <c r="L2904" s="124">
        <f>G2930</f>
        <v>24605.719999999998</v>
      </c>
    </row>
    <row r="2905" spans="5:13" x14ac:dyDescent="0.25">
      <c r="G2905" s="101" t="s">
        <v>224</v>
      </c>
      <c r="H2905" s="101">
        <v>42438.79</v>
      </c>
    </row>
    <row r="2906" spans="5:13" ht="21" x14ac:dyDescent="0.35">
      <c r="E2906" s="121"/>
      <c r="K2906" s="198" t="s">
        <v>286</v>
      </c>
      <c r="L2906" s="137">
        <f>SUM(L2902:L2904)</f>
        <v>90337.24</v>
      </c>
    </row>
    <row r="2907" spans="5:13" x14ac:dyDescent="0.25">
      <c r="L2907" s="157">
        <v>89331.49</v>
      </c>
      <c r="M2907" s="39" t="s">
        <v>76</v>
      </c>
    </row>
    <row r="2908" spans="5:13" ht="18.75" x14ac:dyDescent="0.3">
      <c r="E2908" s="121"/>
      <c r="G2908" s="99" t="s">
        <v>225</v>
      </c>
      <c r="H2908" s="125">
        <f>SUM(H2903+H2905)</f>
        <v>80078.350000000006</v>
      </c>
    </row>
    <row r="2909" spans="5:13" ht="18.75" x14ac:dyDescent="0.3">
      <c r="E2909" s="121"/>
      <c r="L2909" s="154">
        <f>L2906-L2907</f>
        <v>1005.75</v>
      </c>
    </row>
    <row r="2910" spans="5:13" ht="18.75" x14ac:dyDescent="0.3">
      <c r="L2910" s="125"/>
    </row>
    <row r="2911" spans="5:13" ht="18.75" x14ac:dyDescent="0.3">
      <c r="L2911" s="125"/>
    </row>
    <row r="2913" spans="5:12" x14ac:dyDescent="0.25">
      <c r="L2913" s="121"/>
    </row>
    <row r="2915" spans="5:12" x14ac:dyDescent="0.25">
      <c r="E2915" s="91"/>
      <c r="I2915" s="121"/>
    </row>
    <row r="2917" spans="5:12" ht="15.75" x14ac:dyDescent="0.25">
      <c r="F2917" s="132" t="s">
        <v>235</v>
      </c>
      <c r="G2917" s="133">
        <v>12280.52</v>
      </c>
    </row>
    <row r="2918" spans="5:12" ht="15.75" x14ac:dyDescent="0.25">
      <c r="F2918" s="211" t="s">
        <v>722</v>
      </c>
      <c r="G2918" s="138">
        <v>-2900</v>
      </c>
      <c r="J2918" s="322" t="s">
        <v>570</v>
      </c>
      <c r="K2918" s="322"/>
    </row>
    <row r="2919" spans="5:12" x14ac:dyDescent="0.25">
      <c r="F2919" t="s">
        <v>724</v>
      </c>
      <c r="G2919" s="121">
        <v>1590</v>
      </c>
    </row>
    <row r="2920" spans="5:12" x14ac:dyDescent="0.25">
      <c r="F2920" s="139" t="s">
        <v>729</v>
      </c>
      <c r="G2920" s="138">
        <v>-40</v>
      </c>
      <c r="J2920" s="150" t="s">
        <v>595</v>
      </c>
      <c r="K2920" s="151">
        <v>17626.830000000002</v>
      </c>
    </row>
    <row r="2921" spans="5:12" x14ac:dyDescent="0.25">
      <c r="F2921" t="s">
        <v>357</v>
      </c>
      <c r="G2921" s="121">
        <v>774.4</v>
      </c>
      <c r="J2921" s="150" t="s">
        <v>555</v>
      </c>
      <c r="K2921" s="151">
        <v>-5400</v>
      </c>
    </row>
    <row r="2922" spans="5:12" x14ac:dyDescent="0.25">
      <c r="E2922" s="91">
        <v>46140</v>
      </c>
      <c r="F2922" t="s">
        <v>272</v>
      </c>
      <c r="G2922" s="121">
        <v>-400</v>
      </c>
      <c r="J2922" s="150" t="s">
        <v>623</v>
      </c>
      <c r="K2922" s="151">
        <v>-150</v>
      </c>
    </row>
    <row r="2923" spans="5:12" x14ac:dyDescent="0.25">
      <c r="F2923" t="s">
        <v>736</v>
      </c>
      <c r="G2923" s="121">
        <v>6318</v>
      </c>
      <c r="J2923" s="150" t="s">
        <v>623</v>
      </c>
      <c r="K2923" s="151">
        <v>-100</v>
      </c>
    </row>
    <row r="2924" spans="5:12" x14ac:dyDescent="0.25">
      <c r="F2924" t="s">
        <v>357</v>
      </c>
      <c r="G2924" s="121">
        <v>3942.8</v>
      </c>
      <c r="J2924" s="163" t="s">
        <v>739</v>
      </c>
      <c r="K2924" s="164">
        <v>-1900</v>
      </c>
    </row>
    <row r="2925" spans="5:12" x14ac:dyDescent="0.25">
      <c r="E2925" s="91">
        <v>46141</v>
      </c>
      <c r="F2925" s="163" t="s">
        <v>740</v>
      </c>
      <c r="G2925" s="157">
        <v>590</v>
      </c>
      <c r="J2925" s="214" t="s">
        <v>673</v>
      </c>
      <c r="K2925" s="164">
        <v>-2580</v>
      </c>
    </row>
    <row r="2926" spans="5:12" x14ac:dyDescent="0.25">
      <c r="F2926" t="s">
        <v>744</v>
      </c>
      <c r="G2926" s="121">
        <v>2475</v>
      </c>
      <c r="J2926" s="163" t="s">
        <v>749</v>
      </c>
      <c r="K2926" s="164">
        <v>-4170</v>
      </c>
    </row>
    <row r="2927" spans="5:12" x14ac:dyDescent="0.25">
      <c r="F2927" s="139" t="s">
        <v>748</v>
      </c>
      <c r="G2927" s="138">
        <v>-25</v>
      </c>
    </row>
    <row r="2928" spans="5:12" x14ac:dyDescent="0.25">
      <c r="G2928" s="121"/>
    </row>
    <row r="2929" spans="5:11" x14ac:dyDescent="0.25">
      <c r="K2929" s="193">
        <f>SUM(K2920:K2927)</f>
        <v>3326.8300000000017</v>
      </c>
    </row>
    <row r="2930" spans="5:11" ht="15.75" x14ac:dyDescent="0.25">
      <c r="F2930" s="132" t="s">
        <v>236</v>
      </c>
      <c r="G2930" s="133">
        <f>SUM(G2917:G2929)</f>
        <v>24605.719999999998</v>
      </c>
    </row>
    <row r="2933" spans="5:11" x14ac:dyDescent="0.25">
      <c r="G2933">
        <v>-11.9</v>
      </c>
    </row>
    <row r="2934" spans="5:11" x14ac:dyDescent="0.25">
      <c r="E2934" s="91"/>
    </row>
    <row r="2935" spans="5:11" x14ac:dyDescent="0.25">
      <c r="E2935" s="91"/>
      <c r="F2935" s="39"/>
      <c r="G2935" s="157">
        <f>SUM(G2930:G2934)</f>
        <v>24593.819999999996</v>
      </c>
    </row>
    <row r="2936" spans="5:11" x14ac:dyDescent="0.25">
      <c r="E2936" s="91"/>
    </row>
    <row r="2937" spans="5:11" x14ac:dyDescent="0.25">
      <c r="E2937" s="91"/>
    </row>
    <row r="2938" spans="5:11" x14ac:dyDescent="0.25">
      <c r="E2938" s="91"/>
    </row>
    <row r="2940" spans="5:11" ht="15.75" x14ac:dyDescent="0.25">
      <c r="F2940" s="166" t="s">
        <v>429</v>
      </c>
      <c r="G2940" s="131">
        <v>32382.66</v>
      </c>
    </row>
    <row r="2941" spans="5:11" ht="15.75" x14ac:dyDescent="0.25">
      <c r="E2941" s="91">
        <v>46140</v>
      </c>
      <c r="F2941" s="177" t="s">
        <v>506</v>
      </c>
      <c r="G2941" s="213">
        <v>-20</v>
      </c>
    </row>
    <row r="2942" spans="5:11" ht="15.75" x14ac:dyDescent="0.25">
      <c r="F2942" s="178" t="s">
        <v>733</v>
      </c>
      <c r="G2942" s="212">
        <v>-6318</v>
      </c>
    </row>
    <row r="2943" spans="5:11" ht="15.75" x14ac:dyDescent="0.25">
      <c r="F2943" s="178" t="s">
        <v>734</v>
      </c>
      <c r="G2943" s="212">
        <v>-10</v>
      </c>
    </row>
    <row r="2944" spans="5:11" x14ac:dyDescent="0.25">
      <c r="F2944" s="177" t="s">
        <v>735</v>
      </c>
      <c r="G2944" s="188">
        <v>-11640</v>
      </c>
    </row>
    <row r="2945" spans="5:7" x14ac:dyDescent="0.25">
      <c r="F2945" s="177" t="s">
        <v>535</v>
      </c>
      <c r="G2945" s="188">
        <v>-0.85</v>
      </c>
    </row>
    <row r="2946" spans="5:7" x14ac:dyDescent="0.25">
      <c r="E2946" s="91">
        <v>46141</v>
      </c>
      <c r="F2946" s="177" t="s">
        <v>555</v>
      </c>
      <c r="G2946" s="188">
        <v>-5400</v>
      </c>
    </row>
    <row r="2947" spans="5:7" x14ac:dyDescent="0.25">
      <c r="E2947" s="91"/>
      <c r="F2947" s="177" t="s">
        <v>623</v>
      </c>
      <c r="G2947" s="188">
        <v>-100</v>
      </c>
    </row>
    <row r="2948" spans="5:7" x14ac:dyDescent="0.25">
      <c r="E2948" s="91"/>
      <c r="F2948" s="177" t="s">
        <v>623</v>
      </c>
      <c r="G2948" s="188">
        <v>-150</v>
      </c>
    </row>
    <row r="2949" spans="5:7" x14ac:dyDescent="0.25">
      <c r="F2949" s="150" t="s">
        <v>750</v>
      </c>
      <c r="G2949" s="151">
        <v>-100</v>
      </c>
    </row>
    <row r="2950" spans="5:7" x14ac:dyDescent="0.25">
      <c r="F2950" s="178" t="s">
        <v>535</v>
      </c>
      <c r="G2950" s="179">
        <v>-0.25</v>
      </c>
    </row>
    <row r="2951" spans="5:7" x14ac:dyDescent="0.25">
      <c r="F2951" s="150"/>
      <c r="G2951" s="151"/>
    </row>
    <row r="2952" spans="5:7" x14ac:dyDescent="0.25">
      <c r="F2952" s="78"/>
      <c r="G2952" s="119"/>
    </row>
    <row r="2953" spans="5:7" ht="15.75" x14ac:dyDescent="0.25">
      <c r="F2953" s="78" t="s">
        <v>596</v>
      </c>
      <c r="G2953" s="189">
        <f>SUM(G2940:G2952)</f>
        <v>8643.56</v>
      </c>
    </row>
    <row r="2961" spans="5:13" ht="18.75" x14ac:dyDescent="0.3">
      <c r="E2961" s="314" t="s">
        <v>752</v>
      </c>
      <c r="F2961" s="315"/>
      <c r="G2961" s="315"/>
      <c r="H2961" s="315"/>
      <c r="I2961" s="315"/>
      <c r="J2961" s="315"/>
      <c r="K2961" s="315"/>
      <c r="L2961" s="315"/>
      <c r="M2961" s="315"/>
    </row>
    <row r="2962" spans="5:13" x14ac:dyDescent="0.25">
      <c r="E2962" s="78"/>
      <c r="F2962" s="78"/>
      <c r="G2962" s="78"/>
      <c r="H2962" s="78"/>
      <c r="I2962" s="78"/>
      <c r="J2962" s="78"/>
      <c r="K2962" s="78"/>
      <c r="L2962" s="78"/>
      <c r="M2962" s="78"/>
    </row>
    <row r="2963" spans="5:13" ht="15.75" x14ac:dyDescent="0.25">
      <c r="E2963" s="118" t="s">
        <v>223</v>
      </c>
      <c r="F2963" s="118" t="s">
        <v>206</v>
      </c>
      <c r="G2963" s="118" t="s">
        <v>207</v>
      </c>
      <c r="H2963" s="118" t="s">
        <v>218</v>
      </c>
      <c r="I2963" s="78"/>
      <c r="J2963" s="120" t="s">
        <v>6</v>
      </c>
      <c r="K2963" s="120" t="s">
        <v>217</v>
      </c>
      <c r="L2963" s="120" t="s">
        <v>207</v>
      </c>
      <c r="M2963" s="120" t="s">
        <v>218</v>
      </c>
    </row>
    <row r="2964" spans="5:13" x14ac:dyDescent="0.25">
      <c r="E2964" s="117"/>
      <c r="F2964" s="78" t="s">
        <v>459</v>
      </c>
      <c r="G2964" s="78" t="s">
        <v>755</v>
      </c>
      <c r="H2964" s="119">
        <v>2340</v>
      </c>
      <c r="I2964" s="175" t="s">
        <v>731</v>
      </c>
      <c r="J2964" s="117"/>
      <c r="K2964" s="78"/>
      <c r="L2964" s="78"/>
      <c r="M2964" s="119"/>
    </row>
    <row r="2965" spans="5:13" x14ac:dyDescent="0.25">
      <c r="E2965" s="117">
        <v>46087</v>
      </c>
      <c r="F2965" s="78" t="s">
        <v>148</v>
      </c>
      <c r="G2965" s="78" t="s">
        <v>209</v>
      </c>
      <c r="H2965" s="119">
        <v>420</v>
      </c>
      <c r="I2965" s="78"/>
      <c r="J2965" s="117">
        <v>46037</v>
      </c>
      <c r="K2965" s="149" t="s">
        <v>66</v>
      </c>
      <c r="L2965" s="78" t="s">
        <v>222</v>
      </c>
      <c r="M2965" s="119">
        <v>2120</v>
      </c>
    </row>
    <row r="2966" spans="5:13" ht="15.75" x14ac:dyDescent="0.25">
      <c r="E2966" s="117">
        <v>46087</v>
      </c>
      <c r="F2966" s="78" t="s">
        <v>214</v>
      </c>
      <c r="G2966" s="155" t="s">
        <v>211</v>
      </c>
      <c r="H2966" s="156">
        <v>3400</v>
      </c>
      <c r="I2966" s="78"/>
      <c r="J2966" s="181">
        <v>46120</v>
      </c>
      <c r="K2966" s="182" t="s">
        <v>520</v>
      </c>
      <c r="L2966" s="182"/>
      <c r="M2966" s="183">
        <v>15626.83</v>
      </c>
    </row>
    <row r="2967" spans="5:13" ht="15.75" x14ac:dyDescent="0.25">
      <c r="E2967" s="78"/>
      <c r="F2967" s="201" t="s">
        <v>429</v>
      </c>
      <c r="G2967" s="201"/>
      <c r="H2967" s="202">
        <v>13546.51</v>
      </c>
      <c r="I2967" s="119"/>
      <c r="J2967" s="184"/>
      <c r="K2967" s="185"/>
      <c r="L2967" s="185"/>
      <c r="M2967" s="140"/>
    </row>
    <row r="2968" spans="5:13" ht="15.75" x14ac:dyDescent="0.25">
      <c r="E2968" s="117">
        <v>46121</v>
      </c>
      <c r="F2968" s="78" t="s">
        <v>540</v>
      </c>
      <c r="G2968" s="166"/>
      <c r="H2968" s="167">
        <v>3120</v>
      </c>
      <c r="I2968" s="119"/>
      <c r="J2968" s="184"/>
      <c r="K2968" s="185" t="s">
        <v>82</v>
      </c>
      <c r="L2968" s="185" t="s">
        <v>741</v>
      </c>
      <c r="M2968" s="140">
        <v>4600</v>
      </c>
    </row>
    <row r="2969" spans="5:13" x14ac:dyDescent="0.25">
      <c r="E2969" s="117"/>
      <c r="F2969" s="78" t="s">
        <v>590</v>
      </c>
      <c r="G2969" s="166"/>
      <c r="H2969" s="167">
        <v>3520</v>
      </c>
      <c r="I2969" s="78"/>
      <c r="J2969" s="78"/>
      <c r="K2969" s="78"/>
      <c r="L2969" s="78"/>
      <c r="M2969" s="119"/>
    </row>
    <row r="2970" spans="5:13" ht="18.75" x14ac:dyDescent="0.3">
      <c r="E2970" s="117"/>
      <c r="F2970" s="78" t="s">
        <v>591</v>
      </c>
      <c r="G2970" s="166"/>
      <c r="H2970" s="167">
        <v>2200</v>
      </c>
      <c r="I2970" s="78"/>
      <c r="J2970" s="78"/>
      <c r="K2970" s="126" t="s">
        <v>226</v>
      </c>
      <c r="L2970" s="126"/>
      <c r="M2970" s="127">
        <f>SUM(M2964:M2969)</f>
        <v>22346.83</v>
      </c>
    </row>
    <row r="2971" spans="5:13" x14ac:dyDescent="0.25">
      <c r="E2971" s="117">
        <v>46128</v>
      </c>
      <c r="F2971" s="78" t="s">
        <v>611</v>
      </c>
      <c r="G2971" s="166"/>
      <c r="H2971" s="167">
        <v>2550</v>
      </c>
      <c r="I2971" s="78"/>
    </row>
    <row r="2972" spans="5:13" x14ac:dyDescent="0.25">
      <c r="E2972" s="117"/>
      <c r="F2972" s="78" t="s">
        <v>616</v>
      </c>
      <c r="G2972" s="166"/>
      <c r="H2972" s="167">
        <v>580</v>
      </c>
      <c r="M2972" s="121"/>
    </row>
    <row r="2973" spans="5:13" ht="15.75" x14ac:dyDescent="0.25">
      <c r="E2973" s="117">
        <v>46141</v>
      </c>
      <c r="F2973" s="215" t="s">
        <v>757</v>
      </c>
      <c r="G2973" s="166"/>
      <c r="H2973" s="167">
        <v>2700</v>
      </c>
      <c r="L2973" s="121"/>
    </row>
    <row r="2974" spans="5:13" x14ac:dyDescent="0.25">
      <c r="E2974" s="117"/>
      <c r="F2974" s="222" t="s">
        <v>765</v>
      </c>
      <c r="G2974" s="223" t="s">
        <v>751</v>
      </c>
      <c r="H2974" s="224">
        <v>2546</v>
      </c>
      <c r="L2974" s="121"/>
    </row>
    <row r="2975" spans="5:13" x14ac:dyDescent="0.25">
      <c r="E2975" s="117">
        <v>46142</v>
      </c>
      <c r="F2975" s="78" t="s">
        <v>764</v>
      </c>
      <c r="G2975" s="166"/>
      <c r="H2975" s="167">
        <v>2002</v>
      </c>
    </row>
    <row r="2976" spans="5:13" ht="15.75" x14ac:dyDescent="0.25">
      <c r="E2976" s="117"/>
      <c r="F2976" s="222" t="s">
        <v>766</v>
      </c>
      <c r="G2976" s="223" t="s">
        <v>763</v>
      </c>
      <c r="H2976" s="224">
        <v>3373.8</v>
      </c>
      <c r="J2976" s="316" t="s">
        <v>227</v>
      </c>
      <c r="K2976" s="317"/>
      <c r="L2976" s="140">
        <f>H2987-M2970</f>
        <v>67851.319999999992</v>
      </c>
    </row>
    <row r="2977" spans="5:13" ht="15.75" x14ac:dyDescent="0.25">
      <c r="E2977" s="117">
        <v>46142</v>
      </c>
      <c r="F2977" s="215" t="s">
        <v>756</v>
      </c>
      <c r="G2977" s="166"/>
      <c r="H2977" s="167">
        <v>2650</v>
      </c>
      <c r="L2977" s="89"/>
    </row>
    <row r="2978" spans="5:13" ht="15.75" x14ac:dyDescent="0.25">
      <c r="E2978" s="117"/>
      <c r="F2978" s="78"/>
      <c r="G2978" s="166"/>
      <c r="H2978" s="167"/>
      <c r="J2978" s="128" t="s">
        <v>285</v>
      </c>
      <c r="L2978" s="124">
        <f>G3011</f>
        <v>24605.719999999998</v>
      </c>
    </row>
    <row r="2979" spans="5:13" ht="15.75" x14ac:dyDescent="0.25">
      <c r="E2979" s="117"/>
      <c r="F2979" s="78"/>
      <c r="G2979" s="166"/>
      <c r="H2979" s="167"/>
      <c r="J2979" s="128"/>
      <c r="L2979" s="124"/>
    </row>
    <row r="2980" spans="5:13" ht="15.75" x14ac:dyDescent="0.25">
      <c r="E2980" s="117"/>
      <c r="F2980" s="78"/>
      <c r="G2980" s="166"/>
      <c r="H2980" s="167"/>
      <c r="J2980" s="128"/>
      <c r="L2980" s="124"/>
    </row>
    <row r="2981" spans="5:13" x14ac:dyDescent="0.25">
      <c r="E2981" s="78"/>
      <c r="F2981" s="78"/>
      <c r="G2981" s="78"/>
      <c r="H2981" s="119"/>
    </row>
    <row r="2982" spans="5:13" ht="21" x14ac:dyDescent="0.35">
      <c r="E2982" s="78"/>
      <c r="F2982" s="78"/>
      <c r="G2982" s="78"/>
      <c r="H2982" s="122">
        <f>SUM(H2964:H2981)</f>
        <v>44948.310000000005</v>
      </c>
      <c r="K2982" s="198" t="s">
        <v>286</v>
      </c>
      <c r="L2982" s="137">
        <f>SUM(L2976:L2978)</f>
        <v>92457.04</v>
      </c>
    </row>
    <row r="2983" spans="5:13" x14ac:dyDescent="0.25">
      <c r="H2983" s="157"/>
      <c r="L2983" s="157">
        <v>90337.24</v>
      </c>
      <c r="M2983" s="39" t="s">
        <v>76</v>
      </c>
    </row>
    <row r="2984" spans="5:13" x14ac:dyDescent="0.25">
      <c r="G2984" s="101" t="s">
        <v>224</v>
      </c>
      <c r="H2984" s="101">
        <v>45249.84</v>
      </c>
    </row>
    <row r="2985" spans="5:13" ht="18.75" x14ac:dyDescent="0.3">
      <c r="E2985" s="121"/>
      <c r="L2985" s="154">
        <f>L2982-L2983</f>
        <v>2119.7999999999884</v>
      </c>
    </row>
    <row r="2986" spans="5:13" ht="18.75" x14ac:dyDescent="0.3">
      <c r="L2986" s="125"/>
    </row>
    <row r="2987" spans="5:13" ht="18.75" x14ac:dyDescent="0.3">
      <c r="E2987" s="121"/>
      <c r="G2987" s="99" t="s">
        <v>225</v>
      </c>
      <c r="H2987" s="125">
        <f>SUM(H2982+H2984)</f>
        <v>90198.15</v>
      </c>
      <c r="L2987" s="125"/>
    </row>
    <row r="2988" spans="5:13" x14ac:dyDescent="0.25">
      <c r="E2988" s="121"/>
    </row>
    <row r="2989" spans="5:13" x14ac:dyDescent="0.25">
      <c r="L2989" s="121"/>
    </row>
    <row r="2992" spans="5:13" x14ac:dyDescent="0.25">
      <c r="I2992" s="121"/>
    </row>
    <row r="2994" spans="5:11" ht="15.75" x14ac:dyDescent="0.25">
      <c r="E2994" s="91"/>
      <c r="J2994" s="322" t="s">
        <v>570</v>
      </c>
      <c r="K2994" s="322"/>
    </row>
    <row r="2996" spans="5:11" ht="15.75" x14ac:dyDescent="0.25">
      <c r="F2996" s="132" t="s">
        <v>235</v>
      </c>
      <c r="G2996" s="133">
        <v>12280.52</v>
      </c>
      <c r="J2996" s="150" t="s">
        <v>595</v>
      </c>
      <c r="K2996" s="151">
        <v>17626.830000000002</v>
      </c>
    </row>
    <row r="2997" spans="5:11" ht="15.75" x14ac:dyDescent="0.25">
      <c r="F2997" s="211" t="s">
        <v>722</v>
      </c>
      <c r="G2997" s="138">
        <v>-2900</v>
      </c>
      <c r="J2997" s="220" t="s">
        <v>753</v>
      </c>
      <c r="K2997" s="221">
        <v>-5400</v>
      </c>
    </row>
    <row r="2998" spans="5:11" x14ac:dyDescent="0.25">
      <c r="F2998" t="s">
        <v>724</v>
      </c>
      <c r="G2998" s="121">
        <v>1590</v>
      </c>
      <c r="J2998" s="150" t="s">
        <v>623</v>
      </c>
      <c r="K2998" s="151">
        <v>-150</v>
      </c>
    </row>
    <row r="2999" spans="5:11" x14ac:dyDescent="0.25">
      <c r="F2999" s="139" t="s">
        <v>729</v>
      </c>
      <c r="G2999" s="138">
        <v>-40</v>
      </c>
      <c r="J2999" s="150" t="s">
        <v>623</v>
      </c>
      <c r="K2999" s="151">
        <v>-100</v>
      </c>
    </row>
    <row r="3000" spans="5:11" x14ac:dyDescent="0.25">
      <c r="F3000" t="s">
        <v>357</v>
      </c>
      <c r="G3000" s="121">
        <v>774.4</v>
      </c>
      <c r="J3000" s="163" t="s">
        <v>739</v>
      </c>
      <c r="K3000" s="164">
        <v>-1900</v>
      </c>
    </row>
    <row r="3001" spans="5:11" x14ac:dyDescent="0.25">
      <c r="E3001" s="91">
        <v>46140</v>
      </c>
      <c r="F3001" t="s">
        <v>272</v>
      </c>
      <c r="G3001" s="121">
        <v>-400</v>
      </c>
      <c r="J3001" s="214" t="s">
        <v>673</v>
      </c>
      <c r="K3001" s="164">
        <v>-2580</v>
      </c>
    </row>
    <row r="3002" spans="5:11" x14ac:dyDescent="0.25">
      <c r="F3002" t="s">
        <v>736</v>
      </c>
      <c r="G3002" s="121">
        <v>6318</v>
      </c>
      <c r="J3002" s="163" t="s">
        <v>749</v>
      </c>
      <c r="K3002" s="164">
        <v>-4170</v>
      </c>
    </row>
    <row r="3003" spans="5:11" x14ac:dyDescent="0.25">
      <c r="F3003" t="s">
        <v>357</v>
      </c>
      <c r="G3003" s="121">
        <v>3942.8</v>
      </c>
      <c r="J3003" s="163" t="s">
        <v>754</v>
      </c>
      <c r="K3003" s="164">
        <v>-2600</v>
      </c>
    </row>
    <row r="3004" spans="5:11" x14ac:dyDescent="0.25">
      <c r="E3004" s="91">
        <v>46141</v>
      </c>
      <c r="F3004" s="163" t="s">
        <v>740</v>
      </c>
      <c r="G3004" s="157">
        <v>590</v>
      </c>
      <c r="J3004" s="163" t="s">
        <v>758</v>
      </c>
      <c r="K3004" s="164">
        <v>25000</v>
      </c>
    </row>
    <row r="3005" spans="5:11" x14ac:dyDescent="0.25">
      <c r="F3005" t="s">
        <v>744</v>
      </c>
      <c r="G3005" s="121">
        <v>2475</v>
      </c>
      <c r="J3005" s="150" t="s">
        <v>760</v>
      </c>
      <c r="K3005" s="151">
        <v>-15500</v>
      </c>
    </row>
    <row r="3006" spans="5:11" x14ac:dyDescent="0.25">
      <c r="F3006" s="139" t="s">
        <v>748</v>
      </c>
      <c r="G3006" s="138">
        <v>-25</v>
      </c>
      <c r="J3006" s="220" t="s">
        <v>762</v>
      </c>
      <c r="K3006" s="221">
        <v>5400</v>
      </c>
    </row>
    <row r="3007" spans="5:11" x14ac:dyDescent="0.25">
      <c r="F3007" s="139"/>
      <c r="G3007" s="138"/>
      <c r="J3007" s="150"/>
      <c r="K3007" s="151"/>
    </row>
    <row r="3008" spans="5:11" x14ac:dyDescent="0.25">
      <c r="F3008" s="139"/>
      <c r="G3008" s="138"/>
    </row>
    <row r="3009" spans="5:11" x14ac:dyDescent="0.25">
      <c r="G3009" s="121"/>
      <c r="K3009" s="193">
        <f>SUM(K2996:K3006)</f>
        <v>15626.830000000002</v>
      </c>
    </row>
    <row r="3011" spans="5:11" ht="15.75" x14ac:dyDescent="0.25">
      <c r="F3011" s="132" t="s">
        <v>236</v>
      </c>
      <c r="G3011" s="133">
        <f>SUM(G2996:G3010)</f>
        <v>24605.719999999998</v>
      </c>
    </row>
    <row r="3014" spans="5:11" x14ac:dyDescent="0.25">
      <c r="G3014">
        <v>-11.9</v>
      </c>
    </row>
    <row r="3015" spans="5:11" x14ac:dyDescent="0.25">
      <c r="E3015" s="91"/>
    </row>
    <row r="3016" spans="5:11" x14ac:dyDescent="0.25">
      <c r="E3016" s="91"/>
      <c r="F3016" s="39"/>
      <c r="G3016" s="157">
        <f>SUM(G3011:G3015)</f>
        <v>24593.819999999996</v>
      </c>
    </row>
    <row r="3017" spans="5:11" x14ac:dyDescent="0.25">
      <c r="E3017" s="91"/>
    </row>
    <row r="3018" spans="5:11" x14ac:dyDescent="0.25">
      <c r="E3018" s="91"/>
    </row>
    <row r="3019" spans="5:11" x14ac:dyDescent="0.25">
      <c r="E3019" s="91"/>
    </row>
    <row r="3021" spans="5:11" ht="15.75" x14ac:dyDescent="0.25">
      <c r="F3021" s="166" t="s">
        <v>429</v>
      </c>
      <c r="G3021" s="131">
        <v>32382.66</v>
      </c>
    </row>
    <row r="3022" spans="5:11" ht="15.75" x14ac:dyDescent="0.25">
      <c r="E3022" s="91">
        <v>46140</v>
      </c>
      <c r="F3022" s="177" t="s">
        <v>506</v>
      </c>
      <c r="G3022" s="213">
        <v>-20</v>
      </c>
    </row>
    <row r="3023" spans="5:11" ht="15.75" x14ac:dyDescent="0.25">
      <c r="F3023" s="178" t="s">
        <v>733</v>
      </c>
      <c r="G3023" s="212">
        <v>-6318</v>
      </c>
    </row>
    <row r="3024" spans="5:11" ht="15.75" x14ac:dyDescent="0.25">
      <c r="F3024" s="178" t="s">
        <v>734</v>
      </c>
      <c r="G3024" s="212">
        <v>-10</v>
      </c>
    </row>
    <row r="3025" spans="5:7" x14ac:dyDescent="0.25">
      <c r="F3025" s="177" t="s">
        <v>735</v>
      </c>
      <c r="G3025" s="188">
        <v>-11640</v>
      </c>
    </row>
    <row r="3026" spans="5:7" x14ac:dyDescent="0.25">
      <c r="F3026" s="177" t="s">
        <v>535</v>
      </c>
      <c r="G3026" s="188">
        <v>-0.85</v>
      </c>
    </row>
    <row r="3027" spans="5:7" x14ac:dyDescent="0.25">
      <c r="E3027" s="91">
        <v>46141</v>
      </c>
      <c r="F3027" s="177" t="s">
        <v>555</v>
      </c>
      <c r="G3027" s="188">
        <v>-5400</v>
      </c>
    </row>
    <row r="3028" spans="5:7" x14ac:dyDescent="0.25">
      <c r="E3028" s="91"/>
      <c r="F3028" s="177" t="s">
        <v>623</v>
      </c>
      <c r="G3028" s="188">
        <v>-100</v>
      </c>
    </row>
    <row r="3029" spans="5:7" x14ac:dyDescent="0.25">
      <c r="E3029" s="91"/>
      <c r="F3029" s="177" t="s">
        <v>623</v>
      </c>
      <c r="G3029" s="188">
        <v>-150</v>
      </c>
    </row>
    <row r="3030" spans="5:7" x14ac:dyDescent="0.25">
      <c r="F3030" s="150" t="s">
        <v>750</v>
      </c>
      <c r="G3030" s="151">
        <v>-100</v>
      </c>
    </row>
    <row r="3031" spans="5:7" x14ac:dyDescent="0.25">
      <c r="F3031" s="178" t="s">
        <v>535</v>
      </c>
      <c r="G3031" s="179">
        <v>-0.25</v>
      </c>
    </row>
    <row r="3032" spans="5:7" x14ac:dyDescent="0.25">
      <c r="E3032" s="91">
        <v>46142</v>
      </c>
      <c r="F3032" s="150" t="s">
        <v>759</v>
      </c>
      <c r="G3032" s="151">
        <v>-894.9</v>
      </c>
    </row>
    <row r="3033" spans="5:7" x14ac:dyDescent="0.25">
      <c r="F3033" s="214" t="s">
        <v>758</v>
      </c>
      <c r="G3033" s="219">
        <v>25000</v>
      </c>
    </row>
    <row r="3034" spans="5:7" x14ac:dyDescent="0.25">
      <c r="F3034" s="178" t="s">
        <v>216</v>
      </c>
      <c r="G3034" s="179">
        <v>-9100</v>
      </c>
    </row>
    <row r="3035" spans="5:7" x14ac:dyDescent="0.25">
      <c r="F3035" s="178" t="s">
        <v>761</v>
      </c>
      <c r="G3035" s="179">
        <v>-10100</v>
      </c>
    </row>
    <row r="3036" spans="5:7" x14ac:dyDescent="0.25">
      <c r="F3036" s="178" t="s">
        <v>535</v>
      </c>
      <c r="G3036" s="179">
        <v>-2.15</v>
      </c>
    </row>
    <row r="3037" spans="5:7" x14ac:dyDescent="0.25">
      <c r="F3037" s="178"/>
      <c r="G3037" s="179"/>
    </row>
    <row r="3038" spans="5:7" x14ac:dyDescent="0.25">
      <c r="F3038" s="78"/>
      <c r="G3038" s="119"/>
    </row>
    <row r="3039" spans="5:7" ht="15.75" x14ac:dyDescent="0.25">
      <c r="F3039" s="78" t="s">
        <v>596</v>
      </c>
      <c r="G3039" s="189">
        <f>SUM(G3021:G3038)</f>
        <v>13546.51</v>
      </c>
    </row>
    <row r="3053" spans="5:13" ht="18.75" x14ac:dyDescent="0.3">
      <c r="E3053" s="314" t="s">
        <v>785</v>
      </c>
      <c r="F3053" s="315"/>
      <c r="G3053" s="315"/>
      <c r="H3053" s="315"/>
      <c r="I3053" s="315"/>
      <c r="J3053" s="315"/>
      <c r="K3053" s="315"/>
      <c r="L3053" s="315"/>
      <c r="M3053" s="315"/>
    </row>
    <row r="3054" spans="5:13" x14ac:dyDescent="0.25">
      <c r="E3054" s="78"/>
      <c r="F3054" s="78"/>
      <c r="G3054" s="78"/>
      <c r="H3054" s="78"/>
      <c r="I3054" s="78"/>
      <c r="J3054" s="78"/>
      <c r="K3054" s="78"/>
      <c r="L3054" s="78"/>
      <c r="M3054" s="78"/>
    </row>
    <row r="3055" spans="5:13" ht="15.75" x14ac:dyDescent="0.25">
      <c r="E3055" s="118" t="s">
        <v>223</v>
      </c>
      <c r="F3055" s="118" t="s">
        <v>206</v>
      </c>
      <c r="G3055" s="118" t="s">
        <v>207</v>
      </c>
      <c r="H3055" s="118" t="s">
        <v>218</v>
      </c>
      <c r="I3055" s="78"/>
      <c r="J3055" s="120" t="s">
        <v>6</v>
      </c>
      <c r="K3055" s="120" t="s">
        <v>217</v>
      </c>
      <c r="L3055" s="120" t="s">
        <v>207</v>
      </c>
      <c r="M3055" s="120" t="s">
        <v>218</v>
      </c>
    </row>
    <row r="3056" spans="5:13" x14ac:dyDescent="0.25">
      <c r="E3056" s="117"/>
      <c r="F3056" s="78" t="s">
        <v>459</v>
      </c>
      <c r="G3056" s="78" t="s">
        <v>755</v>
      </c>
      <c r="H3056" s="119">
        <v>2340</v>
      </c>
      <c r="I3056" s="175" t="s">
        <v>731</v>
      </c>
      <c r="J3056" s="117"/>
      <c r="K3056" s="78"/>
      <c r="L3056" s="78"/>
      <c r="M3056" s="119"/>
    </row>
    <row r="3057" spans="5:13" x14ac:dyDescent="0.25">
      <c r="E3057" s="117">
        <v>46087</v>
      </c>
      <c r="F3057" s="78" t="s">
        <v>148</v>
      </c>
      <c r="G3057" s="78" t="s">
        <v>209</v>
      </c>
      <c r="H3057" s="119">
        <v>420</v>
      </c>
      <c r="I3057" s="78"/>
      <c r="J3057" s="117">
        <v>46037</v>
      </c>
      <c r="K3057" s="149" t="s">
        <v>66</v>
      </c>
      <c r="L3057" s="78" t="s">
        <v>222</v>
      </c>
      <c r="M3057" s="119">
        <v>2120</v>
      </c>
    </row>
    <row r="3058" spans="5:13" ht="15.75" x14ac:dyDescent="0.25">
      <c r="E3058" s="117">
        <v>46087</v>
      </c>
      <c r="F3058" s="78" t="s">
        <v>214</v>
      </c>
      <c r="G3058" s="155" t="s">
        <v>211</v>
      </c>
      <c r="H3058" s="156">
        <v>3400</v>
      </c>
      <c r="I3058" s="78"/>
      <c r="J3058" s="181">
        <v>46120</v>
      </c>
      <c r="K3058" s="182" t="s">
        <v>520</v>
      </c>
      <c r="L3058" s="182"/>
      <c r="M3058" s="183">
        <v>12711.83</v>
      </c>
    </row>
    <row r="3059" spans="5:13" ht="15.75" x14ac:dyDescent="0.25">
      <c r="E3059" s="78"/>
      <c r="F3059" s="201" t="s">
        <v>429</v>
      </c>
      <c r="G3059" s="201"/>
      <c r="H3059" s="202">
        <v>12215.05</v>
      </c>
      <c r="I3059" s="119"/>
      <c r="J3059" s="184"/>
      <c r="K3059" s="185" t="s">
        <v>281</v>
      </c>
      <c r="L3059" s="185"/>
      <c r="M3059" s="140">
        <v>4750</v>
      </c>
    </row>
    <row r="3060" spans="5:13" ht="15.75" x14ac:dyDescent="0.25">
      <c r="E3060" s="117">
        <v>46121</v>
      </c>
      <c r="F3060" s="78" t="s">
        <v>540</v>
      </c>
      <c r="G3060" s="166"/>
      <c r="H3060" s="167">
        <v>3120</v>
      </c>
      <c r="I3060" s="119"/>
      <c r="J3060" s="184"/>
      <c r="K3060" s="185" t="s">
        <v>82</v>
      </c>
      <c r="L3060" s="185" t="s">
        <v>741</v>
      </c>
      <c r="M3060" s="140">
        <v>4600</v>
      </c>
    </row>
    <row r="3061" spans="5:13" x14ac:dyDescent="0.25">
      <c r="E3061" s="117"/>
      <c r="F3061" s="78" t="s">
        <v>590</v>
      </c>
      <c r="G3061" s="166"/>
      <c r="H3061" s="167">
        <v>3520</v>
      </c>
      <c r="I3061" s="78"/>
      <c r="J3061" s="78"/>
      <c r="K3061" s="78"/>
      <c r="L3061" s="78"/>
      <c r="M3061" s="119"/>
    </row>
    <row r="3062" spans="5:13" ht="18.75" x14ac:dyDescent="0.3">
      <c r="E3062" s="117"/>
      <c r="F3062" s="78" t="s">
        <v>591</v>
      </c>
      <c r="G3062" s="166"/>
      <c r="H3062" s="167">
        <v>2200</v>
      </c>
      <c r="I3062" s="78"/>
      <c r="J3062" s="78"/>
      <c r="K3062" s="126" t="s">
        <v>226</v>
      </c>
      <c r="L3062" s="126"/>
      <c r="M3062" s="127">
        <f>SUM(M3056:M3061)</f>
        <v>24181.83</v>
      </c>
    </row>
    <row r="3063" spans="5:13" x14ac:dyDescent="0.25">
      <c r="E3063" s="117">
        <v>46128</v>
      </c>
      <c r="F3063" s="78" t="s">
        <v>611</v>
      </c>
      <c r="G3063" s="166"/>
      <c r="H3063" s="167">
        <v>2550</v>
      </c>
      <c r="I3063" s="78"/>
    </row>
    <row r="3064" spans="5:13" x14ac:dyDescent="0.25">
      <c r="E3064" s="117"/>
      <c r="F3064" s="78" t="s">
        <v>616</v>
      </c>
      <c r="G3064" s="166"/>
      <c r="H3064" s="167">
        <v>580</v>
      </c>
      <c r="M3064" s="121"/>
    </row>
    <row r="3065" spans="5:13" ht="15.75" x14ac:dyDescent="0.25">
      <c r="E3065" s="117">
        <v>46141</v>
      </c>
      <c r="F3065" s="215" t="s">
        <v>757</v>
      </c>
      <c r="G3065" s="166"/>
      <c r="H3065" s="167">
        <v>2700</v>
      </c>
      <c r="L3065" s="121"/>
    </row>
    <row r="3066" spans="5:13" x14ac:dyDescent="0.25">
      <c r="E3066" s="117">
        <v>46142</v>
      </c>
      <c r="F3066" s="78" t="s">
        <v>764</v>
      </c>
      <c r="G3066" s="166"/>
      <c r="H3066" s="167">
        <v>2002</v>
      </c>
      <c r="L3066" s="121"/>
    </row>
    <row r="3067" spans="5:13" ht="15.75" x14ac:dyDescent="0.25">
      <c r="E3067" s="117"/>
      <c r="F3067" s="215" t="s">
        <v>756</v>
      </c>
      <c r="G3067" s="166"/>
      <c r="H3067" s="167">
        <v>2650</v>
      </c>
    </row>
    <row r="3068" spans="5:13" ht="15.75" x14ac:dyDescent="0.25">
      <c r="E3068" s="117">
        <v>46144</v>
      </c>
      <c r="F3068" s="78" t="s">
        <v>783</v>
      </c>
      <c r="G3068" s="166" t="s">
        <v>214</v>
      </c>
      <c r="H3068" s="167">
        <v>1300</v>
      </c>
      <c r="J3068" s="316" t="s">
        <v>227</v>
      </c>
      <c r="K3068" s="317"/>
      <c r="L3068" s="140">
        <f>H3076-M3062</f>
        <v>60788.819999999992</v>
      </c>
    </row>
    <row r="3069" spans="5:13" ht="15.75" x14ac:dyDescent="0.25">
      <c r="E3069" s="117">
        <v>46144</v>
      </c>
      <c r="F3069" s="78" t="s">
        <v>769</v>
      </c>
      <c r="G3069" s="166"/>
      <c r="H3069" s="167">
        <v>3225</v>
      </c>
      <c r="L3069" s="89"/>
    </row>
    <row r="3070" spans="5:13" ht="15.75" x14ac:dyDescent="0.25">
      <c r="E3070" s="117"/>
      <c r="F3070" s="78"/>
      <c r="G3070" s="166"/>
      <c r="H3070" s="167"/>
      <c r="J3070" s="128" t="s">
        <v>285</v>
      </c>
      <c r="L3070" s="124">
        <f>G3108</f>
        <v>31309.519999999997</v>
      </c>
    </row>
    <row r="3071" spans="5:13" x14ac:dyDescent="0.25">
      <c r="E3071" s="78"/>
      <c r="F3071" s="78"/>
      <c r="G3071" s="78"/>
      <c r="H3071" s="122">
        <f>SUM(H3056:H3069)</f>
        <v>42222.05</v>
      </c>
    </row>
    <row r="3072" spans="5:13" x14ac:dyDescent="0.25">
      <c r="H3072" s="157"/>
    </row>
    <row r="3073" spans="5:13" x14ac:dyDescent="0.25">
      <c r="G3073" s="101" t="s">
        <v>224</v>
      </c>
      <c r="H3073" s="101">
        <v>42748.6</v>
      </c>
    </row>
    <row r="3074" spans="5:13" ht="21" x14ac:dyDescent="0.35">
      <c r="E3074" s="121"/>
      <c r="K3074" s="198" t="s">
        <v>286</v>
      </c>
      <c r="L3074" s="137">
        <f>SUM(L3068:L3070)</f>
        <v>92098.34</v>
      </c>
    </row>
    <row r="3075" spans="5:13" x14ac:dyDescent="0.25">
      <c r="L3075" s="157">
        <v>92457.04</v>
      </c>
      <c r="M3075" s="39" t="s">
        <v>76</v>
      </c>
    </row>
    <row r="3076" spans="5:13" ht="18.75" x14ac:dyDescent="0.3">
      <c r="E3076" s="121"/>
      <c r="G3076" s="99" t="s">
        <v>225</v>
      </c>
      <c r="H3076" s="125">
        <f>SUM(H3071+H3073)</f>
        <v>84970.65</v>
      </c>
    </row>
    <row r="3077" spans="5:13" ht="18.75" x14ac:dyDescent="0.3">
      <c r="E3077" s="121"/>
      <c r="L3077" s="154">
        <f>L3074-L3075</f>
        <v>-358.69999999999709</v>
      </c>
    </row>
    <row r="3078" spans="5:13" ht="18.75" x14ac:dyDescent="0.3">
      <c r="L3078" s="125"/>
    </row>
    <row r="3079" spans="5:13" ht="18.75" x14ac:dyDescent="0.3">
      <c r="L3079" s="125"/>
    </row>
    <row r="3081" spans="5:13" x14ac:dyDescent="0.25">
      <c r="L3081" s="121"/>
    </row>
    <row r="3083" spans="5:13" x14ac:dyDescent="0.25">
      <c r="E3083" s="91"/>
      <c r="I3083" s="121"/>
    </row>
    <row r="3084" spans="5:13" x14ac:dyDescent="0.25">
      <c r="I3084" s="121"/>
    </row>
    <row r="3085" spans="5:13" ht="15.75" x14ac:dyDescent="0.25">
      <c r="F3085" s="132" t="s">
        <v>235</v>
      </c>
      <c r="G3085" s="133">
        <v>12280.52</v>
      </c>
    </row>
    <row r="3086" spans="5:13" ht="15.75" x14ac:dyDescent="0.25">
      <c r="F3086" s="211" t="s">
        <v>722</v>
      </c>
      <c r="G3086" s="138">
        <v>-2900</v>
      </c>
      <c r="J3086" s="322" t="s">
        <v>570</v>
      </c>
      <c r="K3086" s="322"/>
    </row>
    <row r="3087" spans="5:13" x14ac:dyDescent="0.25">
      <c r="F3087" t="s">
        <v>724</v>
      </c>
      <c r="G3087" s="121">
        <v>1590</v>
      </c>
    </row>
    <row r="3088" spans="5:13" x14ac:dyDescent="0.25">
      <c r="F3088" s="139" t="s">
        <v>729</v>
      </c>
      <c r="G3088" s="138">
        <v>-40</v>
      </c>
      <c r="J3088" s="150" t="s">
        <v>595</v>
      </c>
      <c r="K3088" s="151">
        <v>17626.830000000002</v>
      </c>
    </row>
    <row r="3089" spans="5:11" x14ac:dyDescent="0.25">
      <c r="F3089" t="s">
        <v>357</v>
      </c>
      <c r="G3089" s="121">
        <v>774.4</v>
      </c>
      <c r="J3089" s="220" t="s">
        <v>753</v>
      </c>
      <c r="K3089" s="221">
        <v>-5400</v>
      </c>
    </row>
    <row r="3090" spans="5:11" x14ac:dyDescent="0.25">
      <c r="E3090" s="91">
        <v>46140</v>
      </c>
      <c r="F3090" t="s">
        <v>272</v>
      </c>
      <c r="G3090" s="121">
        <v>-400</v>
      </c>
      <c r="J3090" s="150" t="s">
        <v>623</v>
      </c>
      <c r="K3090" s="151">
        <v>-150</v>
      </c>
    </row>
    <row r="3091" spans="5:11" x14ac:dyDescent="0.25">
      <c r="F3091" t="s">
        <v>736</v>
      </c>
      <c r="G3091" s="121">
        <v>6318</v>
      </c>
      <c r="J3091" s="150" t="s">
        <v>623</v>
      </c>
      <c r="K3091" s="151">
        <v>-100</v>
      </c>
    </row>
    <row r="3092" spans="5:11" x14ac:dyDescent="0.25">
      <c r="F3092" t="s">
        <v>357</v>
      </c>
      <c r="G3092" s="121">
        <v>3942.8</v>
      </c>
      <c r="J3092" s="163" t="s">
        <v>739</v>
      </c>
      <c r="K3092" s="164">
        <v>-1900</v>
      </c>
    </row>
    <row r="3093" spans="5:11" x14ac:dyDescent="0.25">
      <c r="E3093" s="91">
        <v>46141</v>
      </c>
      <c r="F3093" s="163" t="s">
        <v>740</v>
      </c>
      <c r="G3093" s="157">
        <v>590</v>
      </c>
      <c r="J3093" s="214" t="s">
        <v>673</v>
      </c>
      <c r="K3093" s="164">
        <v>-2580</v>
      </c>
    </row>
    <row r="3094" spans="5:11" x14ac:dyDescent="0.25">
      <c r="F3094" t="s">
        <v>744</v>
      </c>
      <c r="G3094" s="121">
        <v>2475</v>
      </c>
      <c r="J3094" s="163" t="s">
        <v>749</v>
      </c>
      <c r="K3094" s="164">
        <v>-4170</v>
      </c>
    </row>
    <row r="3095" spans="5:11" x14ac:dyDescent="0.25">
      <c r="F3095" s="139" t="s">
        <v>748</v>
      </c>
      <c r="G3095" s="138">
        <v>-25</v>
      </c>
      <c r="J3095" s="163" t="s">
        <v>754</v>
      </c>
      <c r="K3095" s="164">
        <v>-2600</v>
      </c>
    </row>
    <row r="3096" spans="5:11" x14ac:dyDescent="0.25">
      <c r="E3096" s="91">
        <v>46144</v>
      </c>
      <c r="F3096" s="139" t="s">
        <v>277</v>
      </c>
      <c r="G3096" s="138">
        <v>-595</v>
      </c>
      <c r="J3096" s="163" t="s">
        <v>758</v>
      </c>
      <c r="K3096" s="164">
        <v>25000</v>
      </c>
    </row>
    <row r="3097" spans="5:11" x14ac:dyDescent="0.25">
      <c r="F3097" s="139" t="s">
        <v>772</v>
      </c>
      <c r="G3097" s="138">
        <v>-2000</v>
      </c>
      <c r="J3097" s="150" t="s">
        <v>760</v>
      </c>
      <c r="K3097" s="151">
        <v>-15500</v>
      </c>
    </row>
    <row r="3098" spans="5:11" x14ac:dyDescent="0.25">
      <c r="F3098" s="139" t="s">
        <v>278</v>
      </c>
      <c r="G3098" s="138">
        <v>-379</v>
      </c>
      <c r="J3098" s="220" t="s">
        <v>762</v>
      </c>
      <c r="K3098" s="221">
        <v>5400</v>
      </c>
    </row>
    <row r="3099" spans="5:11" x14ac:dyDescent="0.25">
      <c r="F3099" s="139" t="s">
        <v>778</v>
      </c>
      <c r="G3099" s="138">
        <v>-25</v>
      </c>
      <c r="J3099" s="150" t="s">
        <v>771</v>
      </c>
      <c r="K3099" s="151">
        <v>-25</v>
      </c>
    </row>
    <row r="3100" spans="5:11" x14ac:dyDescent="0.25">
      <c r="F3100" s="139" t="s">
        <v>779</v>
      </c>
      <c r="G3100" s="138">
        <v>-355</v>
      </c>
      <c r="J3100" s="150" t="s">
        <v>497</v>
      </c>
      <c r="K3100" s="151">
        <v>-2000</v>
      </c>
    </row>
    <row r="3101" spans="5:11" x14ac:dyDescent="0.25">
      <c r="F3101" s="139" t="s">
        <v>780</v>
      </c>
      <c r="G3101" s="138">
        <v>-50</v>
      </c>
      <c r="J3101" s="150" t="s">
        <v>773</v>
      </c>
      <c r="K3101" s="151">
        <v>-800</v>
      </c>
    </row>
    <row r="3102" spans="5:11" x14ac:dyDescent="0.25">
      <c r="F3102" s="139" t="s">
        <v>781</v>
      </c>
      <c r="G3102" s="138">
        <v>100</v>
      </c>
      <c r="J3102" s="150" t="s">
        <v>775</v>
      </c>
      <c r="K3102" s="151">
        <v>-40</v>
      </c>
    </row>
    <row r="3103" spans="5:11" x14ac:dyDescent="0.25">
      <c r="F3103" s="163" t="s">
        <v>782</v>
      </c>
      <c r="G3103" s="164">
        <v>225</v>
      </c>
      <c r="J3103" s="150" t="s">
        <v>310</v>
      </c>
      <c r="K3103" s="151">
        <v>-50</v>
      </c>
    </row>
    <row r="3104" spans="5:11" x14ac:dyDescent="0.25">
      <c r="F3104" s="139" t="s">
        <v>597</v>
      </c>
      <c r="G3104" s="138">
        <v>-100</v>
      </c>
      <c r="J3104" s="150"/>
      <c r="K3104" s="151"/>
    </row>
    <row r="3105" spans="5:11" x14ac:dyDescent="0.25">
      <c r="F3105" s="163" t="s">
        <v>784</v>
      </c>
      <c r="G3105" s="164">
        <v>9882.7999999999993</v>
      </c>
    </row>
    <row r="3106" spans="5:11" x14ac:dyDescent="0.25">
      <c r="F3106" s="139"/>
      <c r="G3106" s="138"/>
      <c r="K3106" s="193">
        <f>SUM(K3088:K3105)</f>
        <v>12711.830000000002</v>
      </c>
    </row>
    <row r="3108" spans="5:11" ht="15.75" x14ac:dyDescent="0.25">
      <c r="F3108" s="132" t="s">
        <v>236</v>
      </c>
      <c r="G3108" s="133">
        <f>SUM(G3085:G3107)</f>
        <v>31309.519999999997</v>
      </c>
    </row>
    <row r="3111" spans="5:11" x14ac:dyDescent="0.25">
      <c r="G3111">
        <v>-11.9</v>
      </c>
    </row>
    <row r="3113" spans="5:11" x14ac:dyDescent="0.25">
      <c r="E3113" s="91"/>
      <c r="F3113" s="39"/>
      <c r="G3113" s="157">
        <f>SUM(G3108:G3112)</f>
        <v>31297.619999999995</v>
      </c>
    </row>
    <row r="3114" spans="5:11" x14ac:dyDescent="0.25">
      <c r="E3114" s="91"/>
    </row>
    <row r="3115" spans="5:11" x14ac:dyDescent="0.25">
      <c r="E3115" s="91"/>
    </row>
    <row r="3116" spans="5:11" x14ac:dyDescent="0.25">
      <c r="E3116" s="91"/>
    </row>
    <row r="3117" spans="5:11" x14ac:dyDescent="0.25">
      <c r="E3117" s="91"/>
    </row>
    <row r="3118" spans="5:11" ht="15.75" x14ac:dyDescent="0.25">
      <c r="F3118" s="166" t="s">
        <v>429</v>
      </c>
      <c r="G3118" s="131">
        <v>32382.66</v>
      </c>
    </row>
    <row r="3119" spans="5:11" ht="15.75" x14ac:dyDescent="0.25">
      <c r="F3119" s="177" t="s">
        <v>506</v>
      </c>
      <c r="G3119" s="213">
        <v>-20</v>
      </c>
    </row>
    <row r="3120" spans="5:11" ht="15.75" x14ac:dyDescent="0.25">
      <c r="E3120" s="91">
        <v>46140</v>
      </c>
      <c r="F3120" s="178" t="s">
        <v>733</v>
      </c>
      <c r="G3120" s="212">
        <v>-6318</v>
      </c>
    </row>
    <row r="3121" spans="5:7" ht="15.75" x14ac:dyDescent="0.25">
      <c r="F3121" s="178" t="s">
        <v>734</v>
      </c>
      <c r="G3121" s="212">
        <v>-10</v>
      </c>
    </row>
    <row r="3122" spans="5:7" x14ac:dyDescent="0.25">
      <c r="F3122" s="177" t="s">
        <v>735</v>
      </c>
      <c r="G3122" s="188">
        <v>-11640</v>
      </c>
    </row>
    <row r="3123" spans="5:7" x14ac:dyDescent="0.25">
      <c r="F3123" s="177" t="s">
        <v>535</v>
      </c>
      <c r="G3123" s="188">
        <v>-0.85</v>
      </c>
    </row>
    <row r="3124" spans="5:7" x14ac:dyDescent="0.25">
      <c r="F3124" s="177" t="s">
        <v>555</v>
      </c>
      <c r="G3124" s="188">
        <v>-5400</v>
      </c>
    </row>
    <row r="3125" spans="5:7" x14ac:dyDescent="0.25">
      <c r="E3125" s="91">
        <v>46141</v>
      </c>
      <c r="F3125" s="177" t="s">
        <v>623</v>
      </c>
      <c r="G3125" s="188">
        <v>-100</v>
      </c>
    </row>
    <row r="3126" spans="5:7" x14ac:dyDescent="0.25">
      <c r="E3126" s="91"/>
      <c r="F3126" s="177" t="s">
        <v>623</v>
      </c>
      <c r="G3126" s="188">
        <v>-150</v>
      </c>
    </row>
    <row r="3127" spans="5:7" x14ac:dyDescent="0.25">
      <c r="E3127" s="91"/>
      <c r="F3127" s="150" t="s">
        <v>750</v>
      </c>
      <c r="G3127" s="151">
        <v>-100</v>
      </c>
    </row>
    <row r="3128" spans="5:7" x14ac:dyDescent="0.25">
      <c r="F3128" s="178" t="s">
        <v>535</v>
      </c>
      <c r="G3128" s="179">
        <v>-0.25</v>
      </c>
    </row>
    <row r="3129" spans="5:7" x14ac:dyDescent="0.25">
      <c r="F3129" s="150" t="s">
        <v>759</v>
      </c>
      <c r="G3129" s="151">
        <v>-894.9</v>
      </c>
    </row>
    <row r="3130" spans="5:7" x14ac:dyDescent="0.25">
      <c r="E3130" s="91">
        <v>46142</v>
      </c>
      <c r="F3130" s="214" t="s">
        <v>758</v>
      </c>
      <c r="G3130" s="219">
        <v>25000</v>
      </c>
    </row>
    <row r="3131" spans="5:7" x14ac:dyDescent="0.25">
      <c r="F3131" s="178" t="s">
        <v>216</v>
      </c>
      <c r="G3131" s="179">
        <v>-9100</v>
      </c>
    </row>
    <row r="3132" spans="5:7" x14ac:dyDescent="0.25">
      <c r="F3132" s="178" t="s">
        <v>761</v>
      </c>
      <c r="G3132" s="179">
        <v>-10100</v>
      </c>
    </row>
    <row r="3133" spans="5:7" x14ac:dyDescent="0.25">
      <c r="F3133" s="178" t="s">
        <v>535</v>
      </c>
      <c r="G3133" s="179">
        <v>-2.15</v>
      </c>
    </row>
    <row r="3134" spans="5:7" x14ac:dyDescent="0.25">
      <c r="F3134" s="139" t="s">
        <v>774</v>
      </c>
      <c r="G3134" s="179">
        <v>-800</v>
      </c>
    </row>
    <row r="3135" spans="5:7" x14ac:dyDescent="0.25">
      <c r="F3135" s="178" t="s">
        <v>775</v>
      </c>
      <c r="G3135" s="179">
        <v>-40</v>
      </c>
    </row>
    <row r="3136" spans="5:7" x14ac:dyDescent="0.25">
      <c r="F3136" s="177" t="s">
        <v>776</v>
      </c>
      <c r="G3136" s="188">
        <v>-35</v>
      </c>
    </row>
    <row r="3137" spans="5:13" x14ac:dyDescent="0.25">
      <c r="F3137" s="177" t="s">
        <v>777</v>
      </c>
      <c r="G3137" s="188">
        <v>-5.5</v>
      </c>
    </row>
    <row r="3138" spans="5:13" x14ac:dyDescent="0.25">
      <c r="F3138" s="177" t="s">
        <v>250</v>
      </c>
      <c r="G3138" s="188">
        <v>-450.96</v>
      </c>
    </row>
    <row r="3140" spans="5:13" ht="15.75" x14ac:dyDescent="0.25">
      <c r="F3140" s="78" t="s">
        <v>596</v>
      </c>
      <c r="G3140" s="189">
        <f>SUM(G3118:G3139)</f>
        <v>12215.050000000001</v>
      </c>
    </row>
    <row r="3150" spans="5:13" ht="18.75" x14ac:dyDescent="0.3">
      <c r="E3150" s="314" t="s">
        <v>786</v>
      </c>
      <c r="F3150" s="315"/>
      <c r="G3150" s="315"/>
      <c r="H3150" s="315"/>
      <c r="I3150" s="315"/>
      <c r="J3150" s="315"/>
      <c r="K3150" s="315"/>
      <c r="L3150" s="315"/>
      <c r="M3150" s="315"/>
    </row>
    <row r="3151" spans="5:13" x14ac:dyDescent="0.25">
      <c r="E3151" s="78"/>
      <c r="F3151" s="78"/>
      <c r="G3151" s="78"/>
      <c r="H3151" s="78"/>
      <c r="I3151" s="78"/>
      <c r="J3151" s="78"/>
      <c r="K3151" s="78"/>
      <c r="L3151" s="78"/>
      <c r="M3151" s="78"/>
    </row>
    <row r="3152" spans="5:13" ht="15.75" x14ac:dyDescent="0.25">
      <c r="E3152" s="118" t="s">
        <v>223</v>
      </c>
      <c r="F3152" s="118" t="s">
        <v>206</v>
      </c>
      <c r="G3152" s="118" t="s">
        <v>207</v>
      </c>
      <c r="H3152" s="118" t="s">
        <v>218</v>
      </c>
      <c r="I3152" s="78"/>
      <c r="J3152" s="120" t="s">
        <v>6</v>
      </c>
      <c r="K3152" s="120" t="s">
        <v>217</v>
      </c>
      <c r="L3152" s="120" t="s">
        <v>207</v>
      </c>
      <c r="M3152" s="120" t="s">
        <v>218</v>
      </c>
    </row>
    <row r="3153" spans="5:13" x14ac:dyDescent="0.25">
      <c r="E3153" s="117"/>
      <c r="F3153" s="78" t="s">
        <v>459</v>
      </c>
      <c r="G3153" s="78" t="s">
        <v>755</v>
      </c>
      <c r="H3153" s="119">
        <v>2340</v>
      </c>
      <c r="I3153" s="175" t="s">
        <v>731</v>
      </c>
      <c r="J3153" s="117"/>
      <c r="K3153" s="78"/>
      <c r="L3153" s="78"/>
      <c r="M3153" s="119"/>
    </row>
    <row r="3154" spans="5:13" x14ac:dyDescent="0.25">
      <c r="E3154" s="117">
        <v>46087</v>
      </c>
      <c r="F3154" s="78" t="s">
        <v>148</v>
      </c>
      <c r="G3154" s="78" t="s">
        <v>209</v>
      </c>
      <c r="H3154" s="119">
        <v>420</v>
      </c>
      <c r="I3154" s="78"/>
      <c r="J3154" s="117">
        <v>46037</v>
      </c>
      <c r="K3154" s="149" t="s">
        <v>66</v>
      </c>
      <c r="L3154" s="78" t="s">
        <v>222</v>
      </c>
      <c r="M3154" s="119">
        <v>2120</v>
      </c>
    </row>
    <row r="3155" spans="5:13" ht="15.75" x14ac:dyDescent="0.25">
      <c r="E3155" s="117">
        <v>46087</v>
      </c>
      <c r="F3155" s="78" t="s">
        <v>214</v>
      </c>
      <c r="G3155" s="155" t="s">
        <v>211</v>
      </c>
      <c r="H3155" s="156">
        <v>3300</v>
      </c>
      <c r="I3155" s="78"/>
      <c r="J3155" s="181">
        <v>46120</v>
      </c>
      <c r="K3155" s="182" t="s">
        <v>520</v>
      </c>
      <c r="L3155" s="182"/>
      <c r="M3155" s="183">
        <v>6882.03</v>
      </c>
    </row>
    <row r="3156" spans="5:13" ht="15.75" x14ac:dyDescent="0.25">
      <c r="E3156" s="78"/>
      <c r="F3156" s="201" t="s">
        <v>429</v>
      </c>
      <c r="G3156" s="201"/>
      <c r="H3156" s="202">
        <v>7260.05</v>
      </c>
      <c r="I3156" s="119"/>
      <c r="J3156" s="184"/>
      <c r="K3156" s="185" t="s">
        <v>281</v>
      </c>
      <c r="L3156" s="185"/>
      <c r="M3156" s="140">
        <v>4750</v>
      </c>
    </row>
    <row r="3157" spans="5:13" ht="15.75" x14ac:dyDescent="0.25">
      <c r="E3157" s="117">
        <v>46121</v>
      </c>
      <c r="F3157" s="78" t="s">
        <v>540</v>
      </c>
      <c r="G3157" s="166"/>
      <c r="H3157" s="167">
        <v>3120</v>
      </c>
      <c r="I3157" s="119"/>
      <c r="J3157" s="184"/>
      <c r="K3157" s="185" t="s">
        <v>82</v>
      </c>
      <c r="L3157" s="185" t="s">
        <v>741</v>
      </c>
      <c r="M3157" s="140">
        <v>7000</v>
      </c>
    </row>
    <row r="3158" spans="5:13" x14ac:dyDescent="0.25">
      <c r="E3158" s="117"/>
      <c r="F3158" s="78" t="s">
        <v>590</v>
      </c>
      <c r="G3158" s="166"/>
      <c r="H3158" s="167">
        <v>3520</v>
      </c>
      <c r="I3158" s="78"/>
      <c r="J3158" s="78"/>
      <c r="K3158" s="78"/>
      <c r="L3158" s="78"/>
      <c r="M3158" s="119"/>
    </row>
    <row r="3159" spans="5:13" ht="18.75" x14ac:dyDescent="0.3">
      <c r="E3159" s="117"/>
      <c r="F3159" s="78" t="s">
        <v>591</v>
      </c>
      <c r="G3159" s="166"/>
      <c r="H3159" s="167">
        <v>2200</v>
      </c>
      <c r="I3159" s="78"/>
      <c r="J3159" s="78"/>
      <c r="K3159" s="126" t="s">
        <v>226</v>
      </c>
      <c r="L3159" s="126"/>
      <c r="M3159" s="127">
        <f>SUM(M3153:M3158)</f>
        <v>20752.03</v>
      </c>
    </row>
    <row r="3160" spans="5:13" x14ac:dyDescent="0.25">
      <c r="E3160" s="117">
        <v>46128</v>
      </c>
      <c r="F3160" s="78" t="s">
        <v>611</v>
      </c>
      <c r="G3160" s="166"/>
      <c r="H3160" s="167">
        <v>2550</v>
      </c>
      <c r="I3160" s="78"/>
    </row>
    <row r="3161" spans="5:13" x14ac:dyDescent="0.25">
      <c r="E3161" s="117"/>
      <c r="F3161" s="78" t="s">
        <v>616</v>
      </c>
      <c r="G3161" s="166"/>
      <c r="H3161" s="167">
        <v>580</v>
      </c>
      <c r="M3161" s="121"/>
    </row>
    <row r="3162" spans="5:13" ht="15.75" x14ac:dyDescent="0.25">
      <c r="E3162" s="117">
        <v>46141</v>
      </c>
      <c r="F3162" s="215" t="s">
        <v>757</v>
      </c>
      <c r="G3162" s="166"/>
      <c r="H3162" s="167">
        <v>2700</v>
      </c>
      <c r="L3162" s="121"/>
    </row>
    <row r="3163" spans="5:13" x14ac:dyDescent="0.25">
      <c r="E3163" s="117">
        <v>46142</v>
      </c>
      <c r="F3163" s="78" t="s">
        <v>764</v>
      </c>
      <c r="G3163" s="166"/>
      <c r="H3163" s="167">
        <v>2002</v>
      </c>
      <c r="L3163" s="121"/>
    </row>
    <row r="3164" spans="5:13" ht="15.75" x14ac:dyDescent="0.25">
      <c r="E3164" s="117"/>
      <c r="F3164" s="215" t="s">
        <v>756</v>
      </c>
      <c r="G3164" s="166"/>
      <c r="H3164" s="167">
        <v>2650</v>
      </c>
    </row>
    <row r="3165" spans="5:13" ht="15.75" x14ac:dyDescent="0.25">
      <c r="E3165" s="117">
        <v>46144</v>
      </c>
      <c r="F3165" s="78" t="s">
        <v>769</v>
      </c>
      <c r="G3165" s="166"/>
      <c r="H3165" s="167">
        <v>3225</v>
      </c>
      <c r="J3165" s="316" t="s">
        <v>227</v>
      </c>
      <c r="K3165" s="317"/>
      <c r="L3165" s="140">
        <f>H3172-M3159</f>
        <v>55273.619999999995</v>
      </c>
    </row>
    <row r="3166" spans="5:13" ht="15.75" x14ac:dyDescent="0.25">
      <c r="E3166" s="117"/>
      <c r="F3166" s="78"/>
      <c r="G3166" s="166"/>
      <c r="H3166" s="167"/>
      <c r="L3166" s="89"/>
    </row>
    <row r="3167" spans="5:13" ht="15.75" x14ac:dyDescent="0.25">
      <c r="E3167" s="78"/>
      <c r="F3167" s="78"/>
      <c r="G3167" s="78"/>
      <c r="H3167" s="122">
        <f>SUM(H3153:H3166)</f>
        <v>35867.050000000003</v>
      </c>
      <c r="J3167" s="128" t="s">
        <v>285</v>
      </c>
      <c r="L3167" s="124">
        <f>G3191</f>
        <v>36994.520000000004</v>
      </c>
    </row>
    <row r="3168" spans="5:13" x14ac:dyDescent="0.25">
      <c r="H3168" s="157"/>
    </row>
    <row r="3169" spans="5:13" x14ac:dyDescent="0.25">
      <c r="G3169" s="101" t="s">
        <v>224</v>
      </c>
      <c r="H3169" s="101">
        <v>40158.6</v>
      </c>
    </row>
    <row r="3170" spans="5:13" x14ac:dyDescent="0.25">
      <c r="E3170" s="121"/>
    </row>
    <row r="3171" spans="5:13" ht="21" x14ac:dyDescent="0.35">
      <c r="K3171" s="198" t="s">
        <v>286</v>
      </c>
      <c r="L3171" s="137">
        <f>SUM(L3165:L3167)</f>
        <v>92268.14</v>
      </c>
    </row>
    <row r="3172" spans="5:13" ht="18.75" x14ac:dyDescent="0.3">
      <c r="E3172" s="121"/>
      <c r="G3172" s="99" t="s">
        <v>225</v>
      </c>
      <c r="H3172" s="125">
        <f>SUM(H3167+H3169)</f>
        <v>76025.649999999994</v>
      </c>
      <c r="L3172" s="157">
        <v>92098.34</v>
      </c>
      <c r="M3172" s="39" t="s">
        <v>76</v>
      </c>
    </row>
    <row r="3173" spans="5:13" x14ac:dyDescent="0.25">
      <c r="E3173" s="121"/>
    </row>
    <row r="3174" spans="5:13" ht="18.75" x14ac:dyDescent="0.3">
      <c r="L3174" s="154">
        <f>L3171-L3172</f>
        <v>169.80000000000291</v>
      </c>
    </row>
    <row r="3175" spans="5:13" ht="18.75" x14ac:dyDescent="0.3">
      <c r="L3175" s="125"/>
    </row>
    <row r="3176" spans="5:13" ht="18.75" x14ac:dyDescent="0.3">
      <c r="L3176" s="125"/>
    </row>
    <row r="3178" spans="5:13" x14ac:dyDescent="0.25">
      <c r="L3178" s="121"/>
    </row>
    <row r="3179" spans="5:13" x14ac:dyDescent="0.25">
      <c r="E3179" s="91"/>
    </row>
    <row r="3180" spans="5:13" x14ac:dyDescent="0.25">
      <c r="I3180" s="121"/>
    </row>
    <row r="3181" spans="5:13" ht="15.75" x14ac:dyDescent="0.25">
      <c r="F3181" s="132" t="s">
        <v>235</v>
      </c>
      <c r="G3181" s="133">
        <v>31309.52</v>
      </c>
      <c r="I3181" s="121"/>
    </row>
    <row r="3182" spans="5:13" x14ac:dyDescent="0.25">
      <c r="F3182" s="139" t="s">
        <v>789</v>
      </c>
      <c r="G3182" s="138">
        <v>-585</v>
      </c>
    </row>
    <row r="3183" spans="5:13" x14ac:dyDescent="0.25">
      <c r="F3183" s="163" t="s">
        <v>788</v>
      </c>
      <c r="G3183" s="164">
        <v>100</v>
      </c>
    </row>
    <row r="3184" spans="5:13" ht="15.75" x14ac:dyDescent="0.25">
      <c r="F3184" s="163" t="s">
        <v>790</v>
      </c>
      <c r="G3184" s="164">
        <v>485</v>
      </c>
      <c r="J3184" s="322" t="s">
        <v>570</v>
      </c>
      <c r="K3184" s="322"/>
    </row>
    <row r="3185" spans="5:11" x14ac:dyDescent="0.25">
      <c r="F3185" s="163" t="s">
        <v>792</v>
      </c>
      <c r="G3185" s="164">
        <v>2520</v>
      </c>
    </row>
    <row r="3186" spans="5:11" x14ac:dyDescent="0.25">
      <c r="F3186" s="163" t="s">
        <v>93</v>
      </c>
      <c r="G3186" s="164">
        <v>3165</v>
      </c>
      <c r="J3186" s="220" t="s">
        <v>595</v>
      </c>
      <c r="K3186" s="221">
        <v>12711.83</v>
      </c>
    </row>
    <row r="3187" spans="5:11" x14ac:dyDescent="0.25">
      <c r="F3187" s="163"/>
      <c r="G3187" s="164"/>
      <c r="J3187" s="150" t="s">
        <v>787</v>
      </c>
      <c r="K3187" s="151">
        <v>-815</v>
      </c>
    </row>
    <row r="3188" spans="5:11" x14ac:dyDescent="0.25">
      <c r="F3188" s="163"/>
      <c r="G3188" s="164"/>
      <c r="J3188" s="150" t="s">
        <v>793</v>
      </c>
      <c r="K3188" s="151">
        <v>-60</v>
      </c>
    </row>
    <row r="3189" spans="5:11" x14ac:dyDescent="0.25">
      <c r="F3189" s="139"/>
      <c r="G3189" s="138"/>
      <c r="J3189" s="150" t="s">
        <v>797</v>
      </c>
      <c r="K3189" s="151">
        <v>-450</v>
      </c>
    </row>
    <row r="3190" spans="5:11" x14ac:dyDescent="0.25">
      <c r="J3190" s="150" t="s">
        <v>798</v>
      </c>
      <c r="K3190" s="151">
        <v>-4504.8</v>
      </c>
    </row>
    <row r="3191" spans="5:11" ht="15.75" x14ac:dyDescent="0.25">
      <c r="F3191" s="132" t="s">
        <v>236</v>
      </c>
      <c r="G3191" s="133">
        <f>SUM(G3181:G3190)</f>
        <v>36994.520000000004</v>
      </c>
    </row>
    <row r="3192" spans="5:11" x14ac:dyDescent="0.25">
      <c r="K3192" s="193">
        <f>SUM(K3186:K3191)</f>
        <v>6882.03</v>
      </c>
    </row>
    <row r="3194" spans="5:11" x14ac:dyDescent="0.25">
      <c r="G3194">
        <v>-11.9</v>
      </c>
    </row>
    <row r="3196" spans="5:11" x14ac:dyDescent="0.25">
      <c r="E3196" s="91"/>
      <c r="F3196" s="39"/>
      <c r="G3196" s="157">
        <f>SUM(G3191:G3195)</f>
        <v>36982.620000000003</v>
      </c>
    </row>
    <row r="3197" spans="5:11" x14ac:dyDescent="0.25">
      <c r="E3197" s="91"/>
    </row>
    <row r="3198" spans="5:11" x14ac:dyDescent="0.25">
      <c r="E3198" s="91"/>
    </row>
    <row r="3199" spans="5:11" x14ac:dyDescent="0.25">
      <c r="E3199" s="91"/>
    </row>
    <row r="3200" spans="5:11" x14ac:dyDescent="0.25">
      <c r="E3200" s="91"/>
    </row>
    <row r="3201" spans="5:7" x14ac:dyDescent="0.25">
      <c r="E3201" s="91"/>
    </row>
    <row r="3202" spans="5:7" x14ac:dyDescent="0.25">
      <c r="E3202" s="91"/>
    </row>
    <row r="3203" spans="5:7" ht="15.75" x14ac:dyDescent="0.25">
      <c r="F3203" s="166" t="s">
        <v>429</v>
      </c>
      <c r="G3203" s="131">
        <v>12215.05</v>
      </c>
    </row>
    <row r="3204" spans="5:7" x14ac:dyDescent="0.25">
      <c r="E3204" s="91">
        <v>46146</v>
      </c>
      <c r="F3204" s="178" t="s">
        <v>797</v>
      </c>
      <c r="G3204" s="179">
        <v>-450</v>
      </c>
    </row>
    <row r="3205" spans="5:7" x14ac:dyDescent="0.25">
      <c r="F3205" s="178" t="s">
        <v>798</v>
      </c>
      <c r="G3205" s="179">
        <v>-4504.8</v>
      </c>
    </row>
    <row r="3206" spans="5:7" x14ac:dyDescent="0.25">
      <c r="F3206" s="178" t="s">
        <v>535</v>
      </c>
      <c r="G3206" s="179">
        <v>-0.2</v>
      </c>
    </row>
    <row r="3207" spans="5:7" x14ac:dyDescent="0.25">
      <c r="F3207" s="178"/>
      <c r="G3207" s="179"/>
    </row>
    <row r="3208" spans="5:7" x14ac:dyDescent="0.25">
      <c r="F3208" s="78"/>
      <c r="G3208" s="78"/>
    </row>
    <row r="3209" spans="5:7" ht="15.75" x14ac:dyDescent="0.25">
      <c r="F3209" s="78" t="s">
        <v>596</v>
      </c>
      <c r="G3209" s="189">
        <f>SUM(G3203:G3208)</f>
        <v>7260.0499999999993</v>
      </c>
    </row>
    <row r="3218" spans="5:13" ht="18.75" x14ac:dyDescent="0.3">
      <c r="E3218" s="314" t="s">
        <v>801</v>
      </c>
      <c r="F3218" s="315"/>
      <c r="G3218" s="315"/>
      <c r="H3218" s="315"/>
      <c r="I3218" s="315"/>
      <c r="J3218" s="315"/>
      <c r="K3218" s="315"/>
      <c r="L3218" s="315"/>
      <c r="M3218" s="315"/>
    </row>
    <row r="3219" spans="5:13" x14ac:dyDescent="0.25">
      <c r="E3219" s="78"/>
      <c r="F3219" s="78"/>
      <c r="G3219" s="78"/>
      <c r="H3219" s="78"/>
      <c r="I3219" s="78"/>
      <c r="J3219" s="78"/>
      <c r="K3219" s="78"/>
      <c r="L3219" s="78"/>
      <c r="M3219" s="78"/>
    </row>
    <row r="3220" spans="5:13" ht="15.75" x14ac:dyDescent="0.25">
      <c r="E3220" s="118" t="s">
        <v>223</v>
      </c>
      <c r="F3220" s="118" t="s">
        <v>206</v>
      </c>
      <c r="G3220" s="118" t="s">
        <v>207</v>
      </c>
      <c r="H3220" s="118" t="s">
        <v>218</v>
      </c>
      <c r="I3220" s="78"/>
      <c r="J3220" s="120" t="s">
        <v>6</v>
      </c>
      <c r="K3220" s="120" t="s">
        <v>217</v>
      </c>
      <c r="L3220" s="120" t="s">
        <v>207</v>
      </c>
      <c r="M3220" s="120" t="s">
        <v>218</v>
      </c>
    </row>
    <row r="3221" spans="5:13" x14ac:dyDescent="0.25">
      <c r="E3221" s="117"/>
      <c r="F3221" s="78" t="s">
        <v>459</v>
      </c>
      <c r="G3221" s="78" t="s">
        <v>755</v>
      </c>
      <c r="H3221" s="119">
        <v>2340</v>
      </c>
      <c r="I3221" s="175" t="s">
        <v>731</v>
      </c>
      <c r="J3221" s="117"/>
      <c r="K3221" s="78"/>
      <c r="L3221" s="78"/>
      <c r="M3221" s="119"/>
    </row>
    <row r="3222" spans="5:13" x14ac:dyDescent="0.25">
      <c r="E3222" s="117">
        <v>46087</v>
      </c>
      <c r="F3222" s="78" t="s">
        <v>148</v>
      </c>
      <c r="G3222" s="78" t="s">
        <v>209</v>
      </c>
      <c r="H3222" s="119">
        <v>420</v>
      </c>
      <c r="I3222" s="78"/>
      <c r="J3222" s="117">
        <v>46037</v>
      </c>
      <c r="K3222" s="149" t="s">
        <v>66</v>
      </c>
      <c r="L3222" s="78" t="s">
        <v>222</v>
      </c>
      <c r="M3222" s="119">
        <v>2120</v>
      </c>
    </row>
    <row r="3223" spans="5:13" ht="15.75" x14ac:dyDescent="0.25">
      <c r="E3223" s="117">
        <v>46087</v>
      </c>
      <c r="F3223" s="78" t="s">
        <v>214</v>
      </c>
      <c r="G3223" s="155" t="s">
        <v>211</v>
      </c>
      <c r="H3223" s="156">
        <v>3300</v>
      </c>
      <c r="I3223" s="78"/>
      <c r="J3223" s="181">
        <v>46120</v>
      </c>
      <c r="K3223" s="182" t="s">
        <v>520</v>
      </c>
      <c r="L3223" s="182"/>
      <c r="M3223" s="183"/>
    </row>
    <row r="3224" spans="5:13" ht="15.75" x14ac:dyDescent="0.25">
      <c r="E3224" s="78"/>
      <c r="F3224" s="201" t="s">
        <v>429</v>
      </c>
      <c r="G3224" s="201"/>
      <c r="H3224" s="183">
        <v>17965.560000000001</v>
      </c>
      <c r="I3224" s="119"/>
      <c r="J3224" s="184"/>
      <c r="K3224" s="185" t="s">
        <v>281</v>
      </c>
      <c r="L3224" s="185"/>
      <c r="M3224" s="140">
        <v>9800</v>
      </c>
    </row>
    <row r="3225" spans="5:13" x14ac:dyDescent="0.25">
      <c r="E3225" s="117">
        <v>46121</v>
      </c>
      <c r="F3225" s="78" t="s">
        <v>540</v>
      </c>
      <c r="G3225" s="166"/>
      <c r="H3225" s="167">
        <v>3120</v>
      </c>
      <c r="I3225" s="119"/>
      <c r="J3225" s="78"/>
      <c r="K3225" s="78"/>
      <c r="L3225" s="78"/>
      <c r="M3225" s="119"/>
    </row>
    <row r="3226" spans="5:13" ht="18.75" x14ac:dyDescent="0.3">
      <c r="E3226" s="117"/>
      <c r="F3226" s="78" t="s">
        <v>590</v>
      </c>
      <c r="G3226" s="166"/>
      <c r="H3226" s="167">
        <v>3520</v>
      </c>
      <c r="I3226" s="78"/>
      <c r="J3226" s="78"/>
      <c r="K3226" s="126" t="s">
        <v>226</v>
      </c>
      <c r="L3226" s="126"/>
      <c r="M3226" s="127">
        <f>SUM(M3221:M3225)</f>
        <v>11920</v>
      </c>
    </row>
    <row r="3227" spans="5:13" x14ac:dyDescent="0.25">
      <c r="E3227" s="117"/>
      <c r="F3227" s="78" t="s">
        <v>591</v>
      </c>
      <c r="G3227" s="166"/>
      <c r="H3227" s="167">
        <v>2200</v>
      </c>
      <c r="I3227" s="78"/>
    </row>
    <row r="3228" spans="5:13" x14ac:dyDescent="0.25">
      <c r="E3228" s="117">
        <v>46128</v>
      </c>
      <c r="F3228" s="78" t="s">
        <v>611</v>
      </c>
      <c r="G3228" s="166"/>
      <c r="H3228" s="167">
        <v>2550</v>
      </c>
      <c r="I3228" s="78"/>
      <c r="M3228" s="121"/>
    </row>
    <row r="3229" spans="5:13" x14ac:dyDescent="0.25">
      <c r="E3229" s="117"/>
      <c r="F3229" s="78" t="s">
        <v>616</v>
      </c>
      <c r="G3229" s="166"/>
      <c r="H3229" s="167">
        <v>580</v>
      </c>
      <c r="L3229" s="121"/>
    </row>
    <row r="3230" spans="5:13" ht="15.75" x14ac:dyDescent="0.25">
      <c r="E3230" s="117">
        <v>46141</v>
      </c>
      <c r="F3230" s="215" t="s">
        <v>757</v>
      </c>
      <c r="G3230" s="166"/>
      <c r="H3230" s="167">
        <v>2700</v>
      </c>
      <c r="L3230" s="121"/>
    </row>
    <row r="3231" spans="5:13" x14ac:dyDescent="0.25">
      <c r="E3231" s="117">
        <v>46142</v>
      </c>
      <c r="F3231" s="78" t="s">
        <v>764</v>
      </c>
      <c r="G3231" s="166"/>
      <c r="H3231" s="167">
        <v>2002</v>
      </c>
    </row>
    <row r="3232" spans="5:13" ht="15.75" x14ac:dyDescent="0.25">
      <c r="E3232" s="117"/>
      <c r="F3232" s="215" t="s">
        <v>756</v>
      </c>
      <c r="G3232" s="166"/>
      <c r="H3232" s="167">
        <v>2650</v>
      </c>
      <c r="J3232" s="316" t="s">
        <v>227</v>
      </c>
      <c r="K3232" s="317"/>
      <c r="L3232" s="140">
        <f>H3242-M3226</f>
        <v>80388.23</v>
      </c>
    </row>
    <row r="3233" spans="5:13" ht="15.75" x14ac:dyDescent="0.25">
      <c r="E3233" s="117">
        <v>46144</v>
      </c>
      <c r="F3233" s="78" t="s">
        <v>769</v>
      </c>
      <c r="G3233" s="166"/>
      <c r="H3233" s="167">
        <v>3225</v>
      </c>
      <c r="L3233" s="89"/>
    </row>
    <row r="3234" spans="5:13" ht="15.75" x14ac:dyDescent="0.25">
      <c r="E3234" s="117">
        <v>46147</v>
      </c>
      <c r="F3234" s="78" t="s">
        <v>489</v>
      </c>
      <c r="G3234" s="166"/>
      <c r="H3234" s="167">
        <v>3602.07</v>
      </c>
      <c r="J3234" s="128" t="s">
        <v>285</v>
      </c>
      <c r="L3234" s="124">
        <f>G3263</f>
        <v>12974.520000000004</v>
      </c>
    </row>
    <row r="3235" spans="5:13" x14ac:dyDescent="0.25">
      <c r="E3235" s="117"/>
      <c r="F3235" s="78"/>
      <c r="G3235" s="166"/>
      <c r="H3235" s="167">
        <v>4734</v>
      </c>
    </row>
    <row r="3236" spans="5:13" x14ac:dyDescent="0.25">
      <c r="E3236" s="117"/>
      <c r="F3236" s="78"/>
      <c r="G3236" s="166"/>
      <c r="H3236" s="167"/>
    </row>
    <row r="3237" spans="5:13" x14ac:dyDescent="0.25">
      <c r="E3237" s="78"/>
      <c r="F3237" s="78"/>
      <c r="G3237" s="78"/>
      <c r="H3237" s="122">
        <f>SUM(H3221:H3236)</f>
        <v>54908.63</v>
      </c>
    </row>
    <row r="3238" spans="5:13" ht="21" x14ac:dyDescent="0.35">
      <c r="H3238" s="157"/>
      <c r="K3238" s="198" t="s">
        <v>286</v>
      </c>
      <c r="L3238" s="137">
        <f>SUM(L3232:L3234)</f>
        <v>93362.75</v>
      </c>
    </row>
    <row r="3239" spans="5:13" x14ac:dyDescent="0.25">
      <c r="G3239" s="101" t="s">
        <v>224</v>
      </c>
      <c r="H3239" s="101">
        <v>37399.599999999999</v>
      </c>
      <c r="L3239" s="157">
        <v>92268.14</v>
      </c>
      <c r="M3239" s="39" t="s">
        <v>76</v>
      </c>
    </row>
    <row r="3240" spans="5:13" x14ac:dyDescent="0.25">
      <c r="E3240" s="121"/>
    </row>
    <row r="3241" spans="5:13" ht="18.75" x14ac:dyDescent="0.3">
      <c r="L3241" s="154">
        <f>L3238-L3239</f>
        <v>1094.6100000000006</v>
      </c>
    </row>
    <row r="3242" spans="5:13" ht="18.75" x14ac:dyDescent="0.3">
      <c r="E3242" s="121"/>
      <c r="G3242" s="99" t="s">
        <v>225</v>
      </c>
      <c r="H3242" s="125">
        <f>SUM(H3237+H3239)</f>
        <v>92308.23</v>
      </c>
      <c r="L3242" s="125"/>
    </row>
    <row r="3243" spans="5:13" ht="18.75" x14ac:dyDescent="0.3">
      <c r="E3243" s="121"/>
      <c r="L3243" s="125"/>
    </row>
    <row r="3245" spans="5:13" x14ac:dyDescent="0.25">
      <c r="L3245" s="121"/>
    </row>
    <row r="3248" spans="5:13" x14ac:dyDescent="0.25">
      <c r="I3248" s="121"/>
    </row>
    <row r="3249" spans="5:11" x14ac:dyDescent="0.25">
      <c r="E3249" s="91"/>
      <c r="I3249" s="121"/>
    </row>
    <row r="3251" spans="5:11" ht="15.75" x14ac:dyDescent="0.25">
      <c r="F3251" s="132" t="s">
        <v>235</v>
      </c>
      <c r="G3251" s="133">
        <v>31309.52</v>
      </c>
      <c r="J3251" s="322" t="s">
        <v>570</v>
      </c>
      <c r="K3251" s="322"/>
    </row>
    <row r="3252" spans="5:11" x14ac:dyDescent="0.25">
      <c r="F3252" s="139" t="s">
        <v>789</v>
      </c>
      <c r="G3252" s="138">
        <v>-585</v>
      </c>
    </row>
    <row r="3253" spans="5:11" x14ac:dyDescent="0.25">
      <c r="F3253" s="163" t="s">
        <v>788</v>
      </c>
      <c r="G3253" s="164">
        <v>100</v>
      </c>
      <c r="J3253" s="220" t="s">
        <v>595</v>
      </c>
      <c r="K3253" s="221">
        <v>12711.83</v>
      </c>
    </row>
    <row r="3254" spans="5:11" x14ac:dyDescent="0.25">
      <c r="F3254" s="163" t="s">
        <v>790</v>
      </c>
      <c r="G3254" s="164">
        <v>485</v>
      </c>
      <c r="J3254" s="150" t="s">
        <v>787</v>
      </c>
      <c r="K3254" s="151">
        <v>-815</v>
      </c>
    </row>
    <row r="3255" spans="5:11" x14ac:dyDescent="0.25">
      <c r="F3255" s="163" t="s">
        <v>792</v>
      </c>
      <c r="G3255" s="164">
        <v>2520</v>
      </c>
      <c r="J3255" s="150" t="s">
        <v>793</v>
      </c>
      <c r="K3255" s="151">
        <v>-60</v>
      </c>
    </row>
    <row r="3256" spans="5:11" x14ac:dyDescent="0.25">
      <c r="F3256" s="163" t="s">
        <v>93</v>
      </c>
      <c r="G3256" s="164">
        <v>3165</v>
      </c>
      <c r="J3256" s="150" t="s">
        <v>797</v>
      </c>
      <c r="K3256" s="151">
        <v>-450</v>
      </c>
    </row>
    <row r="3257" spans="5:11" x14ac:dyDescent="0.25">
      <c r="E3257" s="91">
        <v>46147</v>
      </c>
      <c r="F3257" s="163" t="s">
        <v>802</v>
      </c>
      <c r="G3257" s="164">
        <v>-30000</v>
      </c>
      <c r="J3257" s="150" t="s">
        <v>798</v>
      </c>
      <c r="K3257" s="151">
        <v>-4504.8</v>
      </c>
    </row>
    <row r="3258" spans="5:11" x14ac:dyDescent="0.25">
      <c r="F3258" s="163" t="s">
        <v>805</v>
      </c>
      <c r="G3258" s="164">
        <v>3360</v>
      </c>
      <c r="J3258" s="150" t="s">
        <v>804</v>
      </c>
      <c r="K3258" s="151">
        <v>3150</v>
      </c>
    </row>
    <row r="3259" spans="5:11" x14ac:dyDescent="0.25">
      <c r="F3259" s="150" t="s">
        <v>809</v>
      </c>
      <c r="G3259" s="151">
        <v>-30</v>
      </c>
      <c r="J3259" s="150" t="s">
        <v>798</v>
      </c>
      <c r="K3259" s="151">
        <v>-13604.1</v>
      </c>
    </row>
    <row r="3260" spans="5:11" x14ac:dyDescent="0.25">
      <c r="F3260" s="163" t="s">
        <v>810</v>
      </c>
      <c r="G3260" s="164">
        <v>2650</v>
      </c>
      <c r="J3260" s="150" t="s">
        <v>809</v>
      </c>
      <c r="K3260" s="151">
        <v>-30</v>
      </c>
    </row>
    <row r="3261" spans="5:11" x14ac:dyDescent="0.25">
      <c r="F3261" s="139"/>
      <c r="G3261" s="138"/>
      <c r="J3261" s="150"/>
      <c r="K3261" s="151"/>
    </row>
    <row r="3263" spans="5:11" ht="15.75" x14ac:dyDescent="0.25">
      <c r="F3263" s="132" t="s">
        <v>236</v>
      </c>
      <c r="G3263" s="133">
        <f>SUM(G3251:G3262)</f>
        <v>12974.520000000004</v>
      </c>
      <c r="K3263" s="133">
        <f>SUM(K3253:K3262)</f>
        <v>-3602.0700000000015</v>
      </c>
    </row>
    <row r="3266" spans="5:7" x14ac:dyDescent="0.25">
      <c r="E3266" s="91"/>
      <c r="G3266">
        <v>-11.9</v>
      </c>
    </row>
    <row r="3267" spans="5:7" x14ac:dyDescent="0.25">
      <c r="E3267" s="91"/>
    </row>
    <row r="3268" spans="5:7" x14ac:dyDescent="0.25">
      <c r="E3268" s="91"/>
      <c r="F3268" s="39"/>
      <c r="G3268" s="157">
        <f>SUM(G3263:G3267)</f>
        <v>12962.620000000004</v>
      </c>
    </row>
    <row r="3269" spans="5:7" x14ac:dyDescent="0.25">
      <c r="E3269" s="91"/>
    </row>
    <row r="3270" spans="5:7" x14ac:dyDescent="0.25">
      <c r="E3270" s="91"/>
    </row>
    <row r="3271" spans="5:7" x14ac:dyDescent="0.25">
      <c r="E3271" s="91"/>
    </row>
    <row r="3272" spans="5:7" x14ac:dyDescent="0.25">
      <c r="E3272" s="91"/>
    </row>
    <row r="3274" spans="5:7" x14ac:dyDescent="0.25">
      <c r="E3274" s="91">
        <v>46146</v>
      </c>
    </row>
    <row r="3275" spans="5:7" ht="15.75" x14ac:dyDescent="0.25">
      <c r="F3275" s="166" t="s">
        <v>429</v>
      </c>
      <c r="G3275" s="131">
        <v>12215.05</v>
      </c>
    </row>
    <row r="3276" spans="5:7" x14ac:dyDescent="0.25">
      <c r="F3276" s="178" t="s">
        <v>797</v>
      </c>
      <c r="G3276" s="179">
        <v>-450</v>
      </c>
    </row>
    <row r="3277" spans="5:7" x14ac:dyDescent="0.25">
      <c r="F3277" s="178" t="s">
        <v>798</v>
      </c>
      <c r="G3277" s="179">
        <v>-4504.8</v>
      </c>
    </row>
    <row r="3278" spans="5:7" x14ac:dyDescent="0.25">
      <c r="F3278" s="178" t="s">
        <v>535</v>
      </c>
      <c r="G3278" s="179">
        <v>-0.2</v>
      </c>
    </row>
    <row r="3279" spans="5:7" x14ac:dyDescent="0.25">
      <c r="E3279" s="91">
        <v>46147</v>
      </c>
      <c r="F3279" s="178" t="s">
        <v>803</v>
      </c>
      <c r="G3279" s="179">
        <v>30000</v>
      </c>
    </row>
    <row r="3280" spans="5:7" x14ac:dyDescent="0.25">
      <c r="F3280" s="178" t="s">
        <v>272</v>
      </c>
      <c r="G3280" s="179">
        <v>-437.69</v>
      </c>
    </row>
    <row r="3281" spans="6:7" x14ac:dyDescent="0.25">
      <c r="F3281" s="233" t="s">
        <v>804</v>
      </c>
      <c r="G3281" s="179">
        <v>3150</v>
      </c>
    </row>
    <row r="3282" spans="6:7" x14ac:dyDescent="0.25">
      <c r="F3282" s="178" t="s">
        <v>798</v>
      </c>
      <c r="G3282" s="179">
        <v>-13604.1</v>
      </c>
    </row>
    <row r="3283" spans="6:7" x14ac:dyDescent="0.25">
      <c r="F3283" s="178" t="s">
        <v>806</v>
      </c>
      <c r="G3283" s="179">
        <v>-1400</v>
      </c>
    </row>
    <row r="3284" spans="6:7" x14ac:dyDescent="0.25">
      <c r="F3284" s="178" t="s">
        <v>808</v>
      </c>
      <c r="G3284" s="179">
        <v>-7000</v>
      </c>
    </row>
    <row r="3285" spans="6:7" x14ac:dyDescent="0.25">
      <c r="F3285" s="178" t="s">
        <v>535</v>
      </c>
      <c r="G3285" s="179">
        <v>-2.7</v>
      </c>
    </row>
    <row r="3286" spans="6:7" x14ac:dyDescent="0.25">
      <c r="F3286" s="78"/>
      <c r="G3286" s="78"/>
    </row>
    <row r="3287" spans="6:7" ht="15.75" x14ac:dyDescent="0.25">
      <c r="F3287" s="78" t="s">
        <v>596</v>
      </c>
      <c r="G3287" s="189">
        <f>SUM(G3275:G3286)</f>
        <v>17965.560000000001</v>
      </c>
    </row>
    <row r="3298" spans="5:13" ht="18.75" x14ac:dyDescent="0.3">
      <c r="E3298" s="314" t="s">
        <v>823</v>
      </c>
      <c r="F3298" s="315"/>
      <c r="G3298" s="315"/>
      <c r="H3298" s="315"/>
      <c r="I3298" s="315"/>
      <c r="J3298" s="315"/>
      <c r="K3298" s="315"/>
      <c r="L3298" s="315"/>
      <c r="M3298" s="315"/>
    </row>
    <row r="3299" spans="5:13" x14ac:dyDescent="0.25">
      <c r="E3299" s="78"/>
      <c r="F3299" s="78"/>
      <c r="G3299" s="78"/>
      <c r="H3299" s="78"/>
      <c r="I3299" s="78"/>
      <c r="J3299" s="78"/>
      <c r="K3299" s="78"/>
      <c r="L3299" s="78"/>
      <c r="M3299" s="78"/>
    </row>
    <row r="3300" spans="5:13" ht="15.75" x14ac:dyDescent="0.25">
      <c r="E3300" s="118" t="s">
        <v>223</v>
      </c>
      <c r="F3300" s="118" t="s">
        <v>206</v>
      </c>
      <c r="G3300" s="118" t="s">
        <v>207</v>
      </c>
      <c r="H3300" s="118" t="s">
        <v>218</v>
      </c>
      <c r="I3300" s="78"/>
      <c r="J3300" s="120" t="s">
        <v>6</v>
      </c>
      <c r="K3300" s="120" t="s">
        <v>217</v>
      </c>
      <c r="L3300" s="120" t="s">
        <v>207</v>
      </c>
      <c r="M3300" s="120" t="s">
        <v>218</v>
      </c>
    </row>
    <row r="3301" spans="5:13" x14ac:dyDescent="0.25">
      <c r="E3301" s="117">
        <v>46087</v>
      </c>
      <c r="F3301" s="78" t="s">
        <v>148</v>
      </c>
      <c r="G3301" s="78" t="s">
        <v>209</v>
      </c>
      <c r="H3301" s="119">
        <v>420</v>
      </c>
      <c r="I3301" s="175"/>
      <c r="J3301" s="117"/>
      <c r="K3301" s="78"/>
      <c r="L3301" s="78"/>
      <c r="M3301" s="119"/>
    </row>
    <row r="3302" spans="5:13" x14ac:dyDescent="0.25">
      <c r="E3302" s="117">
        <v>46087</v>
      </c>
      <c r="F3302" s="78" t="s">
        <v>214</v>
      </c>
      <c r="G3302" s="155" t="s">
        <v>211</v>
      </c>
      <c r="H3302" s="156">
        <v>3300</v>
      </c>
      <c r="I3302" s="78"/>
      <c r="J3302" s="117">
        <v>46037</v>
      </c>
      <c r="K3302" s="149" t="s">
        <v>66</v>
      </c>
      <c r="L3302" s="78" t="s">
        <v>222</v>
      </c>
      <c r="M3302" s="119">
        <v>2120</v>
      </c>
    </row>
    <row r="3303" spans="5:13" ht="15.75" x14ac:dyDescent="0.25">
      <c r="E3303" s="78"/>
      <c r="F3303" s="201" t="s">
        <v>429</v>
      </c>
      <c r="G3303" s="201"/>
      <c r="H3303" s="183">
        <v>20459.060000000001</v>
      </c>
      <c r="I3303" s="78"/>
      <c r="J3303" s="184"/>
      <c r="K3303" s="185" t="s">
        <v>281</v>
      </c>
      <c r="L3303" s="185"/>
      <c r="M3303" s="140">
        <v>9800</v>
      </c>
    </row>
    <row r="3304" spans="5:13" ht="15.75" x14ac:dyDescent="0.25">
      <c r="E3304" s="117">
        <v>46121</v>
      </c>
      <c r="F3304" s="78" t="s">
        <v>540</v>
      </c>
      <c r="G3304" s="166"/>
      <c r="H3304" s="167">
        <v>3120</v>
      </c>
      <c r="I3304" s="119"/>
      <c r="J3304" s="184"/>
      <c r="K3304" s="78" t="s">
        <v>820</v>
      </c>
      <c r="L3304" s="185" t="s">
        <v>819</v>
      </c>
      <c r="M3304" s="140">
        <v>570</v>
      </c>
    </row>
    <row r="3305" spans="5:13" x14ac:dyDescent="0.25">
      <c r="E3305" s="117"/>
      <c r="F3305" s="78" t="s">
        <v>590</v>
      </c>
      <c r="G3305" s="166"/>
      <c r="H3305" s="167">
        <v>3520</v>
      </c>
      <c r="I3305" s="119"/>
      <c r="J3305" s="78"/>
      <c r="L3305" s="78"/>
      <c r="M3305" s="119"/>
    </row>
    <row r="3306" spans="5:13" ht="18.75" x14ac:dyDescent="0.3">
      <c r="E3306" s="117"/>
      <c r="F3306" s="78" t="s">
        <v>591</v>
      </c>
      <c r="G3306" s="166"/>
      <c r="H3306" s="167">
        <v>2200</v>
      </c>
      <c r="I3306" s="78"/>
      <c r="J3306" s="78"/>
      <c r="K3306" s="126" t="s">
        <v>226</v>
      </c>
      <c r="L3306" s="126"/>
      <c r="M3306" s="127">
        <f>SUM(M3301:M3305)</f>
        <v>12490</v>
      </c>
    </row>
    <row r="3307" spans="5:13" x14ac:dyDescent="0.25">
      <c r="E3307" s="117">
        <v>46128</v>
      </c>
      <c r="F3307" s="78" t="s">
        <v>611</v>
      </c>
      <c r="G3307" s="166"/>
      <c r="H3307" s="167">
        <v>2550</v>
      </c>
      <c r="I3307" s="78"/>
    </row>
    <row r="3308" spans="5:13" x14ac:dyDescent="0.25">
      <c r="E3308" s="117"/>
      <c r="F3308" s="78" t="s">
        <v>616</v>
      </c>
      <c r="G3308" s="166"/>
      <c r="H3308" s="167">
        <v>580</v>
      </c>
      <c r="I3308" s="78"/>
      <c r="M3308" s="121"/>
    </row>
    <row r="3309" spans="5:13" ht="15.75" x14ac:dyDescent="0.25">
      <c r="E3309" s="117">
        <v>46141</v>
      </c>
      <c r="F3309" s="215" t="s">
        <v>757</v>
      </c>
      <c r="G3309" s="166"/>
      <c r="H3309" s="167">
        <v>2700</v>
      </c>
      <c r="L3309" s="121"/>
    </row>
    <row r="3310" spans="5:13" x14ac:dyDescent="0.25">
      <c r="E3310" s="117">
        <v>46142</v>
      </c>
      <c r="F3310" s="78" t="s">
        <v>764</v>
      </c>
      <c r="G3310" s="166"/>
      <c r="H3310" s="167">
        <v>2002</v>
      </c>
      <c r="L3310" s="121"/>
    </row>
    <row r="3311" spans="5:13" ht="15.75" x14ac:dyDescent="0.25">
      <c r="E3311" s="117"/>
      <c r="F3311" s="215" t="s">
        <v>756</v>
      </c>
      <c r="G3311" s="166"/>
      <c r="H3311" s="167">
        <v>2650</v>
      </c>
    </row>
    <row r="3312" spans="5:13" ht="15.75" x14ac:dyDescent="0.25">
      <c r="E3312" s="117">
        <v>46144</v>
      </c>
      <c r="F3312" s="78" t="s">
        <v>769</v>
      </c>
      <c r="G3312" s="166"/>
      <c r="H3312" s="167">
        <v>3225</v>
      </c>
      <c r="J3312" s="316" t="s">
        <v>227</v>
      </c>
      <c r="K3312" s="317"/>
      <c r="L3312" s="140">
        <f>H3321-M3306</f>
        <v>77704.929999999993</v>
      </c>
    </row>
    <row r="3313" spans="5:13" ht="15.75" x14ac:dyDescent="0.25">
      <c r="E3313" s="117">
        <v>46147</v>
      </c>
      <c r="F3313" s="78" t="s">
        <v>489</v>
      </c>
      <c r="G3313" s="166"/>
      <c r="H3313" s="167">
        <v>5342.07</v>
      </c>
      <c r="L3313" s="89"/>
    </row>
    <row r="3314" spans="5:13" ht="15.75" x14ac:dyDescent="0.25">
      <c r="E3314" s="117"/>
      <c r="F3314" s="78"/>
      <c r="G3314" s="166"/>
      <c r="H3314" s="167"/>
      <c r="J3314" s="128" t="s">
        <v>285</v>
      </c>
      <c r="L3314" s="124">
        <f>G3346</f>
        <v>17682.520000000004</v>
      </c>
    </row>
    <row r="3315" spans="5:13" x14ac:dyDescent="0.25">
      <c r="E3315" s="117"/>
      <c r="F3315" s="78"/>
      <c r="G3315" s="166"/>
      <c r="H3315" s="167"/>
    </row>
    <row r="3316" spans="5:13" x14ac:dyDescent="0.25">
      <c r="E3316" s="78"/>
      <c r="F3316" s="78"/>
      <c r="G3316" s="78"/>
      <c r="H3316" s="122">
        <f>SUM(H3301:H3315)</f>
        <v>52068.13</v>
      </c>
    </row>
    <row r="3317" spans="5:13" x14ac:dyDescent="0.25">
      <c r="H3317" s="157"/>
    </row>
    <row r="3318" spans="5:13" ht="21" x14ac:dyDescent="0.35">
      <c r="G3318" s="101" t="s">
        <v>224</v>
      </c>
      <c r="H3318" s="101">
        <v>38126.800000000003</v>
      </c>
      <c r="K3318" s="198" t="s">
        <v>286</v>
      </c>
      <c r="L3318" s="137">
        <f>SUM(L3312:L3314)</f>
        <v>95387.45</v>
      </c>
    </row>
    <row r="3319" spans="5:13" x14ac:dyDescent="0.25">
      <c r="E3319" s="121"/>
      <c r="L3319" s="157">
        <v>93362.75</v>
      </c>
      <c r="M3319" s="39" t="s">
        <v>76</v>
      </c>
    </row>
    <row r="3321" spans="5:13" ht="18.75" x14ac:dyDescent="0.3">
      <c r="E3321" s="121"/>
      <c r="G3321" s="99" t="s">
        <v>225</v>
      </c>
      <c r="H3321" s="125">
        <f>SUM(H3316+H3318)</f>
        <v>90194.93</v>
      </c>
      <c r="L3321" s="154">
        <f>L3318-L3319</f>
        <v>2024.6999999999971</v>
      </c>
    </row>
    <row r="3322" spans="5:13" ht="18.75" x14ac:dyDescent="0.3">
      <c r="E3322" s="121"/>
      <c r="L3322" s="125"/>
    </row>
    <row r="3323" spans="5:13" ht="18.75" x14ac:dyDescent="0.3">
      <c r="L3323" s="125"/>
    </row>
    <row r="3325" spans="5:13" x14ac:dyDescent="0.25">
      <c r="L3325" s="121"/>
    </row>
    <row r="3328" spans="5:13" x14ac:dyDescent="0.25">
      <c r="E3328" s="91"/>
      <c r="I3328" s="121"/>
    </row>
    <row r="3329" spans="5:11" x14ac:dyDescent="0.25">
      <c r="I3329" s="121"/>
    </row>
    <row r="3330" spans="5:11" ht="15.75" x14ac:dyDescent="0.25">
      <c r="F3330" s="132" t="s">
        <v>235</v>
      </c>
      <c r="G3330" s="133">
        <v>31309.52</v>
      </c>
    </row>
    <row r="3331" spans="5:11" ht="15.75" x14ac:dyDescent="0.25">
      <c r="F3331" s="139" t="s">
        <v>789</v>
      </c>
      <c r="G3331" s="138">
        <v>-585</v>
      </c>
      <c r="J3331" s="322" t="s">
        <v>570</v>
      </c>
      <c r="K3331" s="322"/>
    </row>
    <row r="3332" spans="5:11" x14ac:dyDescent="0.25">
      <c r="F3332" s="163" t="s">
        <v>788</v>
      </c>
      <c r="G3332" s="164">
        <v>100</v>
      </c>
    </row>
    <row r="3333" spans="5:11" x14ac:dyDescent="0.25">
      <c r="F3333" s="163" t="s">
        <v>790</v>
      </c>
      <c r="G3333" s="164">
        <v>485</v>
      </c>
      <c r="J3333" s="220" t="s">
        <v>595</v>
      </c>
      <c r="K3333" s="221">
        <v>12711.83</v>
      </c>
    </row>
    <row r="3334" spans="5:11" x14ac:dyDescent="0.25">
      <c r="F3334" s="163" t="s">
        <v>792</v>
      </c>
      <c r="G3334" s="164">
        <v>2520</v>
      </c>
      <c r="J3334" s="150" t="s">
        <v>787</v>
      </c>
      <c r="K3334" s="151">
        <v>-815</v>
      </c>
    </row>
    <row r="3335" spans="5:11" x14ac:dyDescent="0.25">
      <c r="F3335" s="163" t="s">
        <v>93</v>
      </c>
      <c r="G3335" s="164">
        <v>3165</v>
      </c>
      <c r="J3335" s="150" t="s">
        <v>793</v>
      </c>
      <c r="K3335" s="151">
        <v>-60</v>
      </c>
    </row>
    <row r="3336" spans="5:11" x14ac:dyDescent="0.25">
      <c r="E3336" s="91">
        <v>46147</v>
      </c>
      <c r="F3336" s="163" t="s">
        <v>802</v>
      </c>
      <c r="G3336" s="164">
        <v>-30000</v>
      </c>
      <c r="J3336" s="150" t="s">
        <v>797</v>
      </c>
      <c r="K3336" s="151">
        <v>-450</v>
      </c>
    </row>
    <row r="3337" spans="5:11" x14ac:dyDescent="0.25">
      <c r="F3337" s="163" t="s">
        <v>805</v>
      </c>
      <c r="G3337" s="164">
        <v>3360</v>
      </c>
      <c r="J3337" s="150" t="s">
        <v>798</v>
      </c>
      <c r="K3337" s="151">
        <v>-4504.8</v>
      </c>
    </row>
    <row r="3338" spans="5:11" x14ac:dyDescent="0.25">
      <c r="F3338" s="150" t="s">
        <v>809</v>
      </c>
      <c r="G3338" s="151">
        <v>-30</v>
      </c>
      <c r="J3338" s="150" t="s">
        <v>804</v>
      </c>
      <c r="K3338" s="151">
        <v>3150</v>
      </c>
    </row>
    <row r="3339" spans="5:11" x14ac:dyDescent="0.25">
      <c r="F3339" s="163" t="s">
        <v>810</v>
      </c>
      <c r="G3339" s="164">
        <v>2650</v>
      </c>
      <c r="J3339" s="150" t="s">
        <v>798</v>
      </c>
      <c r="K3339" s="151">
        <v>-13604.1</v>
      </c>
    </row>
    <row r="3340" spans="5:11" x14ac:dyDescent="0.25">
      <c r="F3340" s="163" t="s">
        <v>93</v>
      </c>
      <c r="G3340" s="164">
        <v>4734</v>
      </c>
      <c r="J3340" s="150" t="s">
        <v>809</v>
      </c>
      <c r="K3340" s="151">
        <v>-30</v>
      </c>
    </row>
    <row r="3341" spans="5:11" x14ac:dyDescent="0.25">
      <c r="E3341" s="91">
        <v>46148</v>
      </c>
      <c r="F3341" s="163" t="s">
        <v>250</v>
      </c>
      <c r="G3341" s="164">
        <v>-242</v>
      </c>
      <c r="J3341" s="150" t="s">
        <v>812</v>
      </c>
      <c r="K3341" s="151">
        <v>-1440</v>
      </c>
    </row>
    <row r="3342" spans="5:11" x14ac:dyDescent="0.25">
      <c r="F3342" s="139" t="s">
        <v>817</v>
      </c>
      <c r="G3342" s="138">
        <v>-10</v>
      </c>
      <c r="J3342" s="150" t="s">
        <v>816</v>
      </c>
      <c r="K3342" s="151">
        <v>-300</v>
      </c>
    </row>
    <row r="3343" spans="5:11" x14ac:dyDescent="0.25">
      <c r="F3343" s="71" t="s">
        <v>821</v>
      </c>
      <c r="G3343" s="186">
        <v>270</v>
      </c>
      <c r="J3343" s="150"/>
      <c r="K3343" s="151"/>
    </row>
    <row r="3344" spans="5:11" x14ac:dyDescent="0.25">
      <c r="F3344" s="139" t="s">
        <v>822</v>
      </c>
      <c r="G3344" s="138">
        <v>-44</v>
      </c>
    </row>
    <row r="3345" spans="5:11" ht="15.75" x14ac:dyDescent="0.25">
      <c r="K3345" s="133">
        <f>SUM(K3333:K3344)</f>
        <v>-5342.0700000000015</v>
      </c>
    </row>
    <row r="3346" spans="5:11" ht="15.75" x14ac:dyDescent="0.25">
      <c r="F3346" s="132" t="s">
        <v>236</v>
      </c>
      <c r="G3346" s="133">
        <f>SUM(G3330:G3345)</f>
        <v>17682.520000000004</v>
      </c>
    </row>
    <row r="3349" spans="5:11" x14ac:dyDescent="0.25">
      <c r="E3349" s="91"/>
      <c r="G3349">
        <v>-11.9</v>
      </c>
    </row>
    <row r="3350" spans="5:11" x14ac:dyDescent="0.25">
      <c r="E3350" s="91"/>
    </row>
    <row r="3351" spans="5:11" x14ac:dyDescent="0.25">
      <c r="E3351" s="91"/>
      <c r="F3351" s="39"/>
      <c r="G3351" s="157">
        <f>SUM(G3346:G3350)</f>
        <v>17670.620000000003</v>
      </c>
    </row>
    <row r="3352" spans="5:11" x14ac:dyDescent="0.25">
      <c r="E3352" s="91"/>
    </row>
    <row r="3353" spans="5:11" x14ac:dyDescent="0.25">
      <c r="E3353" s="91"/>
    </row>
    <row r="3354" spans="5:11" x14ac:dyDescent="0.25">
      <c r="E3354" s="91"/>
    </row>
    <row r="3355" spans="5:11" x14ac:dyDescent="0.25">
      <c r="E3355" s="91"/>
    </row>
    <row r="3357" spans="5:11" x14ac:dyDescent="0.25">
      <c r="E3357" s="91">
        <v>46146</v>
      </c>
    </row>
    <row r="3358" spans="5:11" ht="15.75" x14ac:dyDescent="0.25">
      <c r="F3358" s="166" t="s">
        <v>429</v>
      </c>
      <c r="G3358" s="131">
        <v>12215.05</v>
      </c>
    </row>
    <row r="3359" spans="5:11" x14ac:dyDescent="0.25">
      <c r="F3359" s="178" t="s">
        <v>797</v>
      </c>
      <c r="G3359" s="179">
        <v>-450</v>
      </c>
    </row>
    <row r="3360" spans="5:11" x14ac:dyDescent="0.25">
      <c r="F3360" s="178" t="s">
        <v>798</v>
      </c>
      <c r="G3360" s="179">
        <v>-4504.8</v>
      </c>
    </row>
    <row r="3361" spans="5:7" x14ac:dyDescent="0.25">
      <c r="F3361" s="178" t="s">
        <v>535</v>
      </c>
      <c r="G3361" s="179">
        <v>-0.2</v>
      </c>
    </row>
    <row r="3362" spans="5:7" x14ac:dyDescent="0.25">
      <c r="E3362" s="91">
        <v>46147</v>
      </c>
      <c r="F3362" s="178" t="s">
        <v>803</v>
      </c>
      <c r="G3362" s="179">
        <v>30000</v>
      </c>
    </row>
    <row r="3363" spans="5:7" x14ac:dyDescent="0.25">
      <c r="F3363" s="178" t="s">
        <v>272</v>
      </c>
      <c r="G3363" s="179">
        <v>-437.69</v>
      </c>
    </row>
    <row r="3364" spans="5:7" x14ac:dyDescent="0.25">
      <c r="F3364" s="233" t="s">
        <v>804</v>
      </c>
      <c r="G3364" s="179">
        <v>3150</v>
      </c>
    </row>
    <row r="3365" spans="5:7" x14ac:dyDescent="0.25">
      <c r="F3365" s="178" t="s">
        <v>798</v>
      </c>
      <c r="G3365" s="179">
        <v>-13604.1</v>
      </c>
    </row>
    <row r="3366" spans="5:7" x14ac:dyDescent="0.25">
      <c r="F3366" s="178" t="s">
        <v>806</v>
      </c>
      <c r="G3366" s="179">
        <v>-1400</v>
      </c>
    </row>
    <row r="3367" spans="5:7" x14ac:dyDescent="0.25">
      <c r="F3367" s="178" t="s">
        <v>808</v>
      </c>
      <c r="G3367" s="179">
        <v>-7000</v>
      </c>
    </row>
    <row r="3368" spans="5:7" x14ac:dyDescent="0.25">
      <c r="F3368" s="178" t="s">
        <v>535</v>
      </c>
      <c r="G3368" s="179">
        <v>-2.7</v>
      </c>
    </row>
    <row r="3369" spans="5:7" x14ac:dyDescent="0.25">
      <c r="E3369" s="91">
        <v>46148</v>
      </c>
      <c r="F3369" s="214" t="s">
        <v>815</v>
      </c>
      <c r="G3369" s="219">
        <v>2680</v>
      </c>
    </row>
    <row r="3370" spans="5:7" x14ac:dyDescent="0.25">
      <c r="F3370" s="178" t="s">
        <v>813</v>
      </c>
      <c r="G3370" s="179">
        <v>-166.4</v>
      </c>
    </row>
    <row r="3371" spans="5:7" x14ac:dyDescent="0.25">
      <c r="F3371" s="177" t="s">
        <v>818</v>
      </c>
      <c r="G3371" s="188">
        <v>-20</v>
      </c>
    </row>
    <row r="3372" spans="5:7" x14ac:dyDescent="0.25">
      <c r="F3372" s="177" t="s">
        <v>535</v>
      </c>
      <c r="G3372" s="188">
        <v>-0.1</v>
      </c>
    </row>
    <row r="3373" spans="5:7" x14ac:dyDescent="0.25">
      <c r="F3373" s="78"/>
      <c r="G3373" s="78"/>
    </row>
    <row r="3374" spans="5:7" ht="15.75" x14ac:dyDescent="0.25">
      <c r="F3374" s="78" t="s">
        <v>596</v>
      </c>
      <c r="G3374" s="189">
        <f>SUM(G3358:G3373)</f>
        <v>20459.060000000001</v>
      </c>
    </row>
    <row r="3389" spans="5:13" ht="18.75" x14ac:dyDescent="0.3">
      <c r="E3389" s="314" t="s">
        <v>824</v>
      </c>
      <c r="F3389" s="315"/>
      <c r="G3389" s="315"/>
      <c r="H3389" s="315"/>
      <c r="I3389" s="315"/>
      <c r="J3389" s="315"/>
      <c r="K3389" s="315"/>
      <c r="L3389" s="315"/>
      <c r="M3389" s="315"/>
    </row>
    <row r="3390" spans="5:13" x14ac:dyDescent="0.25">
      <c r="E3390" s="78"/>
      <c r="F3390" s="78"/>
      <c r="G3390" s="78"/>
      <c r="H3390" s="78"/>
      <c r="I3390" s="78"/>
      <c r="J3390" s="78"/>
      <c r="K3390" s="78"/>
      <c r="L3390" s="78"/>
      <c r="M3390" s="78"/>
    </row>
    <row r="3391" spans="5:13" ht="15.75" x14ac:dyDescent="0.25">
      <c r="E3391" s="118" t="s">
        <v>223</v>
      </c>
      <c r="F3391" s="118" t="s">
        <v>206</v>
      </c>
      <c r="G3391" s="118" t="s">
        <v>207</v>
      </c>
      <c r="H3391" s="118" t="s">
        <v>218</v>
      </c>
      <c r="I3391" s="78"/>
      <c r="J3391" s="120" t="s">
        <v>6</v>
      </c>
      <c r="K3391" s="120" t="s">
        <v>217</v>
      </c>
      <c r="L3391" s="120" t="s">
        <v>207</v>
      </c>
      <c r="M3391" s="120" t="s">
        <v>218</v>
      </c>
    </row>
    <row r="3392" spans="5:13" x14ac:dyDescent="0.25">
      <c r="E3392" s="117">
        <v>46087</v>
      </c>
      <c r="F3392" s="78" t="s">
        <v>214</v>
      </c>
      <c r="G3392" s="155" t="s">
        <v>211</v>
      </c>
      <c r="H3392" s="156">
        <v>3300</v>
      </c>
      <c r="I3392" s="175"/>
      <c r="J3392" s="117"/>
      <c r="K3392" s="78"/>
      <c r="L3392" s="78"/>
      <c r="M3392" s="119"/>
    </row>
    <row r="3393" spans="5:13" ht="15.75" x14ac:dyDescent="0.25">
      <c r="E3393" s="78"/>
      <c r="F3393" s="201" t="s">
        <v>429</v>
      </c>
      <c r="G3393" s="201"/>
      <c r="H3393" s="183">
        <v>98459.06</v>
      </c>
      <c r="I3393" s="78"/>
      <c r="J3393" s="117">
        <v>46037</v>
      </c>
      <c r="K3393" s="149" t="s">
        <v>66</v>
      </c>
      <c r="L3393" s="78" t="s">
        <v>222</v>
      </c>
      <c r="M3393" s="119">
        <v>2120</v>
      </c>
    </row>
    <row r="3394" spans="5:13" ht="15.75" x14ac:dyDescent="0.25">
      <c r="E3394" s="117"/>
      <c r="F3394" s="78" t="s">
        <v>590</v>
      </c>
      <c r="G3394" s="166"/>
      <c r="H3394" s="167">
        <v>3520</v>
      </c>
      <c r="I3394" s="78"/>
      <c r="J3394" s="184"/>
      <c r="K3394" s="185" t="s">
        <v>281</v>
      </c>
      <c r="L3394" s="185"/>
      <c r="M3394" s="140">
        <v>11900</v>
      </c>
    </row>
    <row r="3395" spans="5:13" ht="15.75" x14ac:dyDescent="0.25">
      <c r="E3395" s="117"/>
      <c r="F3395" s="78" t="s">
        <v>591</v>
      </c>
      <c r="G3395" s="166"/>
      <c r="H3395" s="167">
        <v>2200</v>
      </c>
      <c r="I3395" s="119"/>
      <c r="J3395" s="184"/>
      <c r="K3395" s="78" t="s">
        <v>820</v>
      </c>
      <c r="L3395" s="185" t="s">
        <v>819</v>
      </c>
      <c r="M3395" s="140">
        <v>570</v>
      </c>
    </row>
    <row r="3396" spans="5:13" ht="15.75" x14ac:dyDescent="0.25">
      <c r="E3396" s="117"/>
      <c r="F3396" s="78" t="s">
        <v>616</v>
      </c>
      <c r="G3396" s="166"/>
      <c r="H3396" s="167">
        <v>580</v>
      </c>
      <c r="I3396" s="119"/>
      <c r="J3396" s="184"/>
      <c r="K3396" s="78" t="s">
        <v>82</v>
      </c>
      <c r="L3396" s="185"/>
      <c r="M3396" s="140">
        <v>2490</v>
      </c>
    </row>
    <row r="3397" spans="5:13" ht="15.75" x14ac:dyDescent="0.25">
      <c r="E3397" s="117">
        <v>46141</v>
      </c>
      <c r="F3397" s="215" t="s">
        <v>757</v>
      </c>
      <c r="G3397" s="166"/>
      <c r="H3397" s="167">
        <v>2700</v>
      </c>
      <c r="I3397" s="78"/>
      <c r="J3397" s="184"/>
      <c r="K3397" s="78"/>
      <c r="L3397" s="185"/>
      <c r="M3397" s="140">
        <v>54657.93</v>
      </c>
    </row>
    <row r="3398" spans="5:13" ht="15.75" x14ac:dyDescent="0.25">
      <c r="E3398" s="117">
        <v>46142</v>
      </c>
      <c r="F3398" s="78" t="s">
        <v>764</v>
      </c>
      <c r="G3398" s="166"/>
      <c r="H3398" s="167">
        <v>2002</v>
      </c>
      <c r="I3398" s="78"/>
      <c r="J3398" s="184"/>
      <c r="K3398" s="78"/>
      <c r="L3398" s="185"/>
      <c r="M3398" s="140"/>
    </row>
    <row r="3399" spans="5:13" ht="15.75" x14ac:dyDescent="0.25">
      <c r="E3399" s="117"/>
      <c r="F3399" s="215" t="s">
        <v>756</v>
      </c>
      <c r="G3399" s="166"/>
      <c r="H3399" s="167">
        <v>2650</v>
      </c>
      <c r="I3399" s="78"/>
      <c r="J3399" s="78"/>
      <c r="K3399" s="78"/>
      <c r="L3399" s="78"/>
      <c r="M3399" s="119"/>
    </row>
    <row r="3400" spans="5:13" ht="18.75" x14ac:dyDescent="0.3">
      <c r="E3400" s="117">
        <v>46144</v>
      </c>
      <c r="F3400" s="78" t="s">
        <v>769</v>
      </c>
      <c r="G3400" s="166"/>
      <c r="H3400" s="167">
        <v>3225</v>
      </c>
      <c r="J3400" s="78"/>
      <c r="K3400" s="126" t="s">
        <v>226</v>
      </c>
      <c r="L3400" s="126"/>
      <c r="M3400" s="127">
        <f>SUM(M3392:M3399)</f>
        <v>71737.929999999993</v>
      </c>
    </row>
    <row r="3401" spans="5:13" x14ac:dyDescent="0.25">
      <c r="E3401" s="117"/>
      <c r="F3401" s="78" t="s">
        <v>830</v>
      </c>
      <c r="G3401" s="166"/>
      <c r="H3401" s="234">
        <v>2730</v>
      </c>
    </row>
    <row r="3402" spans="5:13" x14ac:dyDescent="0.25">
      <c r="E3402" s="117"/>
      <c r="F3402" s="78" t="s">
        <v>836</v>
      </c>
      <c r="G3402" s="166"/>
      <c r="H3402" s="167">
        <v>350</v>
      </c>
      <c r="M3402" s="121"/>
    </row>
    <row r="3403" spans="5:13" x14ac:dyDescent="0.25">
      <c r="E3403" s="117"/>
      <c r="F3403" s="78"/>
      <c r="G3403" s="166"/>
      <c r="H3403" s="167"/>
      <c r="L3403" s="121"/>
    </row>
    <row r="3404" spans="5:13" x14ac:dyDescent="0.25">
      <c r="E3404" s="117">
        <v>46149</v>
      </c>
      <c r="F3404" s="78" t="s">
        <v>834</v>
      </c>
      <c r="G3404" s="166"/>
      <c r="H3404" s="167">
        <v>3090</v>
      </c>
      <c r="L3404" s="121"/>
    </row>
    <row r="3405" spans="5:13" x14ac:dyDescent="0.25">
      <c r="E3405" s="117"/>
      <c r="F3405" s="78"/>
      <c r="G3405" s="166"/>
      <c r="H3405" s="167"/>
    </row>
    <row r="3406" spans="5:13" ht="15.75" x14ac:dyDescent="0.25">
      <c r="E3406" s="117"/>
      <c r="F3406" s="78"/>
      <c r="G3406" s="166"/>
      <c r="H3406" s="167"/>
      <c r="J3406" s="316" t="s">
        <v>227</v>
      </c>
      <c r="K3406" s="317"/>
      <c r="L3406" s="140">
        <f>H3412-M3400</f>
        <v>93562.18</v>
      </c>
    </row>
    <row r="3407" spans="5:13" ht="15.75" x14ac:dyDescent="0.25">
      <c r="E3407" s="78"/>
      <c r="F3407" s="78"/>
      <c r="G3407" s="78"/>
      <c r="H3407" s="122">
        <f>SUM(H3392:H3406)</f>
        <v>124806.06</v>
      </c>
      <c r="L3407" s="89"/>
    </row>
    <row r="3408" spans="5:13" ht="15.75" x14ac:dyDescent="0.25">
      <c r="H3408" s="157"/>
      <c r="I3408" s="121"/>
      <c r="J3408" s="128" t="s">
        <v>285</v>
      </c>
      <c r="L3408" s="124">
        <f>G3444</f>
        <v>3181.5200000000041</v>
      </c>
    </row>
    <row r="3409" spans="5:13" x14ac:dyDescent="0.25">
      <c r="G3409" s="101" t="s">
        <v>224</v>
      </c>
      <c r="H3409" s="101">
        <v>40494.050000000003</v>
      </c>
    </row>
    <row r="3410" spans="5:13" x14ac:dyDescent="0.25">
      <c r="E3410" s="121"/>
    </row>
    <row r="3412" spans="5:13" ht="21" x14ac:dyDescent="0.35">
      <c r="E3412" s="121"/>
      <c r="G3412" s="99" t="s">
        <v>225</v>
      </c>
      <c r="H3412" s="125">
        <f>SUM(H3407+H3409)</f>
        <v>165300.10999999999</v>
      </c>
      <c r="K3412" s="198" t="s">
        <v>286</v>
      </c>
      <c r="L3412" s="137">
        <f>SUM(L3406:L3408)</f>
        <v>96743.7</v>
      </c>
    </row>
    <row r="3413" spans="5:13" x14ac:dyDescent="0.25">
      <c r="E3413" s="121"/>
      <c r="L3413" s="157">
        <v>95387.45</v>
      </c>
      <c r="M3413" s="39" t="s">
        <v>76</v>
      </c>
    </row>
    <row r="3415" spans="5:13" ht="18.75" x14ac:dyDescent="0.3">
      <c r="L3415" s="154">
        <f>L3412-L3413</f>
        <v>1356.25</v>
      </c>
    </row>
    <row r="3416" spans="5:13" ht="18.75" x14ac:dyDescent="0.3">
      <c r="L3416" s="125"/>
    </row>
    <row r="3417" spans="5:13" ht="18.75" x14ac:dyDescent="0.3">
      <c r="L3417" s="125"/>
    </row>
    <row r="3419" spans="5:13" x14ac:dyDescent="0.25">
      <c r="E3419" s="91"/>
      <c r="I3419" s="121"/>
      <c r="L3419" s="121"/>
    </row>
    <row r="3420" spans="5:13" x14ac:dyDescent="0.25">
      <c r="I3420" s="121"/>
    </row>
    <row r="3421" spans="5:13" ht="15.75" x14ac:dyDescent="0.25">
      <c r="F3421" s="132" t="s">
        <v>235</v>
      </c>
      <c r="G3421" s="133">
        <v>31309.52</v>
      </c>
    </row>
    <row r="3422" spans="5:13" x14ac:dyDescent="0.25">
      <c r="F3422" s="139" t="s">
        <v>789</v>
      </c>
      <c r="G3422" s="138">
        <v>-585</v>
      </c>
    </row>
    <row r="3423" spans="5:13" x14ac:dyDescent="0.25">
      <c r="F3423" s="163" t="s">
        <v>788</v>
      </c>
      <c r="G3423" s="164">
        <v>100</v>
      </c>
    </row>
    <row r="3424" spans="5:13" x14ac:dyDescent="0.25">
      <c r="F3424" s="163" t="s">
        <v>790</v>
      </c>
      <c r="G3424" s="164">
        <v>485</v>
      </c>
    </row>
    <row r="3425" spans="5:11" ht="15.75" x14ac:dyDescent="0.25">
      <c r="F3425" s="163" t="s">
        <v>792</v>
      </c>
      <c r="G3425" s="164">
        <v>2520</v>
      </c>
      <c r="J3425" s="322" t="s">
        <v>570</v>
      </c>
      <c r="K3425" s="322"/>
    </row>
    <row r="3426" spans="5:11" x14ac:dyDescent="0.25">
      <c r="F3426" s="163" t="s">
        <v>93</v>
      </c>
      <c r="G3426" s="164">
        <v>3165</v>
      </c>
    </row>
    <row r="3427" spans="5:11" x14ac:dyDescent="0.25">
      <c r="E3427" s="91">
        <v>46147</v>
      </c>
      <c r="F3427" s="163" t="s">
        <v>802</v>
      </c>
      <c r="G3427" s="164">
        <v>-30000</v>
      </c>
      <c r="J3427" s="220" t="s">
        <v>595</v>
      </c>
      <c r="K3427" s="221">
        <v>12711.83</v>
      </c>
    </row>
    <row r="3428" spans="5:11" x14ac:dyDescent="0.25">
      <c r="F3428" s="163" t="s">
        <v>805</v>
      </c>
      <c r="G3428" s="164">
        <v>3360</v>
      </c>
      <c r="J3428" s="150" t="s">
        <v>787</v>
      </c>
      <c r="K3428" s="151">
        <v>-815</v>
      </c>
    </row>
    <row r="3429" spans="5:11" x14ac:dyDescent="0.25">
      <c r="F3429" s="150" t="s">
        <v>809</v>
      </c>
      <c r="G3429" s="151">
        <v>-30</v>
      </c>
      <c r="J3429" s="150" t="s">
        <v>793</v>
      </c>
      <c r="K3429" s="151">
        <v>-60</v>
      </c>
    </row>
    <row r="3430" spans="5:11" x14ac:dyDescent="0.25">
      <c r="F3430" s="163" t="s">
        <v>810</v>
      </c>
      <c r="G3430" s="164">
        <v>2650</v>
      </c>
      <c r="J3430" s="150" t="s">
        <v>797</v>
      </c>
      <c r="K3430" s="151">
        <v>-450</v>
      </c>
    </row>
    <row r="3431" spans="5:11" x14ac:dyDescent="0.25">
      <c r="F3431" s="163" t="s">
        <v>93</v>
      </c>
      <c r="G3431" s="164">
        <v>4734</v>
      </c>
      <c r="J3431" s="150" t="s">
        <v>798</v>
      </c>
      <c r="K3431" s="151">
        <v>-4504.8</v>
      </c>
    </row>
    <row r="3432" spans="5:11" x14ac:dyDescent="0.25">
      <c r="E3432" s="91">
        <v>46148</v>
      </c>
      <c r="F3432" s="163" t="s">
        <v>250</v>
      </c>
      <c r="G3432" s="164">
        <v>-242</v>
      </c>
      <c r="J3432" s="150" t="s">
        <v>804</v>
      </c>
      <c r="K3432" s="151">
        <v>3150</v>
      </c>
    </row>
    <row r="3433" spans="5:11" x14ac:dyDescent="0.25">
      <c r="F3433" s="139" t="s">
        <v>817</v>
      </c>
      <c r="G3433" s="138">
        <v>-10</v>
      </c>
      <c r="J3433" s="150" t="s">
        <v>798</v>
      </c>
      <c r="K3433" s="151">
        <v>-13604.1</v>
      </c>
    </row>
    <row r="3434" spans="5:11" x14ac:dyDescent="0.25">
      <c r="F3434" s="71" t="s">
        <v>821</v>
      </c>
      <c r="G3434" s="186">
        <v>270</v>
      </c>
      <c r="J3434" s="150" t="s">
        <v>809</v>
      </c>
      <c r="K3434" s="151">
        <v>-30</v>
      </c>
    </row>
    <row r="3435" spans="5:11" x14ac:dyDescent="0.25">
      <c r="F3435" s="139" t="s">
        <v>822</v>
      </c>
      <c r="G3435" s="138">
        <v>-44</v>
      </c>
      <c r="J3435" s="150" t="s">
        <v>812</v>
      </c>
      <c r="K3435" s="151">
        <v>-1440</v>
      </c>
    </row>
    <row r="3436" spans="5:11" x14ac:dyDescent="0.25">
      <c r="E3436" s="91">
        <v>46149</v>
      </c>
      <c r="F3436" s="139" t="s">
        <v>825</v>
      </c>
      <c r="G3436" s="138">
        <v>-15000</v>
      </c>
      <c r="J3436" s="150" t="s">
        <v>816</v>
      </c>
      <c r="K3436" s="151">
        <v>-300</v>
      </c>
    </row>
    <row r="3437" spans="5:11" x14ac:dyDescent="0.25">
      <c r="F3437" s="139" t="s">
        <v>826</v>
      </c>
      <c r="G3437" s="138">
        <v>-1020</v>
      </c>
      <c r="J3437" s="150" t="s">
        <v>833</v>
      </c>
      <c r="K3437" s="151">
        <v>60000</v>
      </c>
    </row>
    <row r="3438" spans="5:11" x14ac:dyDescent="0.25">
      <c r="F3438" s="139" t="s">
        <v>827</v>
      </c>
      <c r="G3438" s="138">
        <v>1224</v>
      </c>
    </row>
    <row r="3439" spans="5:11" ht="15.75" x14ac:dyDescent="0.25">
      <c r="F3439" s="139" t="s">
        <v>828</v>
      </c>
      <c r="G3439" s="138">
        <v>-10</v>
      </c>
      <c r="K3439" s="133">
        <f>SUM(K3427:K3438)</f>
        <v>54657.93</v>
      </c>
    </row>
    <row r="3440" spans="5:11" x14ac:dyDescent="0.25">
      <c r="F3440" s="139" t="s">
        <v>829</v>
      </c>
      <c r="G3440" s="138">
        <v>-710</v>
      </c>
    </row>
    <row r="3441" spans="5:7" x14ac:dyDescent="0.25">
      <c r="F3441" s="139"/>
      <c r="G3441" s="138">
        <v>1015</v>
      </c>
    </row>
    <row r="3442" spans="5:7" x14ac:dyDescent="0.25">
      <c r="F3442" s="139"/>
      <c r="G3442" s="138"/>
    </row>
    <row r="3444" spans="5:7" ht="15.75" x14ac:dyDescent="0.25">
      <c r="F3444" s="132" t="s">
        <v>236</v>
      </c>
      <c r="G3444" s="133">
        <f>SUM(G3421:G3443)</f>
        <v>3181.5200000000041</v>
      </c>
    </row>
    <row r="3447" spans="5:7" x14ac:dyDescent="0.25">
      <c r="E3447" s="91"/>
      <c r="G3447">
        <v>-11.9</v>
      </c>
    </row>
    <row r="3448" spans="5:7" x14ac:dyDescent="0.25">
      <c r="E3448" s="91"/>
    </row>
    <row r="3449" spans="5:7" x14ac:dyDescent="0.25">
      <c r="E3449" s="91"/>
      <c r="F3449" s="39"/>
      <c r="G3449" s="157">
        <f>SUM(G3444:G3448)</f>
        <v>3169.620000000004</v>
      </c>
    </row>
    <row r="3450" spans="5:7" x14ac:dyDescent="0.25">
      <c r="E3450" s="91"/>
    </row>
    <row r="3451" spans="5:7" x14ac:dyDescent="0.25">
      <c r="E3451" s="91"/>
    </row>
    <row r="3452" spans="5:7" x14ac:dyDescent="0.25">
      <c r="E3452" s="91"/>
    </row>
    <row r="3453" spans="5:7" x14ac:dyDescent="0.25">
      <c r="E3453" s="91"/>
    </row>
    <row r="3455" spans="5:7" x14ac:dyDescent="0.25">
      <c r="E3455" s="91">
        <v>46146</v>
      </c>
    </row>
    <row r="3456" spans="5:7" ht="15.75" x14ac:dyDescent="0.25">
      <c r="F3456" s="166" t="s">
        <v>429</v>
      </c>
      <c r="G3456" s="131">
        <v>12215.05</v>
      </c>
    </row>
    <row r="3457" spans="5:7" x14ac:dyDescent="0.25">
      <c r="F3457" s="178" t="s">
        <v>797</v>
      </c>
      <c r="G3457" s="179">
        <v>-450</v>
      </c>
    </row>
    <row r="3458" spans="5:7" x14ac:dyDescent="0.25">
      <c r="F3458" s="178" t="s">
        <v>798</v>
      </c>
      <c r="G3458" s="179">
        <v>-4504.8</v>
      </c>
    </row>
    <row r="3459" spans="5:7" x14ac:dyDescent="0.25">
      <c r="F3459" s="178" t="s">
        <v>535</v>
      </c>
      <c r="G3459" s="179">
        <v>-0.2</v>
      </c>
    </row>
    <row r="3460" spans="5:7" x14ac:dyDescent="0.25">
      <c r="E3460" s="91">
        <v>46147</v>
      </c>
      <c r="F3460" s="178" t="s">
        <v>803</v>
      </c>
      <c r="G3460" s="179">
        <v>30000</v>
      </c>
    </row>
    <row r="3461" spans="5:7" x14ac:dyDescent="0.25">
      <c r="F3461" s="178" t="s">
        <v>272</v>
      </c>
      <c r="G3461" s="179">
        <v>-437.69</v>
      </c>
    </row>
    <row r="3462" spans="5:7" x14ac:dyDescent="0.25">
      <c r="F3462" s="233" t="s">
        <v>804</v>
      </c>
      <c r="G3462" s="179">
        <v>3150</v>
      </c>
    </row>
    <row r="3463" spans="5:7" x14ac:dyDescent="0.25">
      <c r="F3463" s="178" t="s">
        <v>798</v>
      </c>
      <c r="G3463" s="179">
        <v>-13604.1</v>
      </c>
    </row>
    <row r="3464" spans="5:7" x14ac:dyDescent="0.25">
      <c r="F3464" s="178" t="s">
        <v>806</v>
      </c>
      <c r="G3464" s="179">
        <v>-1400</v>
      </c>
    </row>
    <row r="3465" spans="5:7" x14ac:dyDescent="0.25">
      <c r="F3465" s="178" t="s">
        <v>808</v>
      </c>
      <c r="G3465" s="179">
        <v>-7000</v>
      </c>
    </row>
    <row r="3466" spans="5:7" x14ac:dyDescent="0.25">
      <c r="F3466" s="178" t="s">
        <v>535</v>
      </c>
      <c r="G3466" s="179">
        <v>-2.7</v>
      </c>
    </row>
    <row r="3467" spans="5:7" x14ac:dyDescent="0.25">
      <c r="E3467" s="91">
        <v>46148</v>
      </c>
      <c r="F3467" s="214" t="s">
        <v>815</v>
      </c>
      <c r="G3467" s="219">
        <v>2680</v>
      </c>
    </row>
    <row r="3468" spans="5:7" x14ac:dyDescent="0.25">
      <c r="F3468" s="178" t="s">
        <v>813</v>
      </c>
      <c r="G3468" s="179">
        <v>-166.4</v>
      </c>
    </row>
    <row r="3469" spans="5:7" x14ac:dyDescent="0.25">
      <c r="F3469" s="177" t="s">
        <v>818</v>
      </c>
      <c r="G3469" s="188">
        <v>-20</v>
      </c>
    </row>
    <row r="3470" spans="5:7" x14ac:dyDescent="0.25">
      <c r="F3470" s="177" t="s">
        <v>535</v>
      </c>
      <c r="G3470" s="188">
        <v>-0.1</v>
      </c>
    </row>
    <row r="3471" spans="5:7" x14ac:dyDescent="0.25">
      <c r="F3471" s="177" t="s">
        <v>803</v>
      </c>
      <c r="G3471" s="188">
        <v>12500</v>
      </c>
    </row>
    <row r="3472" spans="5:7" x14ac:dyDescent="0.25">
      <c r="F3472" s="177" t="s">
        <v>803</v>
      </c>
      <c r="G3472" s="188">
        <v>35200</v>
      </c>
    </row>
    <row r="3473" spans="5:13" x14ac:dyDescent="0.25">
      <c r="F3473" s="177" t="s">
        <v>803</v>
      </c>
      <c r="G3473" s="188">
        <v>15280</v>
      </c>
    </row>
    <row r="3474" spans="5:13" x14ac:dyDescent="0.25">
      <c r="F3474" s="177" t="s">
        <v>803</v>
      </c>
      <c r="G3474" s="188">
        <v>5760</v>
      </c>
    </row>
    <row r="3475" spans="5:13" x14ac:dyDescent="0.25">
      <c r="F3475" s="177" t="s">
        <v>803</v>
      </c>
      <c r="G3475" s="188">
        <v>6260</v>
      </c>
    </row>
    <row r="3476" spans="5:13" x14ac:dyDescent="0.25">
      <c r="F3476" s="177" t="s">
        <v>835</v>
      </c>
      <c r="G3476" s="188">
        <v>3000</v>
      </c>
    </row>
    <row r="3477" spans="5:13" x14ac:dyDescent="0.25">
      <c r="F3477" s="177"/>
      <c r="G3477" s="188"/>
    </row>
    <row r="3478" spans="5:13" x14ac:dyDescent="0.25">
      <c r="F3478" s="78"/>
      <c r="G3478" s="78"/>
    </row>
    <row r="3479" spans="5:13" ht="15.75" x14ac:dyDescent="0.25">
      <c r="F3479" s="78" t="s">
        <v>596</v>
      </c>
      <c r="G3479" s="189">
        <f>SUM(G3456:G3478)</f>
        <v>98459.06</v>
      </c>
    </row>
    <row r="3488" spans="5:13" ht="18.75" x14ac:dyDescent="0.3">
      <c r="E3488" s="314" t="s">
        <v>837</v>
      </c>
      <c r="F3488" s="315"/>
      <c r="G3488" s="315"/>
      <c r="H3488" s="315"/>
      <c r="I3488" s="315"/>
      <c r="J3488" s="315"/>
      <c r="K3488" s="315"/>
      <c r="L3488" s="315"/>
      <c r="M3488" s="315"/>
    </row>
    <row r="3489" spans="5:13" x14ac:dyDescent="0.25">
      <c r="E3489" s="78"/>
      <c r="F3489" s="78"/>
      <c r="G3489" s="78"/>
      <c r="H3489" s="78"/>
      <c r="I3489" s="78"/>
      <c r="J3489" s="78"/>
      <c r="K3489" s="78"/>
      <c r="L3489" s="78"/>
      <c r="M3489" s="78"/>
    </row>
    <row r="3490" spans="5:13" ht="15.75" x14ac:dyDescent="0.25">
      <c r="E3490" s="118" t="s">
        <v>223</v>
      </c>
      <c r="F3490" s="118" t="s">
        <v>206</v>
      </c>
      <c r="G3490" s="118" t="s">
        <v>207</v>
      </c>
      <c r="H3490" s="118" t="s">
        <v>218</v>
      </c>
      <c r="I3490" s="78"/>
      <c r="J3490" s="120" t="s">
        <v>6</v>
      </c>
      <c r="K3490" s="120" t="s">
        <v>217</v>
      </c>
      <c r="L3490" s="120" t="s">
        <v>207</v>
      </c>
      <c r="M3490" s="120" t="s">
        <v>218</v>
      </c>
    </row>
    <row r="3491" spans="5:13" x14ac:dyDescent="0.25">
      <c r="E3491" s="117">
        <v>46087</v>
      </c>
      <c r="F3491" s="78" t="s">
        <v>214</v>
      </c>
      <c r="G3491" s="155" t="s">
        <v>211</v>
      </c>
      <c r="H3491" s="156">
        <v>3300</v>
      </c>
      <c r="I3491" s="175"/>
      <c r="J3491" s="117"/>
      <c r="K3491" s="78"/>
      <c r="L3491" s="78"/>
      <c r="M3491" s="119"/>
    </row>
    <row r="3492" spans="5:13" ht="15.75" x14ac:dyDescent="0.25">
      <c r="E3492" s="78"/>
      <c r="F3492" s="201" t="s">
        <v>429</v>
      </c>
      <c r="G3492" s="201"/>
      <c r="H3492" s="183">
        <v>95455.26</v>
      </c>
      <c r="I3492" s="78"/>
      <c r="J3492" s="117">
        <v>46037</v>
      </c>
      <c r="K3492" s="149" t="s">
        <v>66</v>
      </c>
      <c r="L3492" s="78" t="s">
        <v>222</v>
      </c>
      <c r="M3492" s="119">
        <v>2120</v>
      </c>
    </row>
    <row r="3493" spans="5:13" ht="15.75" x14ac:dyDescent="0.25">
      <c r="E3493" s="117"/>
      <c r="F3493" s="78" t="s">
        <v>590</v>
      </c>
      <c r="G3493" s="166"/>
      <c r="H3493" s="167">
        <v>3520</v>
      </c>
      <c r="I3493" s="78"/>
      <c r="J3493" s="184"/>
      <c r="K3493" s="185" t="s">
        <v>281</v>
      </c>
      <c r="L3493" s="185"/>
      <c r="M3493" s="140">
        <v>11900</v>
      </c>
    </row>
    <row r="3494" spans="5:13" ht="15.75" x14ac:dyDescent="0.25">
      <c r="E3494" s="117"/>
      <c r="F3494" s="78" t="s">
        <v>591</v>
      </c>
      <c r="G3494" s="166"/>
      <c r="H3494" s="167">
        <v>2200</v>
      </c>
      <c r="I3494" s="119"/>
      <c r="J3494" s="184"/>
      <c r="K3494" s="78" t="s">
        <v>820</v>
      </c>
      <c r="L3494" s="185" t="s">
        <v>819</v>
      </c>
      <c r="M3494" s="140">
        <v>570</v>
      </c>
    </row>
    <row r="3495" spans="5:13" ht="15.75" x14ac:dyDescent="0.25">
      <c r="E3495" s="117"/>
      <c r="F3495" s="78" t="s">
        <v>616</v>
      </c>
      <c r="G3495" s="166"/>
      <c r="H3495" s="167">
        <v>580</v>
      </c>
      <c r="I3495" s="119"/>
      <c r="J3495" s="184"/>
      <c r="K3495" s="78" t="s">
        <v>82</v>
      </c>
      <c r="L3495" s="185"/>
      <c r="M3495" s="140">
        <v>2490</v>
      </c>
    </row>
    <row r="3496" spans="5:13" ht="15.75" x14ac:dyDescent="0.25">
      <c r="E3496" s="117">
        <v>46141</v>
      </c>
      <c r="F3496" s="215" t="s">
        <v>757</v>
      </c>
      <c r="G3496" s="166"/>
      <c r="H3496" s="167">
        <v>2700</v>
      </c>
      <c r="I3496" s="78"/>
      <c r="J3496" s="184"/>
      <c r="K3496" s="78"/>
      <c r="L3496" s="185"/>
      <c r="M3496" s="140">
        <v>54357.93</v>
      </c>
    </row>
    <row r="3497" spans="5:13" ht="15.75" x14ac:dyDescent="0.25">
      <c r="E3497" s="117">
        <v>46142</v>
      </c>
      <c r="F3497" s="78" t="s">
        <v>764</v>
      </c>
      <c r="G3497" s="166"/>
      <c r="H3497" s="167">
        <v>2002</v>
      </c>
      <c r="I3497" s="78"/>
      <c r="J3497" s="184"/>
      <c r="K3497" s="78"/>
      <c r="L3497" s="185"/>
      <c r="M3497" s="140"/>
    </row>
    <row r="3498" spans="5:13" ht="15.75" x14ac:dyDescent="0.25">
      <c r="E3498" s="117"/>
      <c r="F3498" s="215" t="s">
        <v>756</v>
      </c>
      <c r="G3498" s="166"/>
      <c r="H3498" s="167">
        <v>2650</v>
      </c>
      <c r="I3498" s="78"/>
      <c r="J3498" s="78"/>
      <c r="K3498" s="78"/>
      <c r="L3498" s="78"/>
      <c r="M3498" s="119"/>
    </row>
    <row r="3499" spans="5:13" ht="18.75" x14ac:dyDescent="0.3">
      <c r="E3499" s="117">
        <v>46144</v>
      </c>
      <c r="F3499" s="78" t="s">
        <v>769</v>
      </c>
      <c r="G3499" s="166"/>
      <c r="H3499" s="167">
        <v>3225</v>
      </c>
      <c r="J3499" s="78"/>
      <c r="K3499" s="126" t="s">
        <v>226</v>
      </c>
      <c r="L3499" s="126"/>
      <c r="M3499" s="127">
        <f>SUM(M3491:M3498)</f>
        <v>71437.929999999993</v>
      </c>
    </row>
    <row r="3500" spans="5:13" x14ac:dyDescent="0.25">
      <c r="E3500" s="117"/>
      <c r="F3500" s="78" t="s">
        <v>830</v>
      </c>
      <c r="G3500" s="166"/>
      <c r="H3500" s="234">
        <v>2730</v>
      </c>
    </row>
    <row r="3501" spans="5:13" x14ac:dyDescent="0.25">
      <c r="E3501" s="117"/>
      <c r="F3501" s="78" t="s">
        <v>836</v>
      </c>
      <c r="G3501" s="166"/>
      <c r="H3501" s="167">
        <v>350</v>
      </c>
      <c r="M3501" s="121"/>
    </row>
    <row r="3502" spans="5:13" x14ac:dyDescent="0.25">
      <c r="E3502" s="117"/>
      <c r="F3502" s="78"/>
      <c r="G3502" s="166"/>
      <c r="H3502" s="167"/>
      <c r="L3502" s="121"/>
    </row>
    <row r="3503" spans="5:13" x14ac:dyDescent="0.25">
      <c r="E3503" s="117">
        <v>46149</v>
      </c>
      <c r="F3503" s="78" t="s">
        <v>834</v>
      </c>
      <c r="G3503" s="166"/>
      <c r="H3503" s="167">
        <v>3090</v>
      </c>
      <c r="L3503" s="121"/>
    </row>
    <row r="3504" spans="5:13" x14ac:dyDescent="0.25">
      <c r="E3504" s="117">
        <v>46150</v>
      </c>
      <c r="F3504" s="78" t="s">
        <v>287</v>
      </c>
      <c r="G3504" s="166"/>
      <c r="H3504" s="234">
        <v>3540.6</v>
      </c>
    </row>
    <row r="3505" spans="5:13" ht="15.75" x14ac:dyDescent="0.25">
      <c r="E3505" s="117"/>
      <c r="F3505" s="78"/>
      <c r="G3505" s="166"/>
      <c r="H3505" s="167"/>
      <c r="J3505" s="316" t="s">
        <v>227</v>
      </c>
      <c r="K3505" s="317"/>
      <c r="L3505" s="140">
        <f>H3511-M3499</f>
        <v>91764.98000000001</v>
      </c>
    </row>
    <row r="3506" spans="5:13" ht="15.75" x14ac:dyDescent="0.25">
      <c r="E3506" s="78"/>
      <c r="F3506" s="78"/>
      <c r="G3506" s="78"/>
      <c r="H3506" s="122">
        <f>SUM(H3491:H3505)</f>
        <v>125342.86</v>
      </c>
      <c r="L3506" s="89"/>
    </row>
    <row r="3507" spans="5:13" ht="15.75" x14ac:dyDescent="0.25">
      <c r="H3507" s="157"/>
      <c r="I3507" s="121"/>
      <c r="J3507" s="128" t="s">
        <v>285</v>
      </c>
      <c r="L3507" s="124">
        <f>G3545</f>
        <v>5383.7200000000039</v>
      </c>
    </row>
    <row r="3508" spans="5:13" x14ac:dyDescent="0.25">
      <c r="G3508" s="101" t="s">
        <v>224</v>
      </c>
      <c r="H3508" s="101">
        <v>37860.050000000003</v>
      </c>
    </row>
    <row r="3509" spans="5:13" x14ac:dyDescent="0.25">
      <c r="E3509" s="121"/>
    </row>
    <row r="3511" spans="5:13" ht="21" x14ac:dyDescent="0.35">
      <c r="E3511" s="121"/>
      <c r="G3511" s="99" t="s">
        <v>225</v>
      </c>
      <c r="H3511" s="125">
        <f>SUM(H3506+H3508)</f>
        <v>163202.91</v>
      </c>
      <c r="K3511" s="198" t="s">
        <v>286</v>
      </c>
      <c r="L3511" s="137">
        <f>SUM(L3505:L3507)</f>
        <v>97148.700000000012</v>
      </c>
    </row>
    <row r="3512" spans="5:13" x14ac:dyDescent="0.25">
      <c r="E3512" s="121"/>
      <c r="L3512" s="157">
        <v>96743.7</v>
      </c>
      <c r="M3512" s="39" t="s">
        <v>76</v>
      </c>
    </row>
    <row r="3514" spans="5:13" ht="18.75" x14ac:dyDescent="0.3">
      <c r="L3514" s="154">
        <f>L3511-L3512</f>
        <v>405.00000000001455</v>
      </c>
    </row>
    <row r="3515" spans="5:13" ht="18.75" x14ac:dyDescent="0.3">
      <c r="L3515" s="125"/>
    </row>
    <row r="3516" spans="5:13" ht="18.75" x14ac:dyDescent="0.3">
      <c r="L3516" s="125"/>
    </row>
    <row r="3518" spans="5:13" x14ac:dyDescent="0.25">
      <c r="E3518" s="91"/>
      <c r="I3518" s="121"/>
      <c r="L3518" s="121"/>
    </row>
    <row r="3519" spans="5:13" x14ac:dyDescent="0.25">
      <c r="I3519" s="121"/>
    </row>
    <row r="3520" spans="5:13" ht="15.75" x14ac:dyDescent="0.25">
      <c r="F3520" s="132" t="s">
        <v>235</v>
      </c>
      <c r="G3520" s="133">
        <v>31309.52</v>
      </c>
    </row>
    <row r="3521" spans="5:11" x14ac:dyDescent="0.25">
      <c r="F3521" s="139" t="s">
        <v>789</v>
      </c>
      <c r="G3521" s="138">
        <v>-585</v>
      </c>
    </row>
    <row r="3522" spans="5:11" x14ac:dyDescent="0.25">
      <c r="F3522" s="163" t="s">
        <v>788</v>
      </c>
      <c r="G3522" s="164">
        <v>100</v>
      </c>
    </row>
    <row r="3523" spans="5:11" x14ac:dyDescent="0.25">
      <c r="F3523" s="163" t="s">
        <v>790</v>
      </c>
      <c r="G3523" s="164">
        <v>485</v>
      </c>
    </row>
    <row r="3524" spans="5:11" ht="15.75" x14ac:dyDescent="0.25">
      <c r="F3524" s="163" t="s">
        <v>792</v>
      </c>
      <c r="G3524" s="164">
        <v>2520</v>
      </c>
      <c r="J3524" s="322" t="s">
        <v>570</v>
      </c>
      <c r="K3524" s="322"/>
    </row>
    <row r="3525" spans="5:11" x14ac:dyDescent="0.25">
      <c r="F3525" s="163" t="s">
        <v>93</v>
      </c>
      <c r="G3525" s="164">
        <v>3165</v>
      </c>
    </row>
    <row r="3526" spans="5:11" x14ac:dyDescent="0.25">
      <c r="E3526" s="91">
        <v>46147</v>
      </c>
      <c r="F3526" s="163" t="s">
        <v>802</v>
      </c>
      <c r="G3526" s="164">
        <v>-30000</v>
      </c>
      <c r="J3526" s="220" t="s">
        <v>595</v>
      </c>
      <c r="K3526" s="221">
        <v>12711.83</v>
      </c>
    </row>
    <row r="3527" spans="5:11" x14ac:dyDescent="0.25">
      <c r="F3527" s="163" t="s">
        <v>805</v>
      </c>
      <c r="G3527" s="164">
        <v>3360</v>
      </c>
      <c r="J3527" s="150" t="s">
        <v>787</v>
      </c>
      <c r="K3527" s="151">
        <v>-815</v>
      </c>
    </row>
    <row r="3528" spans="5:11" x14ac:dyDescent="0.25">
      <c r="F3528" s="150" t="s">
        <v>809</v>
      </c>
      <c r="G3528" s="151">
        <v>-30</v>
      </c>
      <c r="J3528" s="150" t="s">
        <v>793</v>
      </c>
      <c r="K3528" s="151">
        <v>-60</v>
      </c>
    </row>
    <row r="3529" spans="5:11" x14ac:dyDescent="0.25">
      <c r="F3529" s="163" t="s">
        <v>810</v>
      </c>
      <c r="G3529" s="164">
        <v>2650</v>
      </c>
      <c r="J3529" s="150" t="s">
        <v>797</v>
      </c>
      <c r="K3529" s="151">
        <v>-450</v>
      </c>
    </row>
    <row r="3530" spans="5:11" x14ac:dyDescent="0.25">
      <c r="F3530" s="163" t="s">
        <v>93</v>
      </c>
      <c r="G3530" s="164">
        <v>4734</v>
      </c>
      <c r="J3530" s="150" t="s">
        <v>798</v>
      </c>
      <c r="K3530" s="151">
        <v>-4504.8</v>
      </c>
    </row>
    <row r="3531" spans="5:11" x14ac:dyDescent="0.25">
      <c r="E3531" s="91">
        <v>46148</v>
      </c>
      <c r="F3531" s="163" t="s">
        <v>250</v>
      </c>
      <c r="G3531" s="164">
        <v>-242</v>
      </c>
      <c r="J3531" s="150" t="s">
        <v>804</v>
      </c>
      <c r="K3531" s="151">
        <v>3150</v>
      </c>
    </row>
    <row r="3532" spans="5:11" x14ac:dyDescent="0.25">
      <c r="F3532" s="139" t="s">
        <v>817</v>
      </c>
      <c r="G3532" s="138">
        <v>-10</v>
      </c>
      <c r="J3532" s="150" t="s">
        <v>798</v>
      </c>
      <c r="K3532" s="151">
        <v>-13604.1</v>
      </c>
    </row>
    <row r="3533" spans="5:11" x14ac:dyDescent="0.25">
      <c r="F3533" s="71" t="s">
        <v>821</v>
      </c>
      <c r="G3533" s="186">
        <v>270</v>
      </c>
      <c r="J3533" s="150" t="s">
        <v>809</v>
      </c>
      <c r="K3533" s="151">
        <v>-30</v>
      </c>
    </row>
    <row r="3534" spans="5:11" x14ac:dyDescent="0.25">
      <c r="F3534" s="139" t="s">
        <v>822</v>
      </c>
      <c r="G3534" s="138">
        <v>-44</v>
      </c>
      <c r="J3534" s="150" t="s">
        <v>812</v>
      </c>
      <c r="K3534" s="151">
        <v>-1440</v>
      </c>
    </row>
    <row r="3535" spans="5:11" x14ac:dyDescent="0.25">
      <c r="E3535" s="91">
        <v>46149</v>
      </c>
      <c r="F3535" s="139" t="s">
        <v>825</v>
      </c>
      <c r="G3535" s="138">
        <v>-15000</v>
      </c>
      <c r="J3535" s="150" t="s">
        <v>816</v>
      </c>
      <c r="K3535" s="151">
        <v>-300</v>
      </c>
    </row>
    <row r="3536" spans="5:11" x14ac:dyDescent="0.25">
      <c r="F3536" s="139" t="s">
        <v>826</v>
      </c>
      <c r="G3536" s="138">
        <v>-1020</v>
      </c>
      <c r="J3536" s="150" t="s">
        <v>833</v>
      </c>
      <c r="K3536" s="151">
        <v>60000</v>
      </c>
    </row>
    <row r="3537" spans="5:11" x14ac:dyDescent="0.25">
      <c r="F3537" s="139" t="s">
        <v>827</v>
      </c>
      <c r="G3537" s="138">
        <v>1224</v>
      </c>
      <c r="J3537" s="150" t="s">
        <v>374</v>
      </c>
      <c r="K3537" s="151">
        <v>-300</v>
      </c>
    </row>
    <row r="3538" spans="5:11" x14ac:dyDescent="0.25">
      <c r="F3538" s="139" t="s">
        <v>828</v>
      </c>
      <c r="G3538" s="138">
        <v>-10</v>
      </c>
      <c r="J3538" s="150"/>
      <c r="K3538" s="151"/>
    </row>
    <row r="3539" spans="5:11" x14ac:dyDescent="0.25">
      <c r="F3539" s="139" t="s">
        <v>829</v>
      </c>
      <c r="G3539" s="138">
        <v>-710</v>
      </c>
    </row>
    <row r="3540" spans="5:11" ht="15.75" x14ac:dyDescent="0.25">
      <c r="F3540" s="139" t="s">
        <v>93</v>
      </c>
      <c r="G3540" s="138">
        <v>1015</v>
      </c>
      <c r="K3540" s="133">
        <f>SUM(K3526:K3539)</f>
        <v>54357.93</v>
      </c>
    </row>
    <row r="3541" spans="5:11" x14ac:dyDescent="0.25">
      <c r="E3541" s="91">
        <v>46150</v>
      </c>
      <c r="F3541" s="139" t="s">
        <v>840</v>
      </c>
      <c r="G3541" s="138">
        <v>2300</v>
      </c>
    </row>
    <row r="3542" spans="5:11" x14ac:dyDescent="0.25">
      <c r="E3542" s="91"/>
      <c r="F3542" s="139" t="s">
        <v>250</v>
      </c>
      <c r="G3542" s="138">
        <v>-97.8</v>
      </c>
    </row>
    <row r="3543" spans="5:11" x14ac:dyDescent="0.25">
      <c r="E3543" s="91"/>
      <c r="F3543" s="139"/>
      <c r="G3543" s="138"/>
    </row>
    <row r="3545" spans="5:11" ht="15.75" x14ac:dyDescent="0.25">
      <c r="F3545" s="132" t="s">
        <v>236</v>
      </c>
      <c r="G3545" s="133">
        <f>SUM(G3520:G3544)</f>
        <v>5383.7200000000039</v>
      </c>
    </row>
    <row r="3548" spans="5:11" x14ac:dyDescent="0.25">
      <c r="E3548" s="91"/>
      <c r="G3548">
        <v>-11.9</v>
      </c>
    </row>
    <row r="3549" spans="5:11" x14ac:dyDescent="0.25">
      <c r="E3549" s="91"/>
    </row>
    <row r="3550" spans="5:11" x14ac:dyDescent="0.25">
      <c r="E3550" s="91"/>
      <c r="F3550" s="39"/>
      <c r="G3550" s="157">
        <f>SUM(G3545:G3549)</f>
        <v>5371.8200000000043</v>
      </c>
    </row>
    <row r="3551" spans="5:11" x14ac:dyDescent="0.25">
      <c r="E3551" s="91"/>
    </row>
    <row r="3552" spans="5:11" x14ac:dyDescent="0.25">
      <c r="E3552" s="91"/>
    </row>
    <row r="3553" spans="5:7" x14ac:dyDescent="0.25">
      <c r="E3553" s="91"/>
    </row>
    <row r="3554" spans="5:7" x14ac:dyDescent="0.25">
      <c r="E3554" s="91"/>
    </row>
    <row r="3556" spans="5:7" x14ac:dyDescent="0.25">
      <c r="E3556" s="91">
        <v>46146</v>
      </c>
    </row>
    <row r="3557" spans="5:7" ht="15.75" x14ac:dyDescent="0.25">
      <c r="F3557" s="166" t="s">
        <v>429</v>
      </c>
      <c r="G3557" s="131">
        <v>12215.05</v>
      </c>
    </row>
    <row r="3558" spans="5:7" x14ac:dyDescent="0.25">
      <c r="F3558" s="178" t="s">
        <v>797</v>
      </c>
      <c r="G3558" s="179">
        <v>-450</v>
      </c>
    </row>
    <row r="3559" spans="5:7" x14ac:dyDescent="0.25">
      <c r="F3559" s="178" t="s">
        <v>798</v>
      </c>
      <c r="G3559" s="179">
        <v>-4504.8</v>
      </c>
    </row>
    <row r="3560" spans="5:7" x14ac:dyDescent="0.25">
      <c r="F3560" s="178" t="s">
        <v>535</v>
      </c>
      <c r="G3560" s="179">
        <v>-0.2</v>
      </c>
    </row>
    <row r="3561" spans="5:7" x14ac:dyDescent="0.25">
      <c r="E3561" s="91">
        <v>46147</v>
      </c>
      <c r="F3561" s="178" t="s">
        <v>803</v>
      </c>
      <c r="G3561" s="179">
        <v>30000</v>
      </c>
    </row>
    <row r="3562" spans="5:7" x14ac:dyDescent="0.25">
      <c r="F3562" s="178" t="s">
        <v>272</v>
      </c>
      <c r="G3562" s="179">
        <v>-437.69</v>
      </c>
    </row>
    <row r="3563" spans="5:7" x14ac:dyDescent="0.25">
      <c r="F3563" s="233" t="s">
        <v>804</v>
      </c>
      <c r="G3563" s="179">
        <v>3150</v>
      </c>
    </row>
    <row r="3564" spans="5:7" x14ac:dyDescent="0.25">
      <c r="F3564" s="178" t="s">
        <v>798</v>
      </c>
      <c r="G3564" s="179">
        <v>-13604.1</v>
      </c>
    </row>
    <row r="3565" spans="5:7" x14ac:dyDescent="0.25">
      <c r="F3565" s="178" t="s">
        <v>806</v>
      </c>
      <c r="G3565" s="179">
        <v>-1400</v>
      </c>
    </row>
    <row r="3566" spans="5:7" x14ac:dyDescent="0.25">
      <c r="F3566" s="178" t="s">
        <v>808</v>
      </c>
      <c r="G3566" s="179">
        <v>-7000</v>
      </c>
    </row>
    <row r="3567" spans="5:7" x14ac:dyDescent="0.25">
      <c r="F3567" s="178" t="s">
        <v>535</v>
      </c>
      <c r="G3567" s="179">
        <v>-2.7</v>
      </c>
    </row>
    <row r="3568" spans="5:7" x14ac:dyDescent="0.25">
      <c r="E3568" s="91">
        <v>46148</v>
      </c>
      <c r="F3568" s="214" t="s">
        <v>815</v>
      </c>
      <c r="G3568" s="219">
        <v>2680</v>
      </c>
    </row>
    <row r="3569" spans="6:7" x14ac:dyDescent="0.25">
      <c r="F3569" s="178" t="s">
        <v>813</v>
      </c>
      <c r="G3569" s="179">
        <v>-166.4</v>
      </c>
    </row>
    <row r="3570" spans="6:7" x14ac:dyDescent="0.25">
      <c r="F3570" s="177" t="s">
        <v>818</v>
      </c>
      <c r="G3570" s="188">
        <v>-20</v>
      </c>
    </row>
    <row r="3571" spans="6:7" x14ac:dyDescent="0.25">
      <c r="F3571" s="177" t="s">
        <v>535</v>
      </c>
      <c r="G3571" s="188">
        <v>-0.1</v>
      </c>
    </row>
    <row r="3572" spans="6:7" x14ac:dyDescent="0.25">
      <c r="F3572" s="177" t="s">
        <v>803</v>
      </c>
      <c r="G3572" s="188">
        <v>12500</v>
      </c>
    </row>
    <row r="3573" spans="6:7" x14ac:dyDescent="0.25">
      <c r="F3573" s="177" t="s">
        <v>803</v>
      </c>
      <c r="G3573" s="188">
        <v>35200</v>
      </c>
    </row>
    <row r="3574" spans="6:7" x14ac:dyDescent="0.25">
      <c r="F3574" s="177" t="s">
        <v>803</v>
      </c>
      <c r="G3574" s="188">
        <v>15280</v>
      </c>
    </row>
    <row r="3575" spans="6:7" x14ac:dyDescent="0.25">
      <c r="F3575" s="177" t="s">
        <v>803</v>
      </c>
      <c r="G3575" s="188">
        <v>5760</v>
      </c>
    </row>
    <row r="3576" spans="6:7" x14ac:dyDescent="0.25">
      <c r="F3576" s="177" t="s">
        <v>803</v>
      </c>
      <c r="G3576" s="188">
        <v>6260</v>
      </c>
    </row>
    <row r="3577" spans="6:7" x14ac:dyDescent="0.25">
      <c r="F3577" s="177" t="s">
        <v>835</v>
      </c>
      <c r="G3577" s="188">
        <v>3000</v>
      </c>
    </row>
    <row r="3578" spans="6:7" x14ac:dyDescent="0.25">
      <c r="F3578" s="177" t="s">
        <v>839</v>
      </c>
      <c r="G3578" s="188">
        <v>-3000</v>
      </c>
    </row>
    <row r="3579" spans="6:7" x14ac:dyDescent="0.25">
      <c r="F3579" s="177" t="s">
        <v>535</v>
      </c>
      <c r="G3579" s="188">
        <v>-3.8</v>
      </c>
    </row>
    <row r="3580" spans="6:7" x14ac:dyDescent="0.25">
      <c r="F3580" s="177"/>
      <c r="G3580" s="188"/>
    </row>
    <row r="3581" spans="6:7" x14ac:dyDescent="0.25">
      <c r="F3581" s="78"/>
      <c r="G3581" s="78"/>
    </row>
    <row r="3582" spans="6:7" ht="15.75" x14ac:dyDescent="0.25">
      <c r="F3582" s="78" t="s">
        <v>596</v>
      </c>
      <c r="G3582" s="189">
        <f>SUM(G3557:G3581)</f>
        <v>95455.26</v>
      </c>
    </row>
    <row r="3596" spans="5:13" ht="18.75" x14ac:dyDescent="0.3">
      <c r="E3596" s="314" t="s">
        <v>844</v>
      </c>
      <c r="F3596" s="315"/>
      <c r="G3596" s="315"/>
      <c r="H3596" s="315"/>
      <c r="I3596" s="315"/>
      <c r="J3596" s="315"/>
      <c r="K3596" s="315"/>
      <c r="L3596" s="315"/>
      <c r="M3596" s="315"/>
    </row>
    <row r="3597" spans="5:13" x14ac:dyDescent="0.25">
      <c r="E3597" s="78"/>
      <c r="F3597" s="78"/>
      <c r="G3597" s="78"/>
      <c r="H3597" s="78"/>
      <c r="I3597" s="78"/>
      <c r="J3597" s="78"/>
      <c r="K3597" s="78"/>
      <c r="L3597" s="78"/>
      <c r="M3597" s="78"/>
    </row>
    <row r="3598" spans="5:13" ht="15.75" x14ac:dyDescent="0.25">
      <c r="E3598" s="118" t="s">
        <v>223</v>
      </c>
      <c r="F3598" s="118" t="s">
        <v>206</v>
      </c>
      <c r="G3598" s="118" t="s">
        <v>207</v>
      </c>
      <c r="H3598" s="118" t="s">
        <v>218</v>
      </c>
      <c r="I3598" s="78"/>
      <c r="J3598" s="120" t="s">
        <v>6</v>
      </c>
      <c r="K3598" s="120" t="s">
        <v>217</v>
      </c>
      <c r="L3598" s="120" t="s">
        <v>207</v>
      </c>
      <c r="M3598" s="120" t="s">
        <v>218</v>
      </c>
    </row>
    <row r="3599" spans="5:13" x14ac:dyDescent="0.25">
      <c r="E3599" s="117">
        <v>46087</v>
      </c>
      <c r="F3599" s="78" t="s">
        <v>214</v>
      </c>
      <c r="G3599" s="155" t="s">
        <v>211</v>
      </c>
      <c r="H3599" s="156">
        <v>3200</v>
      </c>
      <c r="I3599" s="175"/>
      <c r="J3599" s="117"/>
      <c r="K3599" s="78"/>
      <c r="L3599" s="78"/>
      <c r="M3599" s="119"/>
    </row>
    <row r="3600" spans="5:13" ht="15.75" x14ac:dyDescent="0.25">
      <c r="E3600" s="78"/>
      <c r="F3600" s="201" t="s">
        <v>429</v>
      </c>
      <c r="G3600" s="201"/>
      <c r="H3600" s="183">
        <v>80217.570000000007</v>
      </c>
      <c r="I3600" s="78"/>
      <c r="J3600" s="117">
        <v>46037</v>
      </c>
      <c r="K3600" s="149" t="s">
        <v>66</v>
      </c>
      <c r="L3600" s="78" t="s">
        <v>222</v>
      </c>
      <c r="M3600" s="119">
        <v>2120</v>
      </c>
    </row>
    <row r="3601" spans="5:13" ht="15.75" x14ac:dyDescent="0.25">
      <c r="E3601" s="117"/>
      <c r="F3601" s="78" t="s">
        <v>590</v>
      </c>
      <c r="G3601" s="166"/>
      <c r="H3601" s="167">
        <v>3520</v>
      </c>
      <c r="I3601" s="78"/>
      <c r="J3601" s="184"/>
      <c r="K3601" s="78" t="s">
        <v>852</v>
      </c>
      <c r="L3601" s="185" t="s">
        <v>819</v>
      </c>
      <c r="M3601" s="140">
        <v>570</v>
      </c>
    </row>
    <row r="3602" spans="5:13" ht="15.75" x14ac:dyDescent="0.25">
      <c r="E3602" s="117"/>
      <c r="F3602" s="78" t="s">
        <v>591</v>
      </c>
      <c r="G3602" s="166"/>
      <c r="H3602" s="167">
        <v>2200</v>
      </c>
      <c r="I3602" s="119"/>
      <c r="J3602" s="184"/>
      <c r="K3602" s="185" t="s">
        <v>82</v>
      </c>
      <c r="L3602" s="185"/>
      <c r="M3602" s="140">
        <v>5810</v>
      </c>
    </row>
    <row r="3603" spans="5:13" ht="15.75" x14ac:dyDescent="0.25">
      <c r="E3603" s="117"/>
      <c r="F3603" s="78" t="s">
        <v>616</v>
      </c>
      <c r="G3603" s="166"/>
      <c r="H3603" s="167">
        <v>580</v>
      </c>
      <c r="I3603" s="119"/>
      <c r="J3603" s="184"/>
      <c r="K3603" s="149" t="s">
        <v>543</v>
      </c>
      <c r="L3603" s="185"/>
      <c r="M3603" s="140">
        <v>54357.93</v>
      </c>
    </row>
    <row r="3604" spans="5:13" ht="15.75" x14ac:dyDescent="0.25">
      <c r="E3604" s="117">
        <v>46141</v>
      </c>
      <c r="F3604" s="215" t="s">
        <v>757</v>
      </c>
      <c r="G3604" s="166"/>
      <c r="H3604" s="167">
        <v>2700</v>
      </c>
      <c r="I3604" s="78"/>
      <c r="J3604" s="184"/>
      <c r="K3604" s="78"/>
      <c r="L3604" s="185"/>
      <c r="M3604" s="140"/>
    </row>
    <row r="3605" spans="5:13" x14ac:dyDescent="0.25">
      <c r="E3605" s="117">
        <v>46142</v>
      </c>
      <c r="F3605" s="78" t="s">
        <v>764</v>
      </c>
      <c r="G3605" s="166"/>
      <c r="H3605" s="167">
        <v>2002</v>
      </c>
      <c r="I3605" s="78"/>
      <c r="J3605" s="78"/>
      <c r="K3605" s="78"/>
      <c r="L3605" s="78"/>
      <c r="M3605" s="119"/>
    </row>
    <row r="3606" spans="5:13" ht="18.75" x14ac:dyDescent="0.3">
      <c r="E3606" s="117"/>
      <c r="F3606" s="215" t="s">
        <v>756</v>
      </c>
      <c r="G3606" s="166"/>
      <c r="H3606" s="167">
        <v>2650</v>
      </c>
      <c r="I3606" s="78"/>
      <c r="J3606" s="78"/>
      <c r="K3606" s="126" t="s">
        <v>226</v>
      </c>
      <c r="L3606" s="126"/>
      <c r="M3606" s="127">
        <f>SUM(M3599:M3605)</f>
        <v>62857.93</v>
      </c>
    </row>
    <row r="3607" spans="5:13" x14ac:dyDescent="0.25">
      <c r="E3607" s="117">
        <v>46144</v>
      </c>
      <c r="F3607" s="78" t="s">
        <v>769</v>
      </c>
      <c r="G3607" s="166"/>
      <c r="H3607" s="167">
        <v>3225</v>
      </c>
    </row>
    <row r="3608" spans="5:13" x14ac:dyDescent="0.25">
      <c r="E3608" s="117"/>
      <c r="F3608" s="78" t="s">
        <v>830</v>
      </c>
      <c r="G3608" s="166"/>
      <c r="H3608" s="234">
        <v>2730</v>
      </c>
      <c r="M3608" s="121"/>
    </row>
    <row r="3609" spans="5:13" x14ac:dyDescent="0.25">
      <c r="E3609" s="117">
        <v>46149</v>
      </c>
      <c r="F3609" s="78" t="s">
        <v>836</v>
      </c>
      <c r="G3609" s="166"/>
      <c r="H3609" s="167">
        <v>350</v>
      </c>
      <c r="L3609" s="121"/>
    </row>
    <row r="3610" spans="5:13" x14ac:dyDescent="0.25">
      <c r="E3610" s="117"/>
      <c r="F3610" s="78"/>
      <c r="G3610" s="166"/>
      <c r="H3610" s="167"/>
      <c r="L3610" s="121"/>
    </row>
    <row r="3611" spans="5:13" x14ac:dyDescent="0.25">
      <c r="E3611" s="117">
        <v>46149</v>
      </c>
      <c r="F3611" s="78" t="s">
        <v>834</v>
      </c>
      <c r="G3611" s="166"/>
      <c r="H3611" s="167">
        <v>3090</v>
      </c>
    </row>
    <row r="3612" spans="5:13" ht="15.75" x14ac:dyDescent="0.25">
      <c r="E3612" s="117">
        <v>46150</v>
      </c>
      <c r="F3612" s="78" t="s">
        <v>287</v>
      </c>
      <c r="G3612" s="166"/>
      <c r="H3612" s="234">
        <v>3540.6</v>
      </c>
      <c r="J3612" s="316" t="s">
        <v>227</v>
      </c>
      <c r="K3612" s="317"/>
      <c r="L3612" s="140">
        <f>H3622-M3606</f>
        <v>92484.13</v>
      </c>
    </row>
    <row r="3613" spans="5:13" ht="15.75" x14ac:dyDescent="0.25">
      <c r="E3613" s="117"/>
      <c r="F3613" s="78"/>
      <c r="G3613" s="166"/>
      <c r="H3613" s="167">
        <v>3554.56</v>
      </c>
      <c r="L3613" s="89"/>
    </row>
    <row r="3614" spans="5:13" ht="15.75" x14ac:dyDescent="0.25">
      <c r="E3614" s="117">
        <v>46151</v>
      </c>
      <c r="F3614" s="78" t="s">
        <v>849</v>
      </c>
      <c r="G3614" s="166"/>
      <c r="H3614" s="167">
        <v>1050</v>
      </c>
      <c r="J3614" s="128" t="s">
        <v>285</v>
      </c>
      <c r="L3614" s="124">
        <f>G3662</f>
        <v>3988.7200000000039</v>
      </c>
    </row>
    <row r="3615" spans="5:13" x14ac:dyDescent="0.25">
      <c r="E3615" s="117">
        <v>46151</v>
      </c>
      <c r="F3615" s="78" t="s">
        <v>850</v>
      </c>
      <c r="G3615" s="166"/>
      <c r="H3615" s="167">
        <v>175</v>
      </c>
      <c r="I3615" s="121"/>
    </row>
    <row r="3616" spans="5:13" x14ac:dyDescent="0.25">
      <c r="E3616" s="117"/>
      <c r="F3616" s="78"/>
      <c r="G3616" s="166"/>
      <c r="H3616" s="167"/>
    </row>
    <row r="3617" spans="5:13" x14ac:dyDescent="0.25">
      <c r="E3617" s="78"/>
      <c r="F3617" s="78"/>
      <c r="G3617" s="78"/>
      <c r="H3617" s="122">
        <f>SUM(H3599:H3616)</f>
        <v>114784.73000000001</v>
      </c>
    </row>
    <row r="3618" spans="5:13" ht="21" x14ac:dyDescent="0.35">
      <c r="H3618" s="157"/>
      <c r="K3618" s="198" t="s">
        <v>286</v>
      </c>
      <c r="L3618" s="137">
        <f>SUM(L3612:L3614)</f>
        <v>96472.85</v>
      </c>
    </row>
    <row r="3619" spans="5:13" x14ac:dyDescent="0.25">
      <c r="G3619" s="101" t="s">
        <v>224</v>
      </c>
      <c r="H3619" s="101">
        <v>40557.33</v>
      </c>
      <c r="L3619" s="157">
        <v>97148.7</v>
      </c>
      <c r="M3619" s="39" t="s">
        <v>76</v>
      </c>
    </row>
    <row r="3620" spans="5:13" x14ac:dyDescent="0.25">
      <c r="E3620" s="121"/>
    </row>
    <row r="3621" spans="5:13" ht="18.75" x14ac:dyDescent="0.3">
      <c r="L3621" s="154">
        <f>L3618-L3619</f>
        <v>-675.84999999999127</v>
      </c>
    </row>
    <row r="3622" spans="5:13" ht="18.75" x14ac:dyDescent="0.3">
      <c r="E3622" s="121"/>
      <c r="G3622" s="99" t="s">
        <v>225</v>
      </c>
      <c r="H3622" s="125">
        <f>SUM(H3617+H3619)</f>
        <v>155342.06</v>
      </c>
      <c r="L3622" s="125"/>
    </row>
    <row r="3623" spans="5:13" ht="18.75" x14ac:dyDescent="0.3">
      <c r="E3623" s="121"/>
      <c r="L3623" s="125"/>
    </row>
    <row r="3625" spans="5:13" x14ac:dyDescent="0.25">
      <c r="L3625" s="121"/>
    </row>
    <row r="3626" spans="5:13" x14ac:dyDescent="0.25">
      <c r="I3626" s="121"/>
    </row>
    <row r="3627" spans="5:13" x14ac:dyDescent="0.25">
      <c r="I3627" s="121"/>
    </row>
    <row r="3629" spans="5:13" x14ac:dyDescent="0.25">
      <c r="E3629" s="91"/>
    </row>
    <row r="3631" spans="5:13" ht="15.75" x14ac:dyDescent="0.25">
      <c r="F3631" s="132" t="s">
        <v>235</v>
      </c>
      <c r="G3631" s="133">
        <v>31309.52</v>
      </c>
      <c r="J3631" s="322" t="s">
        <v>570</v>
      </c>
      <c r="K3631" s="322"/>
    </row>
    <row r="3632" spans="5:13" x14ac:dyDescent="0.25">
      <c r="F3632" s="139" t="s">
        <v>789</v>
      </c>
      <c r="G3632" s="138">
        <v>-585</v>
      </c>
    </row>
    <row r="3633" spans="5:11" x14ac:dyDescent="0.25">
      <c r="F3633" s="163" t="s">
        <v>788</v>
      </c>
      <c r="G3633" s="164">
        <v>100</v>
      </c>
      <c r="J3633" s="220" t="s">
        <v>595</v>
      </c>
      <c r="K3633" s="221">
        <v>12711.83</v>
      </c>
    </row>
    <row r="3634" spans="5:11" x14ac:dyDescent="0.25">
      <c r="F3634" s="163" t="s">
        <v>790</v>
      </c>
      <c r="G3634" s="164">
        <v>485</v>
      </c>
      <c r="J3634" s="150" t="s">
        <v>787</v>
      </c>
      <c r="K3634" s="151">
        <v>-815</v>
      </c>
    </row>
    <row r="3635" spans="5:11" x14ac:dyDescent="0.25">
      <c r="F3635" s="163" t="s">
        <v>792</v>
      </c>
      <c r="G3635" s="164">
        <v>2520</v>
      </c>
      <c r="J3635" s="150" t="s">
        <v>793</v>
      </c>
      <c r="K3635" s="151">
        <v>-60</v>
      </c>
    </row>
    <row r="3636" spans="5:11" x14ac:dyDescent="0.25">
      <c r="F3636" s="163" t="s">
        <v>93</v>
      </c>
      <c r="G3636" s="164">
        <v>3165</v>
      </c>
      <c r="J3636" s="150" t="s">
        <v>797</v>
      </c>
      <c r="K3636" s="151">
        <v>-450</v>
      </c>
    </row>
    <row r="3637" spans="5:11" x14ac:dyDescent="0.25">
      <c r="E3637" s="91">
        <v>46147</v>
      </c>
      <c r="F3637" s="163" t="s">
        <v>802</v>
      </c>
      <c r="G3637" s="164">
        <v>-30000</v>
      </c>
      <c r="J3637" s="150" t="s">
        <v>798</v>
      </c>
      <c r="K3637" s="151">
        <v>-4504.8</v>
      </c>
    </row>
    <row r="3638" spans="5:11" x14ac:dyDescent="0.25">
      <c r="F3638" s="163" t="s">
        <v>805</v>
      </c>
      <c r="G3638" s="164">
        <v>3360</v>
      </c>
      <c r="J3638" s="150" t="s">
        <v>804</v>
      </c>
      <c r="K3638" s="151">
        <v>3150</v>
      </c>
    </row>
    <row r="3639" spans="5:11" x14ac:dyDescent="0.25">
      <c r="F3639" s="150" t="s">
        <v>809</v>
      </c>
      <c r="G3639" s="151">
        <v>-30</v>
      </c>
      <c r="J3639" s="150" t="s">
        <v>798</v>
      </c>
      <c r="K3639" s="151">
        <v>-13604.1</v>
      </c>
    </row>
    <row r="3640" spans="5:11" x14ac:dyDescent="0.25">
      <c r="F3640" s="163" t="s">
        <v>810</v>
      </c>
      <c r="G3640" s="164">
        <v>2650</v>
      </c>
      <c r="J3640" s="150" t="s">
        <v>809</v>
      </c>
      <c r="K3640" s="151">
        <v>-30</v>
      </c>
    </row>
    <row r="3641" spans="5:11" x14ac:dyDescent="0.25">
      <c r="F3641" s="163" t="s">
        <v>93</v>
      </c>
      <c r="G3641" s="164">
        <v>4734</v>
      </c>
      <c r="J3641" s="150" t="s">
        <v>812</v>
      </c>
      <c r="K3641" s="151">
        <v>-1440</v>
      </c>
    </row>
    <row r="3642" spans="5:11" x14ac:dyDescent="0.25">
      <c r="E3642" s="91">
        <v>46148</v>
      </c>
      <c r="F3642" s="163" t="s">
        <v>250</v>
      </c>
      <c r="G3642" s="164">
        <v>-242</v>
      </c>
      <c r="J3642" s="150" t="s">
        <v>816</v>
      </c>
      <c r="K3642" s="151">
        <v>-300</v>
      </c>
    </row>
    <row r="3643" spans="5:11" x14ac:dyDescent="0.25">
      <c r="F3643" s="139" t="s">
        <v>817</v>
      </c>
      <c r="G3643" s="138">
        <v>-10</v>
      </c>
      <c r="J3643" s="150" t="s">
        <v>833</v>
      </c>
      <c r="K3643" s="151">
        <v>60000</v>
      </c>
    </row>
    <row r="3644" spans="5:11" x14ac:dyDescent="0.25">
      <c r="F3644" s="71" t="s">
        <v>821</v>
      </c>
      <c r="G3644" s="186">
        <v>270</v>
      </c>
      <c r="J3644" s="150" t="s">
        <v>374</v>
      </c>
      <c r="K3644" s="151">
        <v>-300</v>
      </c>
    </row>
    <row r="3645" spans="5:11" x14ac:dyDescent="0.25">
      <c r="F3645" s="139" t="s">
        <v>822</v>
      </c>
      <c r="G3645" s="138">
        <v>-44</v>
      </c>
      <c r="J3645" s="150"/>
      <c r="K3645" s="151"/>
    </row>
    <row r="3646" spans="5:11" x14ac:dyDescent="0.25">
      <c r="E3646" s="91">
        <v>46149</v>
      </c>
      <c r="F3646" s="139" t="s">
        <v>825</v>
      </c>
      <c r="G3646" s="138">
        <v>-15000</v>
      </c>
    </row>
    <row r="3647" spans="5:11" ht="15.75" x14ac:dyDescent="0.25">
      <c r="F3647" s="139" t="s">
        <v>826</v>
      </c>
      <c r="G3647" s="138">
        <v>-1020</v>
      </c>
      <c r="K3647" s="133">
        <f>SUM(K3633:K3646)</f>
        <v>54357.93</v>
      </c>
    </row>
    <row r="3648" spans="5:11" x14ac:dyDescent="0.25">
      <c r="F3648" s="139" t="s">
        <v>827</v>
      </c>
      <c r="G3648" s="138">
        <v>1224</v>
      </c>
    </row>
    <row r="3649" spans="5:7" x14ac:dyDescent="0.25">
      <c r="F3649" s="139" t="s">
        <v>828</v>
      </c>
      <c r="G3649" s="138">
        <v>-10</v>
      </c>
    </row>
    <row r="3650" spans="5:7" x14ac:dyDescent="0.25">
      <c r="F3650" s="139" t="s">
        <v>829</v>
      </c>
      <c r="G3650" s="138">
        <v>-710</v>
      </c>
    </row>
    <row r="3651" spans="5:7" x14ac:dyDescent="0.25">
      <c r="F3651" s="139" t="s">
        <v>93</v>
      </c>
      <c r="G3651" s="138">
        <v>1015</v>
      </c>
    </row>
    <row r="3652" spans="5:7" x14ac:dyDescent="0.25">
      <c r="E3652" s="91">
        <v>46150</v>
      </c>
      <c r="F3652" s="139" t="s">
        <v>840</v>
      </c>
      <c r="G3652" s="138">
        <v>2300</v>
      </c>
    </row>
    <row r="3653" spans="5:7" x14ac:dyDescent="0.25">
      <c r="E3653" s="91"/>
      <c r="F3653" s="139" t="s">
        <v>250</v>
      </c>
      <c r="G3653" s="138">
        <v>-97.8</v>
      </c>
    </row>
    <row r="3654" spans="5:7" x14ac:dyDescent="0.25">
      <c r="E3654" s="91"/>
      <c r="F3654" s="163" t="s">
        <v>719</v>
      </c>
      <c r="G3654" s="164">
        <v>65</v>
      </c>
    </row>
    <row r="3655" spans="5:7" x14ac:dyDescent="0.25">
      <c r="E3655" s="91"/>
      <c r="F3655" s="139" t="s">
        <v>855</v>
      </c>
      <c r="G3655" s="138">
        <v>-720</v>
      </c>
    </row>
    <row r="3656" spans="5:7" x14ac:dyDescent="0.25">
      <c r="E3656" s="91"/>
      <c r="F3656" s="39" t="s">
        <v>788</v>
      </c>
      <c r="G3656" s="157">
        <v>100</v>
      </c>
    </row>
    <row r="3657" spans="5:7" x14ac:dyDescent="0.25">
      <c r="F3657" s="39" t="s">
        <v>636</v>
      </c>
      <c r="G3657" s="157">
        <v>-440</v>
      </c>
    </row>
    <row r="3658" spans="5:7" x14ac:dyDescent="0.25">
      <c r="F3658" s="39" t="s">
        <v>574</v>
      </c>
      <c r="G3658" s="157">
        <v>-400</v>
      </c>
    </row>
    <row r="3659" spans="5:7" x14ac:dyDescent="0.25">
      <c r="F3659" s="39"/>
      <c r="G3659" s="157"/>
    </row>
    <row r="3660" spans="5:7" x14ac:dyDescent="0.25">
      <c r="F3660" s="39"/>
      <c r="G3660" s="157"/>
    </row>
    <row r="3662" spans="5:7" ht="15.75" x14ac:dyDescent="0.25">
      <c r="F3662" s="132" t="s">
        <v>236</v>
      </c>
      <c r="G3662" s="133">
        <f>SUM(G3631:G3661)</f>
        <v>3988.7200000000039</v>
      </c>
    </row>
    <row r="3663" spans="5:7" x14ac:dyDescent="0.25">
      <c r="E3663" s="91"/>
    </row>
    <row r="3664" spans="5:7" x14ac:dyDescent="0.25">
      <c r="E3664" s="91"/>
    </row>
    <row r="3665" spans="5:7" x14ac:dyDescent="0.25">
      <c r="E3665" s="91"/>
      <c r="G3665">
        <v>-11.9</v>
      </c>
    </row>
    <row r="3666" spans="5:7" x14ac:dyDescent="0.25">
      <c r="E3666" s="91"/>
    </row>
    <row r="3667" spans="5:7" x14ac:dyDescent="0.25">
      <c r="E3667" s="91"/>
      <c r="F3667" s="39"/>
      <c r="G3667" s="157">
        <f>SUM(G3662:G3666)</f>
        <v>3976.8200000000038</v>
      </c>
    </row>
    <row r="3668" spans="5:7" x14ac:dyDescent="0.25">
      <c r="E3668" s="91"/>
    </row>
    <row r="3669" spans="5:7" x14ac:dyDescent="0.25">
      <c r="E3669" s="91"/>
    </row>
    <row r="3671" spans="5:7" x14ac:dyDescent="0.25">
      <c r="E3671" s="91">
        <v>46146</v>
      </c>
    </row>
    <row r="3674" spans="5:7" ht="15.75" x14ac:dyDescent="0.25">
      <c r="F3674" s="166" t="s">
        <v>429</v>
      </c>
      <c r="G3674" s="131">
        <v>12215.05</v>
      </c>
    </row>
    <row r="3675" spans="5:7" x14ac:dyDescent="0.25">
      <c r="F3675" s="178" t="s">
        <v>797</v>
      </c>
      <c r="G3675" s="179">
        <v>-450</v>
      </c>
    </row>
    <row r="3676" spans="5:7" x14ac:dyDescent="0.25">
      <c r="E3676" s="91">
        <v>46147</v>
      </c>
      <c r="F3676" s="178" t="s">
        <v>798</v>
      </c>
      <c r="G3676" s="179">
        <v>-4504.8</v>
      </c>
    </row>
    <row r="3677" spans="5:7" x14ac:dyDescent="0.25">
      <c r="F3677" s="178" t="s">
        <v>535</v>
      </c>
      <c r="G3677" s="179">
        <v>-0.2</v>
      </c>
    </row>
    <row r="3678" spans="5:7" x14ac:dyDescent="0.25">
      <c r="F3678" s="178" t="s">
        <v>803</v>
      </c>
      <c r="G3678" s="179">
        <v>30000</v>
      </c>
    </row>
    <row r="3679" spans="5:7" x14ac:dyDescent="0.25">
      <c r="F3679" s="178" t="s">
        <v>272</v>
      </c>
      <c r="G3679" s="179">
        <v>-437.69</v>
      </c>
    </row>
    <row r="3680" spans="5:7" x14ac:dyDescent="0.25">
      <c r="F3680" s="233" t="s">
        <v>804</v>
      </c>
      <c r="G3680" s="179">
        <v>3150</v>
      </c>
    </row>
    <row r="3681" spans="5:7" x14ac:dyDescent="0.25">
      <c r="F3681" s="178" t="s">
        <v>798</v>
      </c>
      <c r="G3681" s="179">
        <v>-13604.1</v>
      </c>
    </row>
    <row r="3682" spans="5:7" x14ac:dyDescent="0.25">
      <c r="F3682" s="178" t="s">
        <v>806</v>
      </c>
      <c r="G3682" s="179">
        <v>-1400</v>
      </c>
    </row>
    <row r="3683" spans="5:7" x14ac:dyDescent="0.25">
      <c r="E3683" s="91">
        <v>46148</v>
      </c>
      <c r="F3683" s="178" t="s">
        <v>808</v>
      </c>
      <c r="G3683" s="179">
        <v>-7000</v>
      </c>
    </row>
    <row r="3684" spans="5:7" x14ac:dyDescent="0.25">
      <c r="F3684" s="178" t="s">
        <v>535</v>
      </c>
      <c r="G3684" s="179">
        <v>-2.7</v>
      </c>
    </row>
    <row r="3685" spans="5:7" x14ac:dyDescent="0.25">
      <c r="F3685" s="214" t="s">
        <v>815</v>
      </c>
      <c r="G3685" s="219">
        <v>2680</v>
      </c>
    </row>
    <row r="3686" spans="5:7" x14ac:dyDescent="0.25">
      <c r="F3686" s="178" t="s">
        <v>813</v>
      </c>
      <c r="G3686" s="179">
        <v>-166.4</v>
      </c>
    </row>
    <row r="3687" spans="5:7" x14ac:dyDescent="0.25">
      <c r="F3687" s="177" t="s">
        <v>818</v>
      </c>
      <c r="G3687" s="188">
        <v>-20</v>
      </c>
    </row>
    <row r="3688" spans="5:7" x14ac:dyDescent="0.25">
      <c r="F3688" s="177" t="s">
        <v>535</v>
      </c>
      <c r="G3688" s="188">
        <v>-0.1</v>
      </c>
    </row>
    <row r="3689" spans="5:7" x14ac:dyDescent="0.25">
      <c r="F3689" s="177" t="s">
        <v>803</v>
      </c>
      <c r="G3689" s="188">
        <v>12500</v>
      </c>
    </row>
    <row r="3690" spans="5:7" x14ac:dyDescent="0.25">
      <c r="F3690" s="177" t="s">
        <v>803</v>
      </c>
      <c r="G3690" s="188">
        <v>35200</v>
      </c>
    </row>
    <row r="3691" spans="5:7" x14ac:dyDescent="0.25">
      <c r="F3691" s="177" t="s">
        <v>803</v>
      </c>
      <c r="G3691" s="188">
        <v>15280</v>
      </c>
    </row>
    <row r="3692" spans="5:7" x14ac:dyDescent="0.25">
      <c r="F3692" s="177" t="s">
        <v>803</v>
      </c>
      <c r="G3692" s="188">
        <v>5760</v>
      </c>
    </row>
    <row r="3693" spans="5:7" x14ac:dyDescent="0.25">
      <c r="F3693" s="177" t="s">
        <v>803</v>
      </c>
      <c r="G3693" s="188">
        <v>6260</v>
      </c>
    </row>
    <row r="3694" spans="5:7" x14ac:dyDescent="0.25">
      <c r="F3694" s="177" t="s">
        <v>835</v>
      </c>
      <c r="G3694" s="188">
        <v>3000</v>
      </c>
    </row>
    <row r="3695" spans="5:7" x14ac:dyDescent="0.25">
      <c r="E3695" s="91">
        <v>46151</v>
      </c>
      <c r="F3695" s="177" t="s">
        <v>839</v>
      </c>
      <c r="G3695" s="188">
        <v>-3000</v>
      </c>
    </row>
    <row r="3696" spans="5:7" x14ac:dyDescent="0.25">
      <c r="F3696" s="177" t="s">
        <v>535</v>
      </c>
      <c r="G3696" s="188">
        <v>-3.8</v>
      </c>
    </row>
    <row r="3697" spans="6:7" x14ac:dyDescent="0.25">
      <c r="F3697" s="177" t="s">
        <v>848</v>
      </c>
      <c r="G3697" s="188">
        <v>-825</v>
      </c>
    </row>
    <row r="3698" spans="6:7" x14ac:dyDescent="0.25">
      <c r="F3698" s="177" t="s">
        <v>250</v>
      </c>
      <c r="G3698" s="188">
        <v>-412.69</v>
      </c>
    </row>
    <row r="3699" spans="6:7" x14ac:dyDescent="0.25">
      <c r="F3699" s="177" t="s">
        <v>851</v>
      </c>
      <c r="G3699" s="188">
        <v>-14000</v>
      </c>
    </row>
    <row r="3700" spans="6:7" x14ac:dyDescent="0.25">
      <c r="F3700" s="177"/>
      <c r="G3700" s="188"/>
    </row>
    <row r="3701" spans="6:7" x14ac:dyDescent="0.25">
      <c r="F3701" s="78"/>
      <c r="G3701" s="78"/>
    </row>
    <row r="3702" spans="6:7" ht="15.75" x14ac:dyDescent="0.25">
      <c r="F3702" s="78" t="s">
        <v>596</v>
      </c>
      <c r="G3702" s="189">
        <f>SUM(G3674:G3701)</f>
        <v>80217.569999999992</v>
      </c>
    </row>
    <row r="3715" spans="5:8" ht="18.75" x14ac:dyDescent="0.3">
      <c r="E3715" s="323" t="s">
        <v>853</v>
      </c>
      <c r="F3715" s="323"/>
      <c r="G3715" s="323"/>
      <c r="H3715" s="323"/>
    </row>
    <row r="3716" spans="5:8" ht="15.75" x14ac:dyDescent="0.25">
      <c r="E3716" s="117">
        <v>46141</v>
      </c>
      <c r="F3716" s="215" t="s">
        <v>757</v>
      </c>
      <c r="G3716" s="166"/>
      <c r="H3716" s="167">
        <v>2700</v>
      </c>
    </row>
    <row r="3717" spans="5:8" ht="15.75" x14ac:dyDescent="0.25">
      <c r="E3717" s="117"/>
      <c r="F3717" s="215" t="s">
        <v>756</v>
      </c>
      <c r="G3717" s="166"/>
      <c r="H3717" s="167">
        <v>2650</v>
      </c>
    </row>
    <row r="3718" spans="5:8" x14ac:dyDescent="0.25">
      <c r="E3718" s="117">
        <v>46151</v>
      </c>
      <c r="F3718" s="78" t="s">
        <v>849</v>
      </c>
      <c r="G3718" s="166"/>
      <c r="H3718" s="167">
        <v>1050</v>
      </c>
    </row>
    <row r="3719" spans="5:8" x14ac:dyDescent="0.25">
      <c r="E3719" s="91">
        <v>46144</v>
      </c>
      <c r="F3719" s="78" t="s">
        <v>875</v>
      </c>
      <c r="G3719" s="166"/>
      <c r="H3719" s="167">
        <v>3250</v>
      </c>
    </row>
    <row r="3720" spans="5:8" x14ac:dyDescent="0.25">
      <c r="E3720" s="187">
        <v>46151</v>
      </c>
      <c r="F3720" s="139" t="s">
        <v>854</v>
      </c>
      <c r="G3720" s="139"/>
      <c r="H3720" s="151">
        <v>-3000</v>
      </c>
    </row>
    <row r="3722" spans="5:8" ht="18.75" x14ac:dyDescent="0.3">
      <c r="G3722" s="235" t="s">
        <v>612</v>
      </c>
      <c r="H3722" s="236">
        <f>SUM(H3716:H3721)</f>
        <v>6650</v>
      </c>
    </row>
    <row r="3733" spans="5:13" ht="18.75" x14ac:dyDescent="0.3">
      <c r="E3733" s="314" t="s">
        <v>864</v>
      </c>
      <c r="F3733" s="315"/>
      <c r="G3733" s="315"/>
      <c r="H3733" s="315"/>
      <c r="I3733" s="315"/>
      <c r="J3733" s="315"/>
      <c r="K3733" s="315"/>
      <c r="L3733" s="315"/>
      <c r="M3733" s="315"/>
    </row>
    <row r="3734" spans="5:13" x14ac:dyDescent="0.25">
      <c r="E3734" s="78"/>
      <c r="F3734" s="78"/>
      <c r="G3734" s="78"/>
      <c r="H3734" s="78"/>
      <c r="I3734" s="78"/>
      <c r="J3734" s="78"/>
      <c r="K3734" s="78"/>
      <c r="L3734" s="78"/>
      <c r="M3734" s="78"/>
    </row>
    <row r="3735" spans="5:13" ht="15.75" x14ac:dyDescent="0.25">
      <c r="E3735" s="118" t="s">
        <v>223</v>
      </c>
      <c r="F3735" s="118" t="s">
        <v>206</v>
      </c>
      <c r="G3735" s="118" t="s">
        <v>207</v>
      </c>
      <c r="H3735" s="118" t="s">
        <v>218</v>
      </c>
      <c r="I3735" s="78"/>
      <c r="J3735" s="120" t="s">
        <v>6</v>
      </c>
      <c r="K3735" s="120" t="s">
        <v>217</v>
      </c>
      <c r="L3735" s="120" t="s">
        <v>207</v>
      </c>
      <c r="M3735" s="120" t="s">
        <v>218</v>
      </c>
    </row>
    <row r="3736" spans="5:13" x14ac:dyDescent="0.25">
      <c r="E3736" s="117">
        <v>46087</v>
      </c>
      <c r="F3736" s="78" t="s">
        <v>214</v>
      </c>
      <c r="G3736" s="155" t="s">
        <v>211</v>
      </c>
      <c r="H3736" s="156">
        <v>3200</v>
      </c>
      <c r="I3736" s="175"/>
      <c r="J3736" s="117"/>
      <c r="K3736" s="78"/>
      <c r="L3736" s="78"/>
      <c r="M3736" s="119"/>
    </row>
    <row r="3737" spans="5:13" ht="15.75" x14ac:dyDescent="0.25">
      <c r="E3737" s="78"/>
      <c r="F3737" s="201" t="s">
        <v>429</v>
      </c>
      <c r="G3737" s="201"/>
      <c r="H3737" s="183">
        <v>86830.87</v>
      </c>
      <c r="I3737" s="78"/>
      <c r="J3737" s="117">
        <v>46037</v>
      </c>
      <c r="K3737" s="149" t="s">
        <v>66</v>
      </c>
      <c r="L3737" s="78" t="s">
        <v>222</v>
      </c>
      <c r="M3737" s="119">
        <v>2120</v>
      </c>
    </row>
    <row r="3738" spans="5:13" ht="15.75" x14ac:dyDescent="0.25">
      <c r="E3738" s="117"/>
      <c r="F3738" s="78" t="s">
        <v>590</v>
      </c>
      <c r="G3738" s="166"/>
      <c r="H3738" s="167">
        <v>3520</v>
      </c>
      <c r="I3738" s="78"/>
      <c r="J3738" s="184"/>
      <c r="K3738" s="185" t="s">
        <v>82</v>
      </c>
      <c r="L3738" s="185"/>
      <c r="M3738" s="140">
        <v>5810</v>
      </c>
    </row>
    <row r="3739" spans="5:13" ht="15.75" x14ac:dyDescent="0.25">
      <c r="E3739" s="117"/>
      <c r="F3739" s="78" t="s">
        <v>591</v>
      </c>
      <c r="G3739" s="166"/>
      <c r="H3739" s="167">
        <v>2200</v>
      </c>
      <c r="I3739" s="119"/>
      <c r="J3739" s="184"/>
      <c r="K3739" s="149" t="s">
        <v>543</v>
      </c>
      <c r="L3739" s="185"/>
      <c r="M3739" s="140">
        <v>54357.93</v>
      </c>
    </row>
    <row r="3740" spans="5:13" ht="15.75" x14ac:dyDescent="0.25">
      <c r="E3740" s="117"/>
      <c r="F3740" s="78" t="s">
        <v>616</v>
      </c>
      <c r="G3740" s="166"/>
      <c r="H3740" s="167">
        <v>580</v>
      </c>
      <c r="I3740" s="119"/>
      <c r="J3740" s="184"/>
      <c r="K3740" s="78" t="s">
        <v>865</v>
      </c>
      <c r="L3740" s="185"/>
      <c r="M3740" s="140">
        <v>4340</v>
      </c>
    </row>
    <row r="3741" spans="5:13" ht="15.75" x14ac:dyDescent="0.25">
      <c r="E3741" s="117">
        <v>46142</v>
      </c>
      <c r="F3741" s="78" t="s">
        <v>764</v>
      </c>
      <c r="G3741" s="166"/>
      <c r="H3741" s="167">
        <v>2002</v>
      </c>
      <c r="I3741" s="78"/>
      <c r="J3741" s="184">
        <v>46153</v>
      </c>
      <c r="K3741" s="78" t="s">
        <v>216</v>
      </c>
      <c r="L3741" s="185"/>
      <c r="M3741" s="140">
        <v>6250</v>
      </c>
    </row>
    <row r="3742" spans="5:13" ht="15.75" x14ac:dyDescent="0.25">
      <c r="E3742" s="117">
        <v>46144</v>
      </c>
      <c r="F3742" s="78" t="s">
        <v>861</v>
      </c>
      <c r="G3742" s="166"/>
      <c r="H3742" s="167">
        <v>3225</v>
      </c>
      <c r="I3742" s="78"/>
      <c r="J3742" s="184"/>
      <c r="K3742" s="78"/>
      <c r="L3742" s="185"/>
      <c r="M3742" s="140"/>
    </row>
    <row r="3743" spans="5:13" x14ac:dyDescent="0.25">
      <c r="E3743" s="117">
        <v>46149</v>
      </c>
      <c r="F3743" s="78" t="s">
        <v>830</v>
      </c>
      <c r="G3743" s="166"/>
      <c r="H3743" s="234">
        <v>2730</v>
      </c>
      <c r="I3743" s="78"/>
      <c r="J3743" s="78"/>
      <c r="K3743" s="78"/>
      <c r="L3743" s="78"/>
      <c r="M3743" s="119"/>
    </row>
    <row r="3744" spans="5:13" ht="18.75" x14ac:dyDescent="0.3">
      <c r="E3744" s="117">
        <v>46149</v>
      </c>
      <c r="F3744" s="78" t="s">
        <v>836</v>
      </c>
      <c r="G3744" s="166"/>
      <c r="H3744" s="167">
        <v>350</v>
      </c>
      <c r="J3744" s="78"/>
      <c r="K3744" s="126" t="s">
        <v>226</v>
      </c>
      <c r="L3744" s="126"/>
      <c r="M3744" s="127">
        <f>SUM(M3736:M3743)</f>
        <v>72877.929999999993</v>
      </c>
    </row>
    <row r="3745" spans="5:13" x14ac:dyDescent="0.25">
      <c r="E3745" s="117">
        <v>46149</v>
      </c>
      <c r="F3745" s="78" t="s">
        <v>834</v>
      </c>
      <c r="G3745" s="166"/>
      <c r="H3745" s="167">
        <v>3090</v>
      </c>
    </row>
    <row r="3746" spans="5:13" x14ac:dyDescent="0.25">
      <c r="E3746" s="117">
        <v>46151</v>
      </c>
      <c r="F3746" s="78" t="s">
        <v>857</v>
      </c>
      <c r="G3746" s="166"/>
      <c r="H3746" s="167">
        <v>3400</v>
      </c>
      <c r="M3746" s="121"/>
    </row>
    <row r="3747" spans="5:13" x14ac:dyDescent="0.25">
      <c r="E3747" s="117">
        <v>46151</v>
      </c>
      <c r="F3747" s="78" t="s">
        <v>850</v>
      </c>
      <c r="G3747" s="166"/>
      <c r="H3747" s="167">
        <v>175</v>
      </c>
      <c r="L3747" s="121"/>
    </row>
    <row r="3748" spans="5:13" x14ac:dyDescent="0.25">
      <c r="E3748" s="237">
        <v>46153</v>
      </c>
      <c r="F3748" s="222" t="s">
        <v>867</v>
      </c>
      <c r="G3748" s="223"/>
      <c r="H3748" s="224">
        <v>5045</v>
      </c>
      <c r="L3748" s="121"/>
    </row>
    <row r="3749" spans="5:13" x14ac:dyDescent="0.25">
      <c r="E3749" s="117"/>
      <c r="F3749" s="78"/>
      <c r="G3749" s="166"/>
      <c r="H3749" s="167"/>
    </row>
    <row r="3750" spans="5:13" ht="15.75" x14ac:dyDescent="0.25">
      <c r="E3750" s="117"/>
      <c r="F3750" s="78"/>
      <c r="G3750" s="166"/>
      <c r="H3750" s="167"/>
      <c r="J3750" s="316" t="s">
        <v>227</v>
      </c>
      <c r="K3750" s="317"/>
      <c r="L3750" s="140">
        <f>H3756-M3744</f>
        <v>87415.270000000019</v>
      </c>
    </row>
    <row r="3751" spans="5:13" ht="15.75" x14ac:dyDescent="0.25">
      <c r="E3751" s="78"/>
      <c r="F3751" s="78"/>
      <c r="G3751" s="78"/>
      <c r="H3751" s="122">
        <f>SUM(H3736:H3750)</f>
        <v>116347.87</v>
      </c>
      <c r="L3751" s="89"/>
    </row>
    <row r="3752" spans="5:13" ht="15.75" x14ac:dyDescent="0.25">
      <c r="H3752" s="157"/>
      <c r="I3752" s="121"/>
      <c r="J3752" s="128" t="s">
        <v>285</v>
      </c>
      <c r="L3752" s="124">
        <f>G3772</f>
        <v>10986.32</v>
      </c>
    </row>
    <row r="3753" spans="5:13" x14ac:dyDescent="0.25">
      <c r="G3753" s="101" t="s">
        <v>224</v>
      </c>
      <c r="H3753" s="101">
        <v>43945.33</v>
      </c>
    </row>
    <row r="3754" spans="5:13" x14ac:dyDescent="0.25">
      <c r="E3754" s="121"/>
    </row>
    <row r="3756" spans="5:13" ht="21" x14ac:dyDescent="0.35">
      <c r="E3756" s="121"/>
      <c r="G3756" s="99" t="s">
        <v>225</v>
      </c>
      <c r="H3756" s="125">
        <f>SUM(H3751+H3753)</f>
        <v>160293.20000000001</v>
      </c>
      <c r="K3756" s="198" t="s">
        <v>286</v>
      </c>
      <c r="L3756" s="137">
        <f>SUM(L3750:L3752)</f>
        <v>98401.590000000026</v>
      </c>
    </row>
    <row r="3757" spans="5:13" x14ac:dyDescent="0.25">
      <c r="E3757" s="121"/>
      <c r="L3757" s="157">
        <v>96472.85</v>
      </c>
      <c r="M3757" s="39" t="s">
        <v>76</v>
      </c>
    </row>
    <row r="3759" spans="5:13" ht="18.75" x14ac:dyDescent="0.3">
      <c r="L3759" s="154">
        <f>L3756-L3757</f>
        <v>1928.7400000000198</v>
      </c>
    </row>
    <row r="3760" spans="5:13" ht="18.75" x14ac:dyDescent="0.3">
      <c r="L3760" s="125"/>
    </row>
    <row r="3761" spans="5:15" ht="18.75" x14ac:dyDescent="0.3">
      <c r="L3761" s="125"/>
    </row>
    <row r="3763" spans="5:15" x14ac:dyDescent="0.25">
      <c r="E3763" s="91"/>
      <c r="I3763" s="121"/>
      <c r="L3763" s="121"/>
      <c r="O3763" s="121"/>
    </row>
    <row r="3764" spans="5:15" x14ac:dyDescent="0.25">
      <c r="I3764" s="121"/>
    </row>
    <row r="3765" spans="5:15" ht="15.75" x14ac:dyDescent="0.25">
      <c r="F3765" s="132" t="s">
        <v>235</v>
      </c>
      <c r="G3765" s="133">
        <v>3988.72</v>
      </c>
    </row>
    <row r="3766" spans="5:15" x14ac:dyDescent="0.25">
      <c r="E3766" s="91">
        <v>46153</v>
      </c>
      <c r="F3766" s="91" t="s">
        <v>856</v>
      </c>
      <c r="G3766">
        <v>3000</v>
      </c>
    </row>
    <row r="3767" spans="5:15" x14ac:dyDescent="0.25">
      <c r="F3767" t="s">
        <v>866</v>
      </c>
      <c r="G3767">
        <v>485</v>
      </c>
      <c r="I3767">
        <f>5530-485</f>
        <v>5045</v>
      </c>
    </row>
    <row r="3768" spans="5:15" x14ac:dyDescent="0.25">
      <c r="F3768" s="139" t="s">
        <v>868</v>
      </c>
      <c r="G3768" s="139">
        <v>-1400</v>
      </c>
    </row>
    <row r="3769" spans="5:15" x14ac:dyDescent="0.25">
      <c r="F3769" t="s">
        <v>874</v>
      </c>
      <c r="G3769">
        <v>-50</v>
      </c>
      <c r="I3769" s="150"/>
    </row>
    <row r="3770" spans="5:15" ht="15.75" x14ac:dyDescent="0.25">
      <c r="F3770" t="s">
        <v>93</v>
      </c>
      <c r="G3770">
        <v>4962.6000000000004</v>
      </c>
      <c r="J3770" s="322" t="s">
        <v>570</v>
      </c>
      <c r="K3770" s="322"/>
    </row>
    <row r="3771" spans="5:15" x14ac:dyDescent="0.25">
      <c r="J3771" s="220" t="s">
        <v>595</v>
      </c>
      <c r="K3771" s="221">
        <v>54357.93</v>
      </c>
    </row>
    <row r="3772" spans="5:15" ht="15.75" x14ac:dyDescent="0.25">
      <c r="E3772" s="91"/>
      <c r="F3772" s="132" t="s">
        <v>236</v>
      </c>
      <c r="G3772" s="133">
        <f>SUM(G3765:G3771)</f>
        <v>10986.32</v>
      </c>
      <c r="J3772" s="150"/>
      <c r="K3772" s="151"/>
    </row>
    <row r="3773" spans="5:15" x14ac:dyDescent="0.25">
      <c r="E3773" s="91"/>
      <c r="J3773" s="150"/>
      <c r="K3773" s="151"/>
    </row>
    <row r="3774" spans="5:15" x14ac:dyDescent="0.25">
      <c r="E3774" s="91"/>
      <c r="J3774" s="150"/>
      <c r="K3774" s="151"/>
    </row>
    <row r="3775" spans="5:15" x14ac:dyDescent="0.25">
      <c r="E3775" s="91"/>
      <c r="G3775">
        <v>-11.9</v>
      </c>
    </row>
    <row r="3776" spans="5:15" ht="15.75" x14ac:dyDescent="0.25">
      <c r="E3776" s="91"/>
      <c r="K3776" s="133">
        <f>SUM(K3771:K3775)</f>
        <v>54357.93</v>
      </c>
    </row>
    <row r="3777" spans="5:7" x14ac:dyDescent="0.25">
      <c r="E3777" s="91"/>
      <c r="F3777" s="39"/>
      <c r="G3777" s="157">
        <f>SUM(G3772:G3776)</f>
        <v>10974.42</v>
      </c>
    </row>
    <row r="3778" spans="5:7" x14ac:dyDescent="0.25">
      <c r="E3778" s="91"/>
    </row>
    <row r="3780" spans="5:7" x14ac:dyDescent="0.25">
      <c r="E3780" s="91"/>
    </row>
    <row r="3784" spans="5:7" ht="15.75" x14ac:dyDescent="0.25">
      <c r="E3784" s="91">
        <v>46153</v>
      </c>
      <c r="F3784" s="166" t="s">
        <v>429</v>
      </c>
      <c r="G3784" s="131">
        <v>80217.570000000007</v>
      </c>
    </row>
    <row r="3785" spans="5:7" ht="15.75" x14ac:dyDescent="0.25">
      <c r="F3785" s="166" t="s">
        <v>858</v>
      </c>
      <c r="G3785" s="171">
        <v>3540.6</v>
      </c>
    </row>
    <row r="3786" spans="5:7" ht="15.75" x14ac:dyDescent="0.25">
      <c r="F3786" s="166" t="s">
        <v>859</v>
      </c>
      <c r="G3786" s="140">
        <v>3554.56</v>
      </c>
    </row>
    <row r="3787" spans="5:7" ht="15.75" x14ac:dyDescent="0.25">
      <c r="F3787" s="178" t="s">
        <v>272</v>
      </c>
      <c r="G3787" s="212">
        <v>-481.86</v>
      </c>
    </row>
    <row r="3788" spans="5:7" ht="15.75" x14ac:dyDescent="0.25">
      <c r="F3788" s="166"/>
      <c r="G3788" s="140"/>
    </row>
    <row r="3789" spans="5:7" ht="15.75" x14ac:dyDescent="0.25">
      <c r="F3789" s="166"/>
      <c r="G3789" s="140"/>
    </row>
    <row r="3790" spans="5:7" x14ac:dyDescent="0.25">
      <c r="F3790" s="78"/>
      <c r="G3790" s="78"/>
    </row>
    <row r="3791" spans="5:7" ht="15.75" x14ac:dyDescent="0.25">
      <c r="F3791" s="78" t="s">
        <v>596</v>
      </c>
      <c r="G3791" s="189">
        <f>SUM(G3784:G3790)</f>
        <v>86830.87000000001</v>
      </c>
    </row>
    <row r="3800" spans="5:8" ht="18.75" x14ac:dyDescent="0.3">
      <c r="H3800" s="238"/>
    </row>
    <row r="3801" spans="5:8" ht="18.75" x14ac:dyDescent="0.3">
      <c r="E3801" s="238" t="s">
        <v>374</v>
      </c>
      <c r="H3801" s="234">
        <v>1980</v>
      </c>
    </row>
    <row r="3802" spans="5:8" ht="18.75" x14ac:dyDescent="0.3">
      <c r="E3802" s="117"/>
      <c r="F3802" s="238"/>
      <c r="G3802" s="238"/>
      <c r="H3802" s="121">
        <v>750</v>
      </c>
    </row>
    <row r="3803" spans="5:8" ht="15.75" x14ac:dyDescent="0.25">
      <c r="F3803" s="78" t="s">
        <v>863</v>
      </c>
      <c r="G3803" s="166"/>
      <c r="H3803" s="171">
        <f>SUM(H3801:H3802)</f>
        <v>2730</v>
      </c>
    </row>
    <row r="3804" spans="5:8" x14ac:dyDescent="0.25">
      <c r="F3804" t="s">
        <v>862</v>
      </c>
    </row>
    <row r="3805" spans="5:8" x14ac:dyDescent="0.25">
      <c r="G3805" t="s">
        <v>763</v>
      </c>
    </row>
    <row r="3821" spans="5:13" ht="18.75" x14ac:dyDescent="0.3">
      <c r="E3821" s="314" t="s">
        <v>876</v>
      </c>
      <c r="F3821" s="315"/>
      <c r="G3821" s="315"/>
      <c r="H3821" s="315"/>
      <c r="I3821" s="315"/>
      <c r="J3821" s="315"/>
      <c r="K3821" s="315"/>
      <c r="L3821" s="315"/>
      <c r="M3821" s="315"/>
    </row>
    <row r="3822" spans="5:13" x14ac:dyDescent="0.25">
      <c r="E3822" s="78"/>
      <c r="F3822" s="78"/>
      <c r="G3822" s="78"/>
      <c r="H3822" s="78"/>
      <c r="I3822" s="78"/>
      <c r="J3822" s="78"/>
      <c r="K3822" s="78"/>
      <c r="L3822" s="78"/>
      <c r="M3822" s="78"/>
    </row>
    <row r="3823" spans="5:13" ht="15.75" x14ac:dyDescent="0.25">
      <c r="E3823" s="118" t="s">
        <v>223</v>
      </c>
      <c r="F3823" s="118" t="s">
        <v>206</v>
      </c>
      <c r="G3823" s="118" t="s">
        <v>207</v>
      </c>
      <c r="H3823" s="118" t="s">
        <v>218</v>
      </c>
      <c r="I3823" s="78"/>
      <c r="J3823" s="120" t="s">
        <v>6</v>
      </c>
      <c r="K3823" s="120" t="s">
        <v>217</v>
      </c>
      <c r="L3823" s="120" t="s">
        <v>207</v>
      </c>
      <c r="M3823" s="120" t="s">
        <v>218</v>
      </c>
    </row>
    <row r="3824" spans="5:13" x14ac:dyDescent="0.25">
      <c r="E3824" s="117">
        <v>46087</v>
      </c>
      <c r="F3824" s="78" t="s">
        <v>214</v>
      </c>
      <c r="G3824" s="155" t="s">
        <v>211</v>
      </c>
      <c r="H3824" s="156">
        <v>3200</v>
      </c>
      <c r="I3824" s="175"/>
      <c r="J3824" s="117"/>
      <c r="K3824" s="78"/>
      <c r="L3824" s="78"/>
      <c r="M3824" s="119"/>
    </row>
    <row r="3825" spans="5:13" ht="15.75" x14ac:dyDescent="0.25">
      <c r="E3825" s="78"/>
      <c r="F3825" s="201" t="s">
        <v>429</v>
      </c>
      <c r="G3825" s="201"/>
      <c r="H3825" s="183">
        <v>78364.570000000007</v>
      </c>
      <c r="I3825" s="78"/>
      <c r="J3825" s="117">
        <v>46037</v>
      </c>
      <c r="K3825" s="149" t="s">
        <v>66</v>
      </c>
      <c r="L3825" s="78" t="s">
        <v>222</v>
      </c>
      <c r="M3825" s="119">
        <v>2120</v>
      </c>
    </row>
    <row r="3826" spans="5:13" ht="15.75" x14ac:dyDescent="0.25">
      <c r="E3826" s="117"/>
      <c r="F3826" s="78" t="s">
        <v>590</v>
      </c>
      <c r="G3826" s="166"/>
      <c r="H3826" s="167">
        <v>3520</v>
      </c>
      <c r="I3826" s="78"/>
      <c r="J3826" s="184"/>
      <c r="K3826" s="149" t="s">
        <v>543</v>
      </c>
      <c r="L3826" s="185"/>
      <c r="M3826" s="140">
        <v>53387.93</v>
      </c>
    </row>
    <row r="3827" spans="5:13" ht="15.75" x14ac:dyDescent="0.25">
      <c r="E3827" s="117"/>
      <c r="F3827" s="78" t="s">
        <v>591</v>
      </c>
      <c r="G3827" s="166"/>
      <c r="H3827" s="167">
        <v>2200</v>
      </c>
      <c r="I3827" s="119"/>
      <c r="J3827" s="184"/>
      <c r="K3827" s="78" t="s">
        <v>865</v>
      </c>
      <c r="L3827" s="185"/>
      <c r="M3827" s="140">
        <v>4340</v>
      </c>
    </row>
    <row r="3828" spans="5:13" ht="15.75" x14ac:dyDescent="0.25">
      <c r="E3828" s="117"/>
      <c r="F3828" s="78" t="s">
        <v>616</v>
      </c>
      <c r="G3828" s="166"/>
      <c r="H3828" s="167">
        <v>580</v>
      </c>
      <c r="I3828" s="119"/>
      <c r="J3828" s="184">
        <v>46153</v>
      </c>
      <c r="K3828" s="78" t="s">
        <v>216</v>
      </c>
      <c r="L3828" s="185"/>
      <c r="M3828" s="140">
        <v>6250</v>
      </c>
    </row>
    <row r="3829" spans="5:13" ht="15.75" x14ac:dyDescent="0.25">
      <c r="E3829" s="117">
        <v>46142</v>
      </c>
      <c r="F3829" s="78" t="s">
        <v>764</v>
      </c>
      <c r="G3829" s="166"/>
      <c r="H3829" s="167">
        <v>2002</v>
      </c>
      <c r="I3829" s="78"/>
      <c r="J3829" s="184"/>
      <c r="K3829" s="78" t="s">
        <v>82</v>
      </c>
      <c r="L3829" s="185"/>
      <c r="M3829" s="140">
        <v>2400</v>
      </c>
    </row>
    <row r="3830" spans="5:13" ht="15.75" x14ac:dyDescent="0.25">
      <c r="E3830" s="117">
        <v>46144</v>
      </c>
      <c r="F3830" s="78" t="s">
        <v>861</v>
      </c>
      <c r="G3830" s="166"/>
      <c r="H3830" s="167">
        <v>3225</v>
      </c>
      <c r="I3830" s="78"/>
      <c r="J3830" s="184">
        <v>46154</v>
      </c>
      <c r="K3830" s="78" t="s">
        <v>886</v>
      </c>
      <c r="L3830" s="185"/>
      <c r="M3830" s="140">
        <v>1500</v>
      </c>
    </row>
    <row r="3831" spans="5:13" ht="15.75" x14ac:dyDescent="0.25">
      <c r="E3831" s="117">
        <v>46149</v>
      </c>
      <c r="F3831" s="78" t="s">
        <v>830</v>
      </c>
      <c r="G3831" s="166"/>
      <c r="H3831" s="234">
        <v>2730</v>
      </c>
      <c r="I3831" s="78"/>
      <c r="J3831" s="184"/>
      <c r="K3831" s="78"/>
      <c r="L3831" s="185"/>
      <c r="M3831" s="140"/>
    </row>
    <row r="3832" spans="5:13" x14ac:dyDescent="0.25">
      <c r="E3832" s="117">
        <v>46149</v>
      </c>
      <c r="F3832" s="78" t="s">
        <v>836</v>
      </c>
      <c r="G3832" s="166"/>
      <c r="H3832" s="167">
        <v>350</v>
      </c>
      <c r="J3832" s="78"/>
      <c r="K3832" s="78"/>
      <c r="L3832" s="78"/>
      <c r="M3832" s="119"/>
    </row>
    <row r="3833" spans="5:13" ht="18.75" x14ac:dyDescent="0.3">
      <c r="E3833" s="117">
        <v>46149</v>
      </c>
      <c r="F3833" s="78" t="s">
        <v>834</v>
      </c>
      <c r="G3833" s="166"/>
      <c r="H3833" s="167">
        <v>3090</v>
      </c>
      <c r="J3833" s="78"/>
      <c r="K3833" s="126" t="s">
        <v>226</v>
      </c>
      <c r="L3833" s="126"/>
      <c r="M3833" s="127">
        <f>SUM(M3824:M3832)</f>
        <v>69997.929999999993</v>
      </c>
    </row>
    <row r="3834" spans="5:13" x14ac:dyDescent="0.25">
      <c r="E3834" s="117">
        <v>46151</v>
      </c>
      <c r="F3834" s="78" t="s">
        <v>857</v>
      </c>
      <c r="G3834" s="166"/>
      <c r="H3834" s="167">
        <v>3400</v>
      </c>
    </row>
    <row r="3835" spans="5:13" x14ac:dyDescent="0.25">
      <c r="E3835" s="117">
        <v>46151</v>
      </c>
      <c r="F3835" s="78" t="s">
        <v>850</v>
      </c>
      <c r="G3835" s="166"/>
      <c r="H3835" s="167">
        <v>175</v>
      </c>
      <c r="M3835" s="121"/>
    </row>
    <row r="3836" spans="5:13" x14ac:dyDescent="0.25">
      <c r="E3836" s="237">
        <v>46153</v>
      </c>
      <c r="F3836" s="222" t="s">
        <v>867</v>
      </c>
      <c r="G3836" s="223"/>
      <c r="H3836" s="224">
        <v>5045</v>
      </c>
      <c r="L3836" s="121"/>
    </row>
    <row r="3837" spans="5:13" x14ac:dyDescent="0.25">
      <c r="E3837" s="117">
        <v>46154</v>
      </c>
      <c r="F3837" s="78" t="s">
        <v>882</v>
      </c>
      <c r="G3837" s="166"/>
      <c r="H3837" s="167">
        <v>3375</v>
      </c>
      <c r="L3837" s="121"/>
    </row>
    <row r="3838" spans="5:13" x14ac:dyDescent="0.25">
      <c r="E3838" s="117">
        <v>46154</v>
      </c>
      <c r="F3838" s="78" t="s">
        <v>885</v>
      </c>
      <c r="G3838" s="166"/>
      <c r="H3838" s="167">
        <v>1900</v>
      </c>
    </row>
    <row r="3839" spans="5:13" ht="15.75" x14ac:dyDescent="0.25">
      <c r="E3839" s="117">
        <v>46154</v>
      </c>
      <c r="F3839" s="78" t="s">
        <v>887</v>
      </c>
      <c r="G3839" s="166"/>
      <c r="H3839" s="167">
        <v>340</v>
      </c>
      <c r="J3839" s="316" t="s">
        <v>227</v>
      </c>
      <c r="K3839" s="317"/>
      <c r="L3839" s="140">
        <f>H3846-M3833</f>
        <v>85533.22000000003</v>
      </c>
    </row>
    <row r="3840" spans="5:13" ht="15.75" x14ac:dyDescent="0.25">
      <c r="E3840" s="117"/>
      <c r="F3840" s="78"/>
      <c r="G3840" s="166"/>
      <c r="H3840" s="167"/>
      <c r="I3840" s="121"/>
      <c r="L3840" s="89"/>
    </row>
    <row r="3841" spans="5:15" ht="15.75" x14ac:dyDescent="0.25">
      <c r="E3841" s="78"/>
      <c r="F3841" s="78"/>
      <c r="G3841" s="78"/>
      <c r="H3841" s="122">
        <f>SUM(H3824:H3840)</f>
        <v>113496.57</v>
      </c>
      <c r="J3841" s="128" t="s">
        <v>285</v>
      </c>
      <c r="L3841" s="124">
        <f>G3866</f>
        <v>14750.57</v>
      </c>
    </row>
    <row r="3842" spans="5:15" x14ac:dyDescent="0.25">
      <c r="H3842" s="157"/>
    </row>
    <row r="3843" spans="5:15" x14ac:dyDescent="0.25">
      <c r="G3843" s="101" t="s">
        <v>224</v>
      </c>
      <c r="H3843" s="101">
        <v>42034.58</v>
      </c>
    </row>
    <row r="3844" spans="5:15" x14ac:dyDescent="0.25">
      <c r="E3844" s="121"/>
    </row>
    <row r="3845" spans="5:15" ht="21" x14ac:dyDescent="0.35">
      <c r="K3845" s="198" t="s">
        <v>286</v>
      </c>
      <c r="L3845" s="137">
        <f>SUM(L3839:L3841)</f>
        <v>100283.79000000004</v>
      </c>
    </row>
    <row r="3846" spans="5:15" ht="18.75" x14ac:dyDescent="0.3">
      <c r="E3846" s="121"/>
      <c r="G3846" s="99" t="s">
        <v>225</v>
      </c>
      <c r="H3846" s="125">
        <f>SUM(H3841+H3843)</f>
        <v>155531.15000000002</v>
      </c>
      <c r="L3846" s="157">
        <v>98401.59</v>
      </c>
      <c r="M3846" s="39" t="s">
        <v>76</v>
      </c>
    </row>
    <row r="3847" spans="5:15" x14ac:dyDescent="0.25">
      <c r="E3847" s="121"/>
    </row>
    <row r="3848" spans="5:15" ht="18.75" x14ac:dyDescent="0.3">
      <c r="L3848" s="154">
        <f>L3845-L3846</f>
        <v>1882.2000000000407</v>
      </c>
    </row>
    <row r="3849" spans="5:15" ht="18.75" x14ac:dyDescent="0.3">
      <c r="L3849" s="125"/>
    </row>
    <row r="3850" spans="5:15" ht="18.75" x14ac:dyDescent="0.3">
      <c r="L3850" s="125"/>
    </row>
    <row r="3851" spans="5:15" x14ac:dyDescent="0.25">
      <c r="I3851" s="121"/>
      <c r="O3851" s="121"/>
    </row>
    <row r="3852" spans="5:15" x14ac:dyDescent="0.25">
      <c r="I3852" s="121"/>
      <c r="L3852" s="121"/>
    </row>
    <row r="3853" spans="5:15" x14ac:dyDescent="0.25">
      <c r="E3853" s="91"/>
    </row>
    <row r="3855" spans="5:15" ht="15.75" x14ac:dyDescent="0.25">
      <c r="F3855" s="132" t="s">
        <v>235</v>
      </c>
      <c r="G3855" s="133">
        <v>3988.72</v>
      </c>
    </row>
    <row r="3856" spans="5:15" x14ac:dyDescent="0.25">
      <c r="E3856" s="91">
        <v>46153</v>
      </c>
      <c r="F3856" s="91" t="s">
        <v>856</v>
      </c>
      <c r="G3856">
        <v>3000</v>
      </c>
    </row>
    <row r="3857" spans="5:11" x14ac:dyDescent="0.25">
      <c r="F3857" t="s">
        <v>866</v>
      </c>
      <c r="G3857">
        <v>485</v>
      </c>
      <c r="I3857" s="150"/>
    </row>
    <row r="3858" spans="5:11" x14ac:dyDescent="0.25">
      <c r="F3858" s="139" t="s">
        <v>868</v>
      </c>
      <c r="G3858" s="139">
        <v>-1400</v>
      </c>
    </row>
    <row r="3859" spans="5:11" ht="15.75" x14ac:dyDescent="0.25">
      <c r="F3859" t="s">
        <v>874</v>
      </c>
      <c r="G3859">
        <v>-50</v>
      </c>
      <c r="J3859" s="322" t="s">
        <v>570</v>
      </c>
      <c r="K3859" s="322"/>
    </row>
    <row r="3860" spans="5:11" x14ac:dyDescent="0.25">
      <c r="F3860" t="s">
        <v>93</v>
      </c>
      <c r="G3860">
        <v>4962.6000000000004</v>
      </c>
      <c r="J3860" s="220" t="s">
        <v>595</v>
      </c>
      <c r="K3860" s="221">
        <v>54357.93</v>
      </c>
    </row>
    <row r="3861" spans="5:11" x14ac:dyDescent="0.25">
      <c r="E3861" s="91">
        <v>46154</v>
      </c>
      <c r="F3861" t="s">
        <v>879</v>
      </c>
      <c r="G3861">
        <v>2000</v>
      </c>
      <c r="J3861" s="163" t="s">
        <v>878</v>
      </c>
      <c r="K3861" s="164">
        <v>-970</v>
      </c>
    </row>
    <row r="3862" spans="5:11" x14ac:dyDescent="0.25">
      <c r="E3862" s="91"/>
      <c r="F3862" t="s">
        <v>883</v>
      </c>
      <c r="G3862">
        <v>125.25</v>
      </c>
      <c r="J3862" s="150"/>
      <c r="K3862" s="151"/>
    </row>
    <row r="3863" spans="5:11" x14ac:dyDescent="0.25">
      <c r="E3863" s="91"/>
      <c r="F3863" t="s">
        <v>93</v>
      </c>
      <c r="G3863">
        <v>1544</v>
      </c>
      <c r="J3863" s="150"/>
      <c r="K3863" s="151"/>
    </row>
    <row r="3864" spans="5:11" x14ac:dyDescent="0.25">
      <c r="E3864" s="91"/>
      <c r="F3864" t="s">
        <v>892</v>
      </c>
      <c r="G3864">
        <v>95</v>
      </c>
    </row>
    <row r="3865" spans="5:11" ht="15.75" x14ac:dyDescent="0.25">
      <c r="E3865" s="91"/>
      <c r="K3865" s="133">
        <f>SUM(K3860:K3864)</f>
        <v>53387.93</v>
      </c>
    </row>
    <row r="3866" spans="5:11" ht="15.75" x14ac:dyDescent="0.25">
      <c r="E3866" s="91"/>
      <c r="F3866" s="132" t="s">
        <v>236</v>
      </c>
      <c r="G3866" s="133">
        <f>SUM(G3855:G3865)</f>
        <v>14750.57</v>
      </c>
    </row>
    <row r="3867" spans="5:11" x14ac:dyDescent="0.25">
      <c r="E3867" s="91"/>
    </row>
    <row r="3868" spans="5:11" x14ac:dyDescent="0.25">
      <c r="E3868" s="91"/>
    </row>
    <row r="3869" spans="5:11" x14ac:dyDescent="0.25">
      <c r="E3869" s="91"/>
      <c r="G3869">
        <v>-11.9</v>
      </c>
    </row>
    <row r="3870" spans="5:11" x14ac:dyDescent="0.25">
      <c r="E3870" s="91"/>
    </row>
    <row r="3871" spans="5:11" x14ac:dyDescent="0.25">
      <c r="F3871" s="39"/>
      <c r="G3871" s="157">
        <f>SUM(G3866:G3870)</f>
        <v>14738.67</v>
      </c>
    </row>
    <row r="3872" spans="5:11" x14ac:dyDescent="0.25">
      <c r="E3872" s="91"/>
    </row>
    <row r="3876" spans="5:7" x14ac:dyDescent="0.25">
      <c r="E3876" s="91">
        <v>46153</v>
      </c>
    </row>
    <row r="3878" spans="5:7" ht="15.75" x14ac:dyDescent="0.25">
      <c r="F3878" s="166" t="s">
        <v>429</v>
      </c>
      <c r="G3878" s="131">
        <v>80217.570000000007</v>
      </c>
    </row>
    <row r="3879" spans="5:7" ht="15.75" x14ac:dyDescent="0.25">
      <c r="F3879" s="166" t="s">
        <v>858</v>
      </c>
      <c r="G3879" s="171">
        <v>3540.6</v>
      </c>
    </row>
    <row r="3880" spans="5:7" ht="15.75" x14ac:dyDescent="0.25">
      <c r="F3880" s="166" t="s">
        <v>859</v>
      </c>
      <c r="G3880" s="140">
        <v>3554.56</v>
      </c>
    </row>
    <row r="3881" spans="5:7" ht="15.75" x14ac:dyDescent="0.25">
      <c r="F3881" s="178" t="s">
        <v>272</v>
      </c>
      <c r="G3881" s="212">
        <v>-481.86</v>
      </c>
    </row>
    <row r="3882" spans="5:7" ht="15.75" x14ac:dyDescent="0.25">
      <c r="F3882" s="178" t="s">
        <v>881</v>
      </c>
      <c r="G3882" s="212">
        <v>-3000</v>
      </c>
    </row>
    <row r="3883" spans="5:7" ht="15.75" x14ac:dyDescent="0.25">
      <c r="F3883" s="214" t="s">
        <v>605</v>
      </c>
      <c r="G3883" s="210">
        <v>355</v>
      </c>
    </row>
    <row r="3884" spans="5:7" ht="15.75" x14ac:dyDescent="0.25">
      <c r="F3884" s="178" t="s">
        <v>891</v>
      </c>
      <c r="G3884" s="212">
        <v>-10</v>
      </c>
    </row>
    <row r="3885" spans="5:7" ht="15.75" x14ac:dyDescent="0.25">
      <c r="F3885" s="178" t="s">
        <v>535</v>
      </c>
      <c r="G3885" s="212">
        <v>-1.3</v>
      </c>
    </row>
    <row r="3886" spans="5:7" ht="15.75" x14ac:dyDescent="0.25">
      <c r="F3886" s="178" t="s">
        <v>893</v>
      </c>
      <c r="G3886" s="212">
        <v>-5810</v>
      </c>
    </row>
    <row r="3887" spans="5:7" x14ac:dyDescent="0.25">
      <c r="F3887" s="78"/>
      <c r="G3887" s="78"/>
    </row>
    <row r="3888" spans="5:7" ht="15.75" x14ac:dyDescent="0.25">
      <c r="F3888" s="78" t="s">
        <v>596</v>
      </c>
      <c r="G3888" s="189">
        <f>SUM(G3878:G3887)</f>
        <v>78364.570000000007</v>
      </c>
    </row>
    <row r="3890" spans="5:8" ht="18.75" x14ac:dyDescent="0.3">
      <c r="F3890" t="s">
        <v>361</v>
      </c>
      <c r="G3890" s="121">
        <v>1342</v>
      </c>
      <c r="H3890" s="238"/>
    </row>
    <row r="3892" spans="5:8" x14ac:dyDescent="0.25">
      <c r="G3892" s="239">
        <f>G3888+G3890</f>
        <v>79706.570000000007</v>
      </c>
    </row>
    <row r="3894" spans="5:8" ht="18.75" x14ac:dyDescent="0.3">
      <c r="H3894" s="238"/>
    </row>
    <row r="3895" spans="5:8" x14ac:dyDescent="0.25">
      <c r="H3895" s="234">
        <v>1980</v>
      </c>
    </row>
    <row r="3896" spans="5:8" ht="18.75" x14ac:dyDescent="0.3">
      <c r="E3896" s="238" t="s">
        <v>374</v>
      </c>
      <c r="H3896" s="121">
        <v>750</v>
      </c>
    </row>
    <row r="3897" spans="5:8" ht="15.75" x14ac:dyDescent="0.25">
      <c r="E3897" s="117"/>
      <c r="H3897" s="171">
        <f>SUM(H3895:H3896)</f>
        <v>2730</v>
      </c>
    </row>
    <row r="3899" spans="5:8" ht="18.75" x14ac:dyDescent="0.3">
      <c r="F3899" s="238"/>
      <c r="G3899" s="238"/>
    </row>
    <row r="3900" spans="5:8" x14ac:dyDescent="0.25">
      <c r="F3900" s="78" t="s">
        <v>880</v>
      </c>
      <c r="G3900" s="166"/>
    </row>
    <row r="3901" spans="5:8" x14ac:dyDescent="0.25">
      <c r="F3901" t="s">
        <v>862</v>
      </c>
    </row>
    <row r="3902" spans="5:8" x14ac:dyDescent="0.25">
      <c r="G3902" t="s">
        <v>763</v>
      </c>
    </row>
    <row r="3908" spans="5:13" ht="18.75" x14ac:dyDescent="0.3">
      <c r="E3908" s="314" t="s">
        <v>894</v>
      </c>
      <c r="F3908" s="315"/>
      <c r="G3908" s="315"/>
      <c r="H3908" s="315"/>
      <c r="I3908" s="315"/>
      <c r="J3908" s="315"/>
      <c r="K3908" s="315"/>
      <c r="L3908" s="315"/>
      <c r="M3908" s="315"/>
    </row>
    <row r="3909" spans="5:13" x14ac:dyDescent="0.25">
      <c r="E3909" s="78"/>
      <c r="F3909" s="78"/>
      <c r="G3909" s="78"/>
      <c r="H3909" s="78"/>
      <c r="I3909" s="78"/>
      <c r="J3909" s="78"/>
      <c r="K3909" s="78"/>
      <c r="L3909" s="78"/>
      <c r="M3909" s="78"/>
    </row>
    <row r="3910" spans="5:13" ht="15.75" x14ac:dyDescent="0.25">
      <c r="E3910" s="118" t="s">
        <v>223</v>
      </c>
      <c r="F3910" s="118" t="s">
        <v>206</v>
      </c>
      <c r="G3910" s="118" t="s">
        <v>207</v>
      </c>
      <c r="H3910" s="118" t="s">
        <v>218</v>
      </c>
      <c r="I3910" s="78"/>
      <c r="J3910" s="120" t="s">
        <v>6</v>
      </c>
      <c r="K3910" s="120" t="s">
        <v>217</v>
      </c>
      <c r="L3910" s="120" t="s">
        <v>207</v>
      </c>
      <c r="M3910" s="120" t="s">
        <v>218</v>
      </c>
    </row>
    <row r="3911" spans="5:13" x14ac:dyDescent="0.25">
      <c r="E3911" s="117">
        <v>46087</v>
      </c>
      <c r="F3911" s="78" t="s">
        <v>214</v>
      </c>
      <c r="G3911" s="155" t="s">
        <v>211</v>
      </c>
      <c r="H3911" s="156">
        <v>3200</v>
      </c>
      <c r="I3911" s="175"/>
      <c r="J3911" s="117"/>
      <c r="K3911" s="78"/>
      <c r="L3911" s="78"/>
      <c r="M3911" s="119"/>
    </row>
    <row r="3912" spans="5:13" ht="15.75" x14ac:dyDescent="0.25">
      <c r="E3912" s="78"/>
      <c r="F3912" s="201" t="s">
        <v>429</v>
      </c>
      <c r="G3912" s="201"/>
      <c r="H3912" s="183">
        <v>2927.57</v>
      </c>
      <c r="I3912" s="78"/>
      <c r="J3912" s="117">
        <v>46037</v>
      </c>
      <c r="K3912" s="149" t="s">
        <v>66</v>
      </c>
      <c r="L3912" s="78" t="s">
        <v>222</v>
      </c>
      <c r="M3912" s="119">
        <v>2120</v>
      </c>
    </row>
    <row r="3913" spans="5:13" ht="15.75" x14ac:dyDescent="0.25">
      <c r="E3913" s="117"/>
      <c r="F3913" s="78" t="s">
        <v>590</v>
      </c>
      <c r="G3913" s="166"/>
      <c r="H3913" s="167">
        <v>3520</v>
      </c>
      <c r="I3913" s="78"/>
      <c r="J3913" s="184"/>
      <c r="K3913" s="78" t="s">
        <v>865</v>
      </c>
      <c r="L3913" s="185"/>
      <c r="M3913" s="140">
        <v>4340</v>
      </c>
    </row>
    <row r="3914" spans="5:13" ht="15.75" x14ac:dyDescent="0.25">
      <c r="E3914" s="117"/>
      <c r="F3914" s="78" t="s">
        <v>616</v>
      </c>
      <c r="G3914" s="166"/>
      <c r="H3914" s="167">
        <v>580</v>
      </c>
      <c r="I3914" s="119"/>
      <c r="J3914" s="184">
        <v>46153</v>
      </c>
      <c r="K3914" s="78" t="s">
        <v>216</v>
      </c>
      <c r="L3914" s="185"/>
      <c r="M3914" s="140">
        <v>8350</v>
      </c>
    </row>
    <row r="3915" spans="5:13" ht="15.75" x14ac:dyDescent="0.25">
      <c r="E3915" s="117">
        <v>46142</v>
      </c>
      <c r="F3915" s="78" t="s">
        <v>764</v>
      </c>
      <c r="G3915" s="166"/>
      <c r="H3915" s="167">
        <v>2002</v>
      </c>
      <c r="I3915" s="119"/>
      <c r="J3915" s="184"/>
      <c r="K3915" s="78" t="s">
        <v>82</v>
      </c>
      <c r="L3915" s="185"/>
      <c r="M3915" s="140">
        <v>4890</v>
      </c>
    </row>
    <row r="3916" spans="5:13" ht="15.75" x14ac:dyDescent="0.25">
      <c r="E3916" s="117">
        <v>46144</v>
      </c>
      <c r="F3916" s="78" t="s">
        <v>861</v>
      </c>
      <c r="G3916" s="166"/>
      <c r="H3916" s="167">
        <v>3225</v>
      </c>
      <c r="I3916" s="78"/>
      <c r="J3916" s="184">
        <v>46154</v>
      </c>
      <c r="K3916" s="78" t="s">
        <v>886</v>
      </c>
      <c r="L3916" s="185"/>
      <c r="M3916" s="140">
        <v>1500</v>
      </c>
    </row>
    <row r="3917" spans="5:13" ht="15.75" x14ac:dyDescent="0.25">
      <c r="E3917" s="117">
        <v>46149</v>
      </c>
      <c r="F3917" s="78" t="s">
        <v>836</v>
      </c>
      <c r="G3917" s="166"/>
      <c r="H3917" s="167">
        <v>350</v>
      </c>
      <c r="I3917" s="78"/>
      <c r="J3917" s="184">
        <v>46155</v>
      </c>
      <c r="K3917" s="78" t="s">
        <v>904</v>
      </c>
      <c r="L3917" s="185"/>
      <c r="M3917" s="140">
        <v>1431.06</v>
      </c>
    </row>
    <row r="3918" spans="5:13" ht="15.75" x14ac:dyDescent="0.25">
      <c r="E3918" s="117">
        <v>46149</v>
      </c>
      <c r="F3918" s="78" t="s">
        <v>834</v>
      </c>
      <c r="G3918" s="166"/>
      <c r="H3918" s="167">
        <v>3090</v>
      </c>
      <c r="I3918" s="78"/>
      <c r="J3918" s="184"/>
      <c r="K3918" s="78"/>
      <c r="L3918" s="185"/>
      <c r="M3918" s="140"/>
    </row>
    <row r="3919" spans="5:13" ht="15.75" x14ac:dyDescent="0.25">
      <c r="E3919" s="117">
        <v>46151</v>
      </c>
      <c r="F3919" s="78" t="s">
        <v>857</v>
      </c>
      <c r="G3919" s="166"/>
      <c r="H3919" s="167">
        <v>3400</v>
      </c>
      <c r="J3919" s="184"/>
      <c r="K3919" s="78"/>
      <c r="L3919" s="185"/>
      <c r="M3919" s="140"/>
    </row>
    <row r="3920" spans="5:13" x14ac:dyDescent="0.25">
      <c r="E3920" s="117">
        <v>46151</v>
      </c>
      <c r="F3920" s="78" t="s">
        <v>850</v>
      </c>
      <c r="G3920" s="166"/>
      <c r="H3920" s="167">
        <v>175</v>
      </c>
      <c r="J3920" s="78"/>
      <c r="K3920" s="78"/>
      <c r="L3920" s="78"/>
      <c r="M3920" s="119"/>
    </row>
    <row r="3921" spans="5:13" ht="18.75" x14ac:dyDescent="0.3">
      <c r="E3921" s="237">
        <v>46153</v>
      </c>
      <c r="F3921" s="222" t="s">
        <v>867</v>
      </c>
      <c r="G3921" s="223"/>
      <c r="H3921" s="224">
        <v>5045</v>
      </c>
      <c r="J3921" s="78"/>
      <c r="K3921" s="126" t="s">
        <v>226</v>
      </c>
      <c r="L3921" s="126"/>
      <c r="M3921" s="127">
        <f>SUM(M3911:M3920)</f>
        <v>22631.06</v>
      </c>
    </row>
    <row r="3922" spans="5:13" x14ac:dyDescent="0.25">
      <c r="E3922" s="117">
        <v>46154</v>
      </c>
      <c r="F3922" s="78" t="s">
        <v>882</v>
      </c>
      <c r="G3922" s="166"/>
      <c r="H3922" s="167">
        <v>3375</v>
      </c>
    </row>
    <row r="3923" spans="5:13" x14ac:dyDescent="0.25">
      <c r="E3923" s="117">
        <v>46154</v>
      </c>
      <c r="F3923" s="78" t="s">
        <v>885</v>
      </c>
      <c r="G3923" s="166"/>
      <c r="H3923" s="167">
        <v>1900</v>
      </c>
      <c r="M3923" s="121"/>
    </row>
    <row r="3924" spans="5:13" x14ac:dyDescent="0.25">
      <c r="E3924" s="117">
        <v>46154</v>
      </c>
      <c r="F3924" s="78" t="s">
        <v>887</v>
      </c>
      <c r="G3924" s="166"/>
      <c r="H3924" s="167">
        <v>340</v>
      </c>
      <c r="L3924" s="121"/>
    </row>
    <row r="3925" spans="5:13" x14ac:dyDescent="0.25">
      <c r="E3925" s="117"/>
      <c r="F3925" s="78"/>
      <c r="G3925" s="166"/>
      <c r="H3925" s="167"/>
      <c r="L3925" s="121"/>
    </row>
    <row r="3926" spans="5:13" x14ac:dyDescent="0.25">
      <c r="E3926" s="117">
        <v>46155</v>
      </c>
      <c r="F3926" s="78" t="s">
        <v>900</v>
      </c>
      <c r="G3926" s="166"/>
      <c r="H3926" s="167">
        <v>860</v>
      </c>
    </row>
    <row r="3927" spans="5:13" ht="15.75" x14ac:dyDescent="0.25">
      <c r="E3927" s="117"/>
      <c r="F3927" s="240" t="s">
        <v>907</v>
      </c>
      <c r="G3927" s="241"/>
      <c r="H3927" s="242">
        <v>26612.07</v>
      </c>
      <c r="I3927" s="121"/>
      <c r="J3927" s="316" t="s">
        <v>227</v>
      </c>
      <c r="K3927" s="317"/>
      <c r="L3927" s="140">
        <f>H3934-M3921</f>
        <v>79478.959999999992</v>
      </c>
    </row>
    <row r="3928" spans="5:13" ht="15.75" x14ac:dyDescent="0.25">
      <c r="E3928" s="117"/>
      <c r="F3928" s="78"/>
      <c r="G3928" s="166"/>
      <c r="H3928" s="167"/>
      <c r="L3928" s="89"/>
    </row>
    <row r="3929" spans="5:13" ht="15.75" x14ac:dyDescent="0.25">
      <c r="E3929" s="78"/>
      <c r="F3929" s="78"/>
      <c r="G3929" s="78"/>
      <c r="H3929" s="122">
        <f>SUM(H3911:H3928)</f>
        <v>60601.64</v>
      </c>
      <c r="J3929" s="128" t="s">
        <v>285</v>
      </c>
      <c r="L3929" s="124">
        <f>G3958</f>
        <v>22235.57</v>
      </c>
    </row>
    <row r="3930" spans="5:13" x14ac:dyDescent="0.25">
      <c r="H3930" s="157"/>
    </row>
    <row r="3931" spans="5:13" x14ac:dyDescent="0.25">
      <c r="G3931" s="101" t="s">
        <v>224</v>
      </c>
      <c r="H3931" s="101">
        <v>41508.379999999997</v>
      </c>
    </row>
    <row r="3932" spans="5:13" x14ac:dyDescent="0.25">
      <c r="E3932" s="121"/>
    </row>
    <row r="3933" spans="5:13" ht="21" x14ac:dyDescent="0.35">
      <c r="K3933" s="198" t="s">
        <v>286</v>
      </c>
      <c r="L3933" s="137">
        <f>SUM(L3927:L3929)</f>
        <v>101714.53</v>
      </c>
    </row>
    <row r="3934" spans="5:13" ht="18.75" x14ac:dyDescent="0.3">
      <c r="E3934" s="121"/>
      <c r="G3934" s="99" t="s">
        <v>225</v>
      </c>
      <c r="H3934" s="125">
        <f>SUM(H3929+H3931)</f>
        <v>102110.01999999999</v>
      </c>
      <c r="L3934" s="157">
        <v>100283.79</v>
      </c>
      <c r="M3934" s="39" t="s">
        <v>76</v>
      </c>
    </row>
    <row r="3935" spans="5:13" x14ac:dyDescent="0.25">
      <c r="E3935" s="121"/>
    </row>
    <row r="3936" spans="5:13" ht="18.75" x14ac:dyDescent="0.3">
      <c r="L3936" s="154">
        <f>L3933-L3934</f>
        <v>1430.7400000000052</v>
      </c>
    </row>
    <row r="3937" spans="5:16" ht="18.75" x14ac:dyDescent="0.3">
      <c r="L3937" s="125"/>
    </row>
    <row r="3938" spans="5:16" ht="18.75" x14ac:dyDescent="0.3">
      <c r="I3938" s="121"/>
      <c r="L3938" s="125"/>
      <c r="O3938" s="121"/>
      <c r="P3938">
        <f>1400-195</f>
        <v>1205</v>
      </c>
    </row>
    <row r="3939" spans="5:16" x14ac:dyDescent="0.25">
      <c r="I3939" s="121"/>
    </row>
    <row r="3940" spans="5:16" x14ac:dyDescent="0.25">
      <c r="L3940" s="121"/>
    </row>
    <row r="3941" spans="5:16" x14ac:dyDescent="0.25">
      <c r="E3941" s="91"/>
    </row>
    <row r="3943" spans="5:16" ht="15.75" x14ac:dyDescent="0.25">
      <c r="F3943" s="132" t="s">
        <v>235</v>
      </c>
      <c r="G3943" s="133">
        <v>3988.72</v>
      </c>
    </row>
    <row r="3944" spans="5:16" x14ac:dyDescent="0.25">
      <c r="E3944" s="91">
        <v>46153</v>
      </c>
      <c r="F3944" s="91" t="s">
        <v>856</v>
      </c>
      <c r="G3944">
        <v>3000</v>
      </c>
      <c r="I3944" s="150"/>
    </row>
    <row r="3945" spans="5:16" x14ac:dyDescent="0.25">
      <c r="F3945" t="s">
        <v>866</v>
      </c>
      <c r="G3945">
        <v>485</v>
      </c>
    </row>
    <row r="3946" spans="5:16" x14ac:dyDescent="0.25">
      <c r="F3946" s="139" t="s">
        <v>868</v>
      </c>
      <c r="G3946" s="139">
        <v>-1400</v>
      </c>
    </row>
    <row r="3947" spans="5:16" ht="15.75" x14ac:dyDescent="0.25">
      <c r="F3947" t="s">
        <v>874</v>
      </c>
      <c r="G3947">
        <v>-50</v>
      </c>
      <c r="J3947" s="322" t="s">
        <v>570</v>
      </c>
      <c r="K3947" s="322"/>
    </row>
    <row r="3948" spans="5:16" x14ac:dyDescent="0.25">
      <c r="F3948" t="s">
        <v>93</v>
      </c>
      <c r="G3948">
        <v>4962.6000000000004</v>
      </c>
      <c r="J3948" s="220" t="s">
        <v>595</v>
      </c>
      <c r="K3948" s="221">
        <v>54357.93</v>
      </c>
    </row>
    <row r="3949" spans="5:16" x14ac:dyDescent="0.25">
      <c r="E3949" s="91">
        <v>46154</v>
      </c>
      <c r="F3949" t="s">
        <v>879</v>
      </c>
      <c r="G3949">
        <v>2000</v>
      </c>
      <c r="J3949" s="163" t="s">
        <v>878</v>
      </c>
      <c r="K3949" s="164">
        <v>-970</v>
      </c>
    </row>
    <row r="3950" spans="5:16" x14ac:dyDescent="0.25">
      <c r="E3950" s="91"/>
      <c r="F3950" t="s">
        <v>883</v>
      </c>
      <c r="G3950">
        <v>125.25</v>
      </c>
      <c r="J3950" s="150" t="s">
        <v>905</v>
      </c>
      <c r="K3950" s="151">
        <v>-30000</v>
      </c>
    </row>
    <row r="3951" spans="5:16" x14ac:dyDescent="0.25">
      <c r="E3951" s="91"/>
      <c r="F3951" t="s">
        <v>93</v>
      </c>
      <c r="G3951">
        <v>1544</v>
      </c>
      <c r="J3951" s="150" t="s">
        <v>905</v>
      </c>
      <c r="K3951" s="151">
        <v>-30000</v>
      </c>
    </row>
    <row r="3952" spans="5:16" x14ac:dyDescent="0.25">
      <c r="E3952" s="91"/>
      <c r="F3952" t="s">
        <v>892</v>
      </c>
      <c r="G3952">
        <v>95</v>
      </c>
      <c r="J3952" s="150" t="s">
        <v>905</v>
      </c>
      <c r="K3952" s="151">
        <v>-20000</v>
      </c>
    </row>
    <row r="3953" spans="5:11" x14ac:dyDescent="0.25">
      <c r="E3953" s="91"/>
      <c r="F3953" t="s">
        <v>895</v>
      </c>
      <c r="G3953">
        <v>2200</v>
      </c>
      <c r="J3953" s="150"/>
      <c r="K3953" s="151"/>
    </row>
    <row r="3954" spans="5:11" x14ac:dyDescent="0.25">
      <c r="E3954" s="91"/>
      <c r="F3954" t="s">
        <v>896</v>
      </c>
      <c r="G3954">
        <v>2730</v>
      </c>
    </row>
    <row r="3955" spans="5:11" ht="15.75" x14ac:dyDescent="0.25">
      <c r="E3955" s="91"/>
      <c r="G3955">
        <v>2555</v>
      </c>
      <c r="K3955" s="133">
        <f>SUM(K3948:K3954)</f>
        <v>-26612.07</v>
      </c>
    </row>
    <row r="3956" spans="5:11" x14ac:dyDescent="0.25">
      <c r="E3956" s="91"/>
    </row>
    <row r="3957" spans="5:11" x14ac:dyDescent="0.25">
      <c r="E3957" s="91"/>
    </row>
    <row r="3958" spans="5:11" ht="15.75" x14ac:dyDescent="0.25">
      <c r="E3958" s="91"/>
      <c r="F3958" s="132" t="s">
        <v>236</v>
      </c>
      <c r="G3958" s="133">
        <f>SUM(G3943:G3957)</f>
        <v>22235.57</v>
      </c>
    </row>
    <row r="3959" spans="5:11" x14ac:dyDescent="0.25">
      <c r="E3959" s="91"/>
    </row>
    <row r="3960" spans="5:11" x14ac:dyDescent="0.25">
      <c r="E3960" s="91"/>
    </row>
    <row r="3961" spans="5:11" x14ac:dyDescent="0.25">
      <c r="G3961">
        <v>-11.9</v>
      </c>
    </row>
    <row r="3962" spans="5:11" x14ac:dyDescent="0.25">
      <c r="E3962" s="91"/>
    </row>
    <row r="3963" spans="5:11" x14ac:dyDescent="0.25">
      <c r="F3963" s="39"/>
      <c r="G3963" s="157">
        <f>SUM(G3958:G3962)</f>
        <v>22223.67</v>
      </c>
    </row>
    <row r="3966" spans="5:11" x14ac:dyDescent="0.25">
      <c r="E3966" s="91">
        <v>46153</v>
      </c>
    </row>
    <row r="3970" spans="6:8" ht="15.75" x14ac:dyDescent="0.25">
      <c r="F3970" s="166" t="s">
        <v>429</v>
      </c>
      <c r="G3970" s="131">
        <v>80217.570000000007</v>
      </c>
    </row>
    <row r="3971" spans="6:8" ht="15.75" x14ac:dyDescent="0.25">
      <c r="F3971" s="166" t="s">
        <v>858</v>
      </c>
      <c r="G3971" s="171">
        <v>3540.6</v>
      </c>
    </row>
    <row r="3972" spans="6:8" ht="15.75" x14ac:dyDescent="0.25">
      <c r="F3972" s="166" t="s">
        <v>859</v>
      </c>
      <c r="G3972" s="140">
        <v>3554.56</v>
      </c>
    </row>
    <row r="3973" spans="6:8" ht="15.75" x14ac:dyDescent="0.25">
      <c r="F3973" s="178" t="s">
        <v>272</v>
      </c>
      <c r="G3973" s="212">
        <v>-481.86</v>
      </c>
    </row>
    <row r="3974" spans="6:8" ht="15.75" x14ac:dyDescent="0.25">
      <c r="F3974" s="178" t="s">
        <v>881</v>
      </c>
      <c r="G3974" s="212">
        <v>-3000</v>
      </c>
    </row>
    <row r="3975" spans="6:8" ht="15.75" x14ac:dyDescent="0.25">
      <c r="F3975" s="214" t="s">
        <v>605</v>
      </c>
      <c r="G3975" s="210">
        <v>355</v>
      </c>
    </row>
    <row r="3976" spans="6:8" ht="15.75" x14ac:dyDescent="0.25">
      <c r="F3976" s="178" t="s">
        <v>891</v>
      </c>
      <c r="G3976" s="212">
        <v>-10</v>
      </c>
    </row>
    <row r="3977" spans="6:8" ht="15.75" x14ac:dyDescent="0.25">
      <c r="F3977" s="178" t="s">
        <v>535</v>
      </c>
      <c r="G3977" s="212">
        <v>-1.3</v>
      </c>
    </row>
    <row r="3978" spans="6:8" ht="18.75" x14ac:dyDescent="0.3">
      <c r="F3978" s="178" t="s">
        <v>893</v>
      </c>
      <c r="G3978" s="212">
        <v>-5810</v>
      </c>
      <c r="H3978" s="238"/>
    </row>
    <row r="3979" spans="6:8" ht="15.75" x14ac:dyDescent="0.25">
      <c r="F3979" s="178" t="s">
        <v>897</v>
      </c>
      <c r="G3979" s="212">
        <v>-2400</v>
      </c>
    </row>
    <row r="3980" spans="6:8" ht="15.75" x14ac:dyDescent="0.25">
      <c r="F3980" s="178" t="s">
        <v>898</v>
      </c>
      <c r="G3980" s="212">
        <v>1400</v>
      </c>
    </row>
    <row r="3981" spans="6:8" ht="15.75" x14ac:dyDescent="0.25">
      <c r="F3981" s="178" t="s">
        <v>899</v>
      </c>
      <c r="G3981" s="212">
        <v>-20</v>
      </c>
    </row>
    <row r="3982" spans="6:8" ht="15.75" x14ac:dyDescent="0.25">
      <c r="F3982" s="178" t="s">
        <v>903</v>
      </c>
      <c r="G3982" s="212">
        <v>5583</v>
      </c>
    </row>
    <row r="3983" spans="6:8" ht="15.75" x14ac:dyDescent="0.25">
      <c r="F3983" s="178" t="s">
        <v>906</v>
      </c>
      <c r="G3983" s="212">
        <v>-30000</v>
      </c>
    </row>
    <row r="3984" spans="6:8" ht="15.75" x14ac:dyDescent="0.25">
      <c r="F3984" s="178" t="s">
        <v>906</v>
      </c>
      <c r="G3984" s="212">
        <v>-30000</v>
      </c>
    </row>
    <row r="3985" spans="6:7" ht="15.75" x14ac:dyDescent="0.25">
      <c r="F3985" s="178" t="s">
        <v>906</v>
      </c>
      <c r="G3985" s="212">
        <v>-20000</v>
      </c>
    </row>
    <row r="3986" spans="6:7" ht="15.75" x14ac:dyDescent="0.25">
      <c r="F3986" s="178"/>
      <c r="G3986" s="212"/>
    </row>
    <row r="3987" spans="6:7" ht="15.75" x14ac:dyDescent="0.25">
      <c r="F3987" s="178"/>
      <c r="G3987" s="212"/>
    </row>
    <row r="3988" spans="6:7" x14ac:dyDescent="0.25">
      <c r="F3988" s="78"/>
      <c r="G3988" s="78"/>
    </row>
    <row r="3989" spans="6:7" ht="15.75" x14ac:dyDescent="0.25">
      <c r="F3989" s="78" t="s">
        <v>596</v>
      </c>
      <c r="G3989" s="189">
        <f>SUM(G3970:G3988)</f>
        <v>2927.570000000007</v>
      </c>
    </row>
    <row r="3991" spans="6:7" x14ac:dyDescent="0.25">
      <c r="F3991" t="s">
        <v>361</v>
      </c>
      <c r="G3991" s="121">
        <v>1342</v>
      </c>
    </row>
    <row r="3993" spans="6:7" x14ac:dyDescent="0.25">
      <c r="G3993" s="239">
        <f>G3989+G3991</f>
        <v>4269.570000000007</v>
      </c>
    </row>
    <row r="4007" spans="5:13" ht="18.75" x14ac:dyDescent="0.3">
      <c r="E4007" s="314" t="s">
        <v>908</v>
      </c>
      <c r="F4007" s="315"/>
      <c r="G4007" s="315"/>
      <c r="H4007" s="315"/>
      <c r="I4007" s="315"/>
      <c r="J4007" s="315"/>
      <c r="K4007" s="315"/>
      <c r="L4007" s="315"/>
      <c r="M4007" s="315"/>
    </row>
    <row r="4008" spans="5:13" x14ac:dyDescent="0.25">
      <c r="E4008" s="78"/>
      <c r="F4008" s="78"/>
      <c r="G4008" s="78"/>
      <c r="H4008" s="78"/>
      <c r="I4008" s="78"/>
      <c r="J4008" s="78"/>
      <c r="K4008" s="78"/>
      <c r="L4008" s="78"/>
      <c r="M4008" s="78"/>
    </row>
    <row r="4009" spans="5:13" ht="15.75" x14ac:dyDescent="0.25">
      <c r="E4009" s="118" t="s">
        <v>223</v>
      </c>
      <c r="F4009" s="118" t="s">
        <v>206</v>
      </c>
      <c r="G4009" s="118" t="s">
        <v>207</v>
      </c>
      <c r="H4009" s="118" t="s">
        <v>218</v>
      </c>
      <c r="I4009" s="78"/>
      <c r="J4009" s="120" t="s">
        <v>6</v>
      </c>
      <c r="K4009" s="120" t="s">
        <v>217</v>
      </c>
      <c r="L4009" s="120" t="s">
        <v>207</v>
      </c>
      <c r="M4009" s="120" t="s">
        <v>218</v>
      </c>
    </row>
    <row r="4010" spans="5:13" x14ac:dyDescent="0.25">
      <c r="E4010" s="117">
        <v>46087</v>
      </c>
      <c r="F4010" s="78" t="s">
        <v>214</v>
      </c>
      <c r="G4010" s="155" t="s">
        <v>211</v>
      </c>
      <c r="H4010" s="156">
        <v>3200</v>
      </c>
      <c r="I4010" s="175"/>
      <c r="J4010" s="117"/>
      <c r="K4010" s="78"/>
      <c r="L4010" s="78"/>
      <c r="M4010" s="119"/>
    </row>
    <row r="4011" spans="5:13" ht="15.75" x14ac:dyDescent="0.25">
      <c r="E4011" s="78"/>
      <c r="F4011" s="201" t="s">
        <v>429</v>
      </c>
      <c r="G4011" s="201"/>
      <c r="H4011" s="183">
        <v>6506</v>
      </c>
      <c r="I4011" s="78"/>
      <c r="J4011" s="117">
        <v>46037</v>
      </c>
      <c r="K4011" s="149" t="s">
        <v>66</v>
      </c>
      <c r="L4011" s="78" t="s">
        <v>222</v>
      </c>
      <c r="M4011" s="119">
        <v>2120</v>
      </c>
    </row>
    <row r="4012" spans="5:13" x14ac:dyDescent="0.25">
      <c r="E4012" s="117">
        <v>46156</v>
      </c>
      <c r="F4012" s="78" t="s">
        <v>353</v>
      </c>
      <c r="G4012" s="166"/>
      <c r="H4012" s="167">
        <v>4440</v>
      </c>
      <c r="I4012" s="78"/>
      <c r="J4012" s="117"/>
      <c r="K4012" s="149"/>
      <c r="L4012" s="78"/>
      <c r="M4012" s="119"/>
    </row>
    <row r="4013" spans="5:13" ht="15.75" x14ac:dyDescent="0.25">
      <c r="E4013" s="117">
        <v>46156</v>
      </c>
      <c r="F4013" s="78" t="s">
        <v>471</v>
      </c>
      <c r="G4013" s="166"/>
      <c r="H4013" s="167">
        <v>3902</v>
      </c>
      <c r="I4013" s="78"/>
      <c r="J4013" s="184"/>
      <c r="K4013" s="78" t="s">
        <v>865</v>
      </c>
      <c r="L4013" s="185"/>
      <c r="M4013" s="140">
        <v>4340</v>
      </c>
    </row>
    <row r="4014" spans="5:13" ht="15.75" x14ac:dyDescent="0.25">
      <c r="E4014" s="117">
        <v>46156</v>
      </c>
      <c r="F4014" s="78" t="s">
        <v>923</v>
      </c>
      <c r="G4014" s="166"/>
      <c r="H4014" s="167">
        <v>9230</v>
      </c>
      <c r="I4014" s="119"/>
      <c r="J4014" s="184">
        <v>46153</v>
      </c>
      <c r="K4014" s="78" t="s">
        <v>216</v>
      </c>
      <c r="L4014" s="185"/>
      <c r="M4014" s="140">
        <v>8350</v>
      </c>
    </row>
    <row r="4015" spans="5:13" ht="15.75" x14ac:dyDescent="0.25">
      <c r="E4015" s="117">
        <v>46156</v>
      </c>
      <c r="F4015" s="78" t="s">
        <v>834</v>
      </c>
      <c r="G4015" s="166"/>
      <c r="H4015" s="167">
        <v>6465</v>
      </c>
      <c r="I4015" s="119"/>
      <c r="J4015" s="184"/>
      <c r="K4015" s="78" t="s">
        <v>82</v>
      </c>
      <c r="L4015" s="185"/>
      <c r="M4015" s="140">
        <v>7190</v>
      </c>
    </row>
    <row r="4016" spans="5:13" ht="15.75" x14ac:dyDescent="0.25">
      <c r="E4016" s="117"/>
      <c r="F4016" s="240" t="s">
        <v>907</v>
      </c>
      <c r="G4016" s="241"/>
      <c r="H4016" s="242">
        <v>44088.07</v>
      </c>
      <c r="I4016" s="78"/>
      <c r="J4016" s="184"/>
      <c r="K4016" s="78" t="s">
        <v>912</v>
      </c>
      <c r="L4016" s="185"/>
      <c r="M4016" s="140">
        <v>1300</v>
      </c>
    </row>
    <row r="4017" spans="5:13" ht="15.75" x14ac:dyDescent="0.25">
      <c r="E4017" s="117"/>
      <c r="F4017" s="78"/>
      <c r="G4017" s="166"/>
      <c r="H4017" s="167"/>
      <c r="I4017" s="78"/>
      <c r="J4017" s="184"/>
      <c r="K4017" s="78"/>
      <c r="L4017" s="185"/>
      <c r="M4017" s="140"/>
    </row>
    <row r="4018" spans="5:13" x14ac:dyDescent="0.25">
      <c r="E4018" s="117"/>
      <c r="F4018" s="78"/>
      <c r="G4018" s="166"/>
      <c r="H4018" s="167"/>
      <c r="I4018" s="78"/>
      <c r="J4018" s="78"/>
      <c r="K4018" s="78"/>
      <c r="L4018" s="78"/>
      <c r="M4018" s="119"/>
    </row>
    <row r="4019" spans="5:13" ht="18.75" x14ac:dyDescent="0.3">
      <c r="E4019" s="117"/>
      <c r="F4019" s="78"/>
      <c r="G4019" s="166"/>
      <c r="H4019" s="167"/>
      <c r="J4019" s="78"/>
      <c r="K4019" s="126" t="s">
        <v>226</v>
      </c>
      <c r="L4019" s="126"/>
      <c r="M4019" s="127">
        <f>SUM(M4010:M4018)</f>
        <v>23300</v>
      </c>
    </row>
    <row r="4020" spans="5:13" x14ac:dyDescent="0.25">
      <c r="E4020" s="78"/>
      <c r="F4020" s="78"/>
      <c r="G4020" s="78"/>
      <c r="H4020" s="122">
        <f>SUM(H4010:H4019)</f>
        <v>77831.070000000007</v>
      </c>
    </row>
    <row r="4021" spans="5:13" x14ac:dyDescent="0.25">
      <c r="H4021" s="157"/>
      <c r="M4021" s="121"/>
    </row>
    <row r="4022" spans="5:13" x14ac:dyDescent="0.25">
      <c r="G4022" s="101" t="s">
        <v>224</v>
      </c>
      <c r="H4022" s="101">
        <v>38921.379999999997</v>
      </c>
      <c r="L4022" s="121"/>
    </row>
    <row r="4023" spans="5:13" x14ac:dyDescent="0.25">
      <c r="E4023" s="121"/>
      <c r="L4023" s="121"/>
    </row>
    <row r="4025" spans="5:13" ht="18.75" x14ac:dyDescent="0.3">
      <c r="E4025" s="121"/>
      <c r="G4025" s="99" t="s">
        <v>225</v>
      </c>
      <c r="H4025" s="125">
        <f>SUM(H4020+H4022)</f>
        <v>116752.45000000001</v>
      </c>
      <c r="J4025" s="316" t="s">
        <v>227</v>
      </c>
      <c r="K4025" s="317"/>
      <c r="L4025" s="140">
        <f>H4025-M4019</f>
        <v>93452.450000000012</v>
      </c>
    </row>
    <row r="4026" spans="5:13" ht="15.75" x14ac:dyDescent="0.25">
      <c r="E4026" s="121"/>
      <c r="L4026" s="89"/>
    </row>
    <row r="4027" spans="5:13" ht="15.75" x14ac:dyDescent="0.25">
      <c r="I4027" s="121"/>
      <c r="J4027" s="128" t="s">
        <v>285</v>
      </c>
      <c r="L4027" s="124">
        <f>G4058</f>
        <v>8610.01</v>
      </c>
    </row>
    <row r="4031" spans="5:13" ht="21" x14ac:dyDescent="0.35">
      <c r="K4031" s="198" t="s">
        <v>286</v>
      </c>
      <c r="L4031" s="137">
        <f>SUM(L4025:L4027)</f>
        <v>102062.46</v>
      </c>
    </row>
    <row r="4032" spans="5:13" x14ac:dyDescent="0.25">
      <c r="E4032" s="91"/>
      <c r="L4032" s="157">
        <v>101714.53</v>
      </c>
      <c r="M4032" s="39" t="s">
        <v>76</v>
      </c>
    </row>
    <row r="4034" spans="5:12" ht="18.75" x14ac:dyDescent="0.3">
      <c r="F4034" s="132" t="s">
        <v>235</v>
      </c>
      <c r="G4034" s="133">
        <v>3988.72</v>
      </c>
      <c r="L4034" s="154">
        <f>L4031-L4032</f>
        <v>347.93000000000757</v>
      </c>
    </row>
    <row r="4035" spans="5:12" ht="18.75" x14ac:dyDescent="0.3">
      <c r="E4035" s="91">
        <v>46153</v>
      </c>
      <c r="F4035" s="91" t="s">
        <v>856</v>
      </c>
      <c r="G4035">
        <v>3000</v>
      </c>
      <c r="L4035" s="125"/>
    </row>
    <row r="4036" spans="5:12" ht="18.75" x14ac:dyDescent="0.3">
      <c r="F4036" t="s">
        <v>866</v>
      </c>
      <c r="G4036">
        <v>485</v>
      </c>
      <c r="L4036" s="125"/>
    </row>
    <row r="4037" spans="5:12" x14ac:dyDescent="0.25">
      <c r="F4037" s="139" t="s">
        <v>868</v>
      </c>
      <c r="G4037" s="139">
        <v>-1400</v>
      </c>
    </row>
    <row r="4038" spans="5:12" x14ac:dyDescent="0.25">
      <c r="F4038" t="s">
        <v>874</v>
      </c>
      <c r="G4038">
        <v>-50</v>
      </c>
      <c r="I4038" s="121"/>
      <c r="L4038" s="121"/>
    </row>
    <row r="4039" spans="5:12" x14ac:dyDescent="0.25">
      <c r="F4039" t="s">
        <v>93</v>
      </c>
      <c r="G4039">
        <v>4962.6000000000004</v>
      </c>
      <c r="I4039" s="121"/>
    </row>
    <row r="4040" spans="5:12" x14ac:dyDescent="0.25">
      <c r="E4040" s="91">
        <v>46154</v>
      </c>
      <c r="F4040" t="s">
        <v>879</v>
      </c>
      <c r="G4040">
        <v>2000</v>
      </c>
    </row>
    <row r="4041" spans="5:12" x14ac:dyDescent="0.25">
      <c r="E4041" s="91"/>
      <c r="F4041" t="s">
        <v>883</v>
      </c>
      <c r="G4041">
        <v>125.25</v>
      </c>
    </row>
    <row r="4042" spans="5:12" x14ac:dyDescent="0.25">
      <c r="E4042" s="91"/>
      <c r="F4042" t="s">
        <v>93</v>
      </c>
      <c r="G4042">
        <v>1544</v>
      </c>
    </row>
    <row r="4043" spans="5:12" x14ac:dyDescent="0.25">
      <c r="E4043" s="91"/>
      <c r="F4043" t="s">
        <v>892</v>
      </c>
      <c r="G4043">
        <v>95</v>
      </c>
    </row>
    <row r="4044" spans="5:12" x14ac:dyDescent="0.25">
      <c r="E4044" s="91"/>
      <c r="F4044" t="s">
        <v>895</v>
      </c>
      <c r="G4044">
        <v>2200</v>
      </c>
      <c r="I4044" s="150"/>
    </row>
    <row r="4045" spans="5:12" ht="15.75" x14ac:dyDescent="0.25">
      <c r="E4045" s="91"/>
      <c r="F4045" t="s">
        <v>896</v>
      </c>
      <c r="G4045">
        <v>2730</v>
      </c>
      <c r="J4045" s="322" t="s">
        <v>570</v>
      </c>
      <c r="K4045" s="322"/>
    </row>
    <row r="4046" spans="5:12" x14ac:dyDescent="0.25">
      <c r="E4046" s="91"/>
      <c r="F4046" t="s">
        <v>909</v>
      </c>
      <c r="G4046">
        <v>2555</v>
      </c>
      <c r="J4046" s="220" t="s">
        <v>595</v>
      </c>
      <c r="K4046" s="221">
        <v>54357.93</v>
      </c>
    </row>
    <row r="4047" spans="5:12" x14ac:dyDescent="0.25">
      <c r="E4047" s="91">
        <v>46156</v>
      </c>
      <c r="F4047" t="s">
        <v>910</v>
      </c>
      <c r="G4047">
        <v>5045</v>
      </c>
      <c r="J4047" s="163" t="s">
        <v>878</v>
      </c>
      <c r="K4047" s="164">
        <v>-970</v>
      </c>
    </row>
    <row r="4048" spans="5:12" x14ac:dyDescent="0.25">
      <c r="E4048" s="91"/>
      <c r="F4048" t="s">
        <v>911</v>
      </c>
      <c r="G4048">
        <v>2600</v>
      </c>
      <c r="J4048" s="150" t="s">
        <v>905</v>
      </c>
      <c r="K4048" s="151">
        <v>-30000</v>
      </c>
    </row>
    <row r="4049" spans="5:11" x14ac:dyDescent="0.25">
      <c r="E4049" s="91"/>
      <c r="F4049" t="s">
        <v>914</v>
      </c>
      <c r="G4049">
        <v>2700</v>
      </c>
      <c r="J4049" s="150" t="s">
        <v>905</v>
      </c>
      <c r="K4049" s="151">
        <v>-30000</v>
      </c>
    </row>
    <row r="4050" spans="5:11" x14ac:dyDescent="0.25">
      <c r="E4050" s="91"/>
      <c r="F4050" s="139" t="s">
        <v>917</v>
      </c>
      <c r="G4050" s="139">
        <v>-25000</v>
      </c>
      <c r="J4050" s="150" t="s">
        <v>905</v>
      </c>
      <c r="K4050" s="151">
        <v>-20000</v>
      </c>
    </row>
    <row r="4051" spans="5:11" x14ac:dyDescent="0.25">
      <c r="E4051" s="91"/>
      <c r="F4051" s="139" t="s">
        <v>921</v>
      </c>
      <c r="G4051" s="139">
        <v>-500</v>
      </c>
      <c r="J4051" s="150" t="s">
        <v>919</v>
      </c>
      <c r="K4051" s="151">
        <v>-17476</v>
      </c>
    </row>
    <row r="4052" spans="5:11" x14ac:dyDescent="0.25">
      <c r="E4052" s="91"/>
      <c r="F4052" s="139" t="s">
        <v>922</v>
      </c>
      <c r="G4052" s="139">
        <v>1529.44</v>
      </c>
    </row>
    <row r="4053" spans="5:11" ht="15.75" x14ac:dyDescent="0.25">
      <c r="E4053" s="91"/>
      <c r="F4053" s="139"/>
      <c r="G4053" s="139"/>
      <c r="K4053" s="133">
        <f>SUM(K4046:K4052)</f>
        <v>-44088.07</v>
      </c>
    </row>
    <row r="4054" spans="5:11" x14ac:dyDescent="0.25">
      <c r="E4054" s="91"/>
      <c r="F4054" s="139"/>
      <c r="G4054" s="139"/>
    </row>
    <row r="4055" spans="5:11" x14ac:dyDescent="0.25">
      <c r="F4055" s="139"/>
      <c r="G4055" s="139"/>
    </row>
    <row r="4056" spans="5:11" x14ac:dyDescent="0.25">
      <c r="E4056" s="91"/>
      <c r="F4056" s="139"/>
      <c r="G4056" s="139"/>
    </row>
    <row r="4058" spans="5:11" ht="15.75" x14ac:dyDescent="0.25">
      <c r="F4058" s="132" t="s">
        <v>236</v>
      </c>
      <c r="G4058" s="133">
        <f>SUM(G4034:G4057)</f>
        <v>8610.01</v>
      </c>
    </row>
    <row r="4061" spans="5:11" x14ac:dyDescent="0.25">
      <c r="G4061">
        <v>-11.9</v>
      </c>
    </row>
    <row r="4063" spans="5:11" x14ac:dyDescent="0.25">
      <c r="F4063" s="39"/>
      <c r="G4063" s="157">
        <f>SUM(G4058:G4062)</f>
        <v>8598.11</v>
      </c>
    </row>
    <row r="4069" spans="5:8" ht="18.75" x14ac:dyDescent="0.3">
      <c r="H4069" s="238"/>
    </row>
    <row r="4070" spans="5:8" ht="15.75" x14ac:dyDescent="0.25">
      <c r="F4070" s="166" t="s">
        <v>429</v>
      </c>
      <c r="G4070" s="131">
        <v>80217.570000000007</v>
      </c>
    </row>
    <row r="4071" spans="5:8" ht="15.75" x14ac:dyDescent="0.25">
      <c r="E4071" s="91">
        <v>46153</v>
      </c>
      <c r="F4071" s="166" t="s">
        <v>858</v>
      </c>
      <c r="G4071" s="171">
        <v>3540.6</v>
      </c>
    </row>
    <row r="4072" spans="5:8" ht="15.75" x14ac:dyDescent="0.25">
      <c r="F4072" s="166" t="s">
        <v>859</v>
      </c>
      <c r="G4072" s="140">
        <v>3554.56</v>
      </c>
    </row>
    <row r="4073" spans="5:8" ht="15.75" x14ac:dyDescent="0.25">
      <c r="F4073" s="178" t="s">
        <v>272</v>
      </c>
      <c r="G4073" s="212">
        <v>-481.86</v>
      </c>
    </row>
    <row r="4074" spans="5:8" ht="15.75" x14ac:dyDescent="0.25">
      <c r="F4074" s="178" t="s">
        <v>881</v>
      </c>
      <c r="G4074" s="212">
        <v>-3000</v>
      </c>
    </row>
    <row r="4075" spans="5:8" ht="15.75" x14ac:dyDescent="0.25">
      <c r="F4075" s="214" t="s">
        <v>605</v>
      </c>
      <c r="G4075" s="210">
        <v>355</v>
      </c>
    </row>
    <row r="4076" spans="5:8" ht="15.75" x14ac:dyDescent="0.25">
      <c r="F4076" s="178" t="s">
        <v>891</v>
      </c>
      <c r="G4076" s="212">
        <v>-10</v>
      </c>
    </row>
    <row r="4077" spans="5:8" ht="15.75" x14ac:dyDescent="0.25">
      <c r="F4077" s="178" t="s">
        <v>535</v>
      </c>
      <c r="G4077" s="212">
        <v>-1.3</v>
      </c>
    </row>
    <row r="4078" spans="5:8" ht="15.75" x14ac:dyDescent="0.25">
      <c r="F4078" s="178" t="s">
        <v>893</v>
      </c>
      <c r="G4078" s="212">
        <v>-5810</v>
      </c>
    </row>
    <row r="4079" spans="5:8" ht="15.75" x14ac:dyDescent="0.25">
      <c r="E4079" s="91">
        <v>46155</v>
      </c>
      <c r="F4079" s="178" t="s">
        <v>897</v>
      </c>
      <c r="G4079" s="212">
        <v>-2400</v>
      </c>
    </row>
    <row r="4080" spans="5:8" ht="15.75" x14ac:dyDescent="0.25">
      <c r="F4080" s="214" t="s">
        <v>898</v>
      </c>
      <c r="G4080" s="210">
        <v>1400</v>
      </c>
    </row>
    <row r="4081" spans="5:7" ht="15.75" x14ac:dyDescent="0.25">
      <c r="F4081" s="178" t="s">
        <v>899</v>
      </c>
      <c r="G4081" s="212">
        <v>-20</v>
      </c>
    </row>
    <row r="4082" spans="5:7" ht="15.75" x14ac:dyDescent="0.25">
      <c r="F4082" s="178" t="s">
        <v>903</v>
      </c>
      <c r="G4082" s="212">
        <v>5583</v>
      </c>
    </row>
    <row r="4083" spans="5:7" ht="15.75" x14ac:dyDescent="0.25">
      <c r="F4083" s="178" t="s">
        <v>906</v>
      </c>
      <c r="G4083" s="212">
        <v>-30000</v>
      </c>
    </row>
    <row r="4084" spans="5:7" ht="15.75" x14ac:dyDescent="0.25">
      <c r="F4084" s="178" t="s">
        <v>906</v>
      </c>
      <c r="G4084" s="212">
        <v>-30000</v>
      </c>
    </row>
    <row r="4085" spans="5:7" ht="15.75" x14ac:dyDescent="0.25">
      <c r="F4085" s="178" t="s">
        <v>906</v>
      </c>
      <c r="G4085" s="212">
        <v>-20000</v>
      </c>
    </row>
    <row r="4086" spans="5:7" ht="15.75" x14ac:dyDescent="0.25">
      <c r="F4086" s="178" t="s">
        <v>881</v>
      </c>
      <c r="G4086" s="212">
        <v>-3000</v>
      </c>
    </row>
    <row r="4087" spans="5:7" ht="15.75" x14ac:dyDescent="0.25">
      <c r="E4087" s="91">
        <v>46156</v>
      </c>
      <c r="F4087" s="178" t="s">
        <v>916</v>
      </c>
      <c r="G4087" s="212">
        <v>-975</v>
      </c>
    </row>
    <row r="4088" spans="5:7" ht="15.75" x14ac:dyDescent="0.25">
      <c r="F4088" s="178" t="s">
        <v>250</v>
      </c>
      <c r="G4088" s="212">
        <v>-465.42</v>
      </c>
    </row>
    <row r="4089" spans="5:7" ht="15.75" x14ac:dyDescent="0.25">
      <c r="F4089" s="214" t="s">
        <v>918</v>
      </c>
      <c r="G4089" s="210">
        <v>7524</v>
      </c>
    </row>
    <row r="4090" spans="5:7" ht="15.75" x14ac:dyDescent="0.25">
      <c r="F4090" s="214" t="s">
        <v>920</v>
      </c>
      <c r="G4090" s="210">
        <v>500</v>
      </c>
    </row>
    <row r="4091" spans="5:7" ht="15.75" x14ac:dyDescent="0.25">
      <c r="F4091" s="178" t="s">
        <v>535</v>
      </c>
      <c r="G4091" s="212">
        <v>-5.15</v>
      </c>
    </row>
    <row r="4092" spans="5:7" x14ac:dyDescent="0.25">
      <c r="F4092" s="78"/>
      <c r="G4092" s="78"/>
    </row>
    <row r="4093" spans="5:7" ht="15.75" x14ac:dyDescent="0.25">
      <c r="F4093" s="78" t="s">
        <v>596</v>
      </c>
      <c r="G4093" s="189">
        <f>SUM(G4070:G4092)</f>
        <v>6506.0000000000073</v>
      </c>
    </row>
    <row r="4095" spans="5:7" x14ac:dyDescent="0.25">
      <c r="F4095" t="s">
        <v>361</v>
      </c>
      <c r="G4095" s="121">
        <v>1342</v>
      </c>
    </row>
    <row r="4097" spans="5:13" x14ac:dyDescent="0.25">
      <c r="G4097" s="239">
        <f>G4093+G4095</f>
        <v>7848.0000000000073</v>
      </c>
    </row>
    <row r="4108" spans="5:13" ht="18.75" x14ac:dyDescent="0.3">
      <c r="E4108" s="314" t="s">
        <v>924</v>
      </c>
      <c r="F4108" s="315"/>
      <c r="G4108" s="315"/>
      <c r="H4108" s="315"/>
      <c r="I4108" s="315"/>
      <c r="J4108" s="315"/>
      <c r="K4108" s="315"/>
      <c r="L4108" s="315"/>
      <c r="M4108" s="315"/>
    </row>
    <row r="4109" spans="5:13" x14ac:dyDescent="0.25">
      <c r="E4109" s="78"/>
      <c r="F4109" s="78"/>
      <c r="G4109" s="78"/>
      <c r="H4109" s="78"/>
      <c r="I4109" s="78"/>
      <c r="J4109" s="78"/>
      <c r="K4109" s="78"/>
      <c r="L4109" s="78"/>
      <c r="M4109" s="78"/>
    </row>
    <row r="4110" spans="5:13" ht="15.75" x14ac:dyDescent="0.25">
      <c r="E4110" s="118" t="s">
        <v>223</v>
      </c>
      <c r="F4110" s="118" t="s">
        <v>206</v>
      </c>
      <c r="G4110" s="118" t="s">
        <v>207</v>
      </c>
      <c r="H4110" s="118" t="s">
        <v>218</v>
      </c>
      <c r="I4110" s="78"/>
      <c r="J4110" s="120" t="s">
        <v>6</v>
      </c>
      <c r="K4110" s="120" t="s">
        <v>217</v>
      </c>
      <c r="L4110" s="120" t="s">
        <v>207</v>
      </c>
      <c r="M4110" s="120" t="s">
        <v>218</v>
      </c>
    </row>
    <row r="4111" spans="5:13" x14ac:dyDescent="0.25">
      <c r="E4111" s="117">
        <v>46087</v>
      </c>
      <c r="F4111" s="78" t="s">
        <v>214</v>
      </c>
      <c r="G4111" s="155" t="s">
        <v>211</v>
      </c>
      <c r="H4111" s="156">
        <v>3200</v>
      </c>
      <c r="I4111" s="175"/>
      <c r="J4111" s="117"/>
      <c r="K4111" s="78"/>
      <c r="L4111" s="78"/>
      <c r="M4111" s="119"/>
    </row>
    <row r="4112" spans="5:13" ht="15.75" x14ac:dyDescent="0.25">
      <c r="E4112" s="78"/>
      <c r="F4112" s="201" t="s">
        <v>429</v>
      </c>
      <c r="G4112" s="201"/>
      <c r="H4112" s="183">
        <v>6095.8</v>
      </c>
      <c r="I4112" s="78"/>
      <c r="J4112" s="117">
        <v>46037</v>
      </c>
      <c r="K4112" s="149" t="s">
        <v>66</v>
      </c>
      <c r="L4112" s="78" t="s">
        <v>222</v>
      </c>
      <c r="M4112" s="119">
        <v>2120</v>
      </c>
    </row>
    <row r="4113" spans="5:13" x14ac:dyDescent="0.25">
      <c r="E4113" s="117">
        <v>46156</v>
      </c>
      <c r="F4113" s="78" t="s">
        <v>353</v>
      </c>
      <c r="G4113" s="166"/>
      <c r="H4113" s="167">
        <v>4440</v>
      </c>
      <c r="I4113" s="78"/>
      <c r="J4113" s="117"/>
      <c r="K4113" s="149"/>
      <c r="L4113" s="78"/>
      <c r="M4113" s="119"/>
    </row>
    <row r="4114" spans="5:13" ht="15.75" x14ac:dyDescent="0.25">
      <c r="E4114" s="117">
        <v>46156</v>
      </c>
      <c r="F4114" s="78" t="s">
        <v>471</v>
      </c>
      <c r="G4114" s="166"/>
      <c r="H4114" s="167">
        <v>3902</v>
      </c>
      <c r="I4114" s="78"/>
      <c r="J4114" s="184"/>
      <c r="K4114" s="78" t="s">
        <v>865</v>
      </c>
      <c r="L4114" s="185"/>
      <c r="M4114" s="140">
        <v>4340</v>
      </c>
    </row>
    <row r="4115" spans="5:13" ht="15.75" x14ac:dyDescent="0.25">
      <c r="E4115" s="117">
        <v>46156</v>
      </c>
      <c r="F4115" s="78" t="s">
        <v>923</v>
      </c>
      <c r="G4115" s="166"/>
      <c r="H4115" s="167">
        <v>7000</v>
      </c>
      <c r="I4115" s="119"/>
      <c r="J4115" s="184">
        <v>46153</v>
      </c>
      <c r="K4115" s="78" t="s">
        <v>216</v>
      </c>
      <c r="L4115" s="185"/>
      <c r="M4115" s="140">
        <v>10500</v>
      </c>
    </row>
    <row r="4116" spans="5:13" ht="15.75" x14ac:dyDescent="0.25">
      <c r="E4116" s="117">
        <v>46156</v>
      </c>
      <c r="F4116" s="78" t="s">
        <v>834</v>
      </c>
      <c r="G4116" s="166"/>
      <c r="H4116" s="167">
        <v>6465</v>
      </c>
      <c r="I4116" s="119"/>
      <c r="J4116" s="184"/>
      <c r="K4116" s="78" t="s">
        <v>82</v>
      </c>
      <c r="L4116" s="185"/>
      <c r="M4116" s="140">
        <v>7190</v>
      </c>
    </row>
    <row r="4117" spans="5:13" ht="15.75" x14ac:dyDescent="0.25">
      <c r="E4117" s="117"/>
      <c r="F4117" s="240" t="s">
        <v>907</v>
      </c>
      <c r="G4117" s="241"/>
      <c r="H4117" s="242">
        <v>44088.07</v>
      </c>
      <c r="I4117" s="78"/>
      <c r="J4117" s="184"/>
      <c r="K4117" s="78" t="s">
        <v>912</v>
      </c>
      <c r="L4117" s="185"/>
      <c r="M4117" s="140">
        <v>1300</v>
      </c>
    </row>
    <row r="4118" spans="5:13" ht="15.75" x14ac:dyDescent="0.25">
      <c r="E4118" s="117"/>
      <c r="F4118" s="78"/>
      <c r="G4118" s="166"/>
      <c r="H4118" s="167">
        <v>3775</v>
      </c>
      <c r="I4118" s="78"/>
      <c r="J4118" s="184"/>
      <c r="K4118" s="78"/>
      <c r="L4118" s="185"/>
      <c r="M4118" s="140"/>
    </row>
    <row r="4119" spans="5:13" x14ac:dyDescent="0.25">
      <c r="E4119" s="117"/>
      <c r="F4119" s="78"/>
      <c r="G4119" s="166"/>
      <c r="H4119" s="167"/>
      <c r="I4119" s="78"/>
      <c r="J4119" s="78"/>
      <c r="K4119" s="78"/>
      <c r="L4119" s="78"/>
      <c r="M4119" s="119"/>
    </row>
    <row r="4120" spans="5:13" ht="18.75" x14ac:dyDescent="0.3">
      <c r="E4120" s="78"/>
      <c r="F4120" s="78"/>
      <c r="G4120" s="78"/>
      <c r="H4120" s="122">
        <f>SUM(H4111:H4119)</f>
        <v>78965.87</v>
      </c>
      <c r="J4120" s="78"/>
      <c r="K4120" s="126" t="s">
        <v>226</v>
      </c>
      <c r="L4120" s="126"/>
      <c r="M4120" s="127">
        <f>SUM(M4111:M4119)</f>
        <v>25450</v>
      </c>
    </row>
    <row r="4121" spans="5:13" x14ac:dyDescent="0.25">
      <c r="H4121" s="157"/>
    </row>
    <row r="4122" spans="5:13" x14ac:dyDescent="0.25">
      <c r="G4122" s="101" t="s">
        <v>224</v>
      </c>
      <c r="H4122" s="101">
        <v>37099.379999999997</v>
      </c>
      <c r="M4122" s="121"/>
    </row>
    <row r="4123" spans="5:13" x14ac:dyDescent="0.25">
      <c r="E4123" s="121"/>
      <c r="L4123" s="121"/>
    </row>
    <row r="4124" spans="5:13" x14ac:dyDescent="0.25">
      <c r="L4124" s="121"/>
    </row>
    <row r="4125" spans="5:13" ht="18.75" x14ac:dyDescent="0.3">
      <c r="E4125" s="121"/>
      <c r="G4125" s="99" t="s">
        <v>225</v>
      </c>
      <c r="H4125" s="125">
        <f>SUM(H4120+H4122)</f>
        <v>116065.25</v>
      </c>
    </row>
    <row r="4126" spans="5:13" ht="15.75" x14ac:dyDescent="0.25">
      <c r="E4126" s="121"/>
      <c r="J4126" s="316" t="s">
        <v>227</v>
      </c>
      <c r="K4126" s="317"/>
      <c r="L4126" s="140">
        <f>H4125-M4120</f>
        <v>90615.25</v>
      </c>
    </row>
    <row r="4127" spans="5:13" ht="15.75" x14ac:dyDescent="0.25">
      <c r="L4127" s="89"/>
    </row>
    <row r="4128" spans="5:13" ht="15.75" x14ac:dyDescent="0.25">
      <c r="I4128" s="121"/>
      <c r="J4128" s="128" t="s">
        <v>285</v>
      </c>
      <c r="L4128" s="124">
        <f>G4158</f>
        <v>12290.01</v>
      </c>
    </row>
    <row r="4132" spans="5:13" ht="21" x14ac:dyDescent="0.35">
      <c r="E4132" s="91"/>
      <c r="K4132" s="198" t="s">
        <v>286</v>
      </c>
      <c r="L4132" s="137">
        <f>SUM(L4126:L4128)</f>
        <v>102905.26</v>
      </c>
    </row>
    <row r="4133" spans="5:13" x14ac:dyDescent="0.25">
      <c r="L4133" s="157">
        <v>102062.46</v>
      </c>
      <c r="M4133" s="39" t="s">
        <v>76</v>
      </c>
    </row>
    <row r="4134" spans="5:13" ht="15.75" x14ac:dyDescent="0.25">
      <c r="F4134" s="132" t="s">
        <v>235</v>
      </c>
      <c r="G4134" s="133">
        <v>3988.72</v>
      </c>
    </row>
    <row r="4135" spans="5:13" ht="18.75" x14ac:dyDescent="0.3">
      <c r="E4135" s="91">
        <v>46153</v>
      </c>
      <c r="F4135" s="91" t="s">
        <v>856</v>
      </c>
      <c r="G4135">
        <v>3000</v>
      </c>
      <c r="L4135" s="154">
        <f>L4132-L4133</f>
        <v>842.79999999998836</v>
      </c>
    </row>
    <row r="4136" spans="5:13" ht="18.75" x14ac:dyDescent="0.3">
      <c r="F4136" t="s">
        <v>866</v>
      </c>
      <c r="G4136">
        <v>485</v>
      </c>
      <c r="L4136" s="125"/>
    </row>
    <row r="4137" spans="5:13" ht="18.75" x14ac:dyDescent="0.3">
      <c r="F4137" s="139" t="s">
        <v>868</v>
      </c>
      <c r="G4137" s="139">
        <v>-1400</v>
      </c>
      <c r="L4137" s="125"/>
    </row>
    <row r="4138" spans="5:13" x14ac:dyDescent="0.25">
      <c r="F4138" t="s">
        <v>874</v>
      </c>
      <c r="G4138">
        <v>-50</v>
      </c>
    </row>
    <row r="4139" spans="5:13" x14ac:dyDescent="0.25">
      <c r="F4139" t="s">
        <v>93</v>
      </c>
      <c r="G4139">
        <v>4962.6000000000004</v>
      </c>
      <c r="I4139" s="121"/>
      <c r="L4139" s="121"/>
    </row>
    <row r="4140" spans="5:13" x14ac:dyDescent="0.25">
      <c r="E4140" s="91">
        <v>46154</v>
      </c>
      <c r="F4140" t="s">
        <v>879</v>
      </c>
      <c r="G4140">
        <v>2000</v>
      </c>
      <c r="I4140" s="121"/>
    </row>
    <row r="4141" spans="5:13" x14ac:dyDescent="0.25">
      <c r="E4141" s="91"/>
      <c r="F4141" t="s">
        <v>883</v>
      </c>
      <c r="G4141">
        <v>125.25</v>
      </c>
    </row>
    <row r="4142" spans="5:13" x14ac:dyDescent="0.25">
      <c r="E4142" s="91"/>
      <c r="F4142" t="s">
        <v>93</v>
      </c>
      <c r="G4142">
        <v>1544</v>
      </c>
    </row>
    <row r="4143" spans="5:13" x14ac:dyDescent="0.25">
      <c r="E4143" s="91"/>
      <c r="F4143" t="s">
        <v>892</v>
      </c>
      <c r="G4143">
        <v>95</v>
      </c>
    </row>
    <row r="4144" spans="5:13" x14ac:dyDescent="0.25">
      <c r="E4144" s="91"/>
      <c r="F4144" t="s">
        <v>895</v>
      </c>
      <c r="G4144">
        <v>2200</v>
      </c>
    </row>
    <row r="4145" spans="5:11" x14ac:dyDescent="0.25">
      <c r="E4145" s="91"/>
      <c r="F4145" t="s">
        <v>896</v>
      </c>
      <c r="G4145">
        <v>2730</v>
      </c>
      <c r="I4145" s="150"/>
    </row>
    <row r="4146" spans="5:11" ht="15.75" x14ac:dyDescent="0.25">
      <c r="E4146" s="91"/>
      <c r="F4146" t="s">
        <v>909</v>
      </c>
      <c r="G4146">
        <v>2555</v>
      </c>
      <c r="J4146" s="322" t="s">
        <v>570</v>
      </c>
      <c r="K4146" s="322"/>
    </row>
    <row r="4147" spans="5:11" x14ac:dyDescent="0.25">
      <c r="E4147" s="91">
        <v>46156</v>
      </c>
      <c r="F4147" t="s">
        <v>910</v>
      </c>
      <c r="G4147">
        <v>5045</v>
      </c>
      <c r="J4147" s="220" t="s">
        <v>595</v>
      </c>
      <c r="K4147" s="221">
        <v>54357.93</v>
      </c>
    </row>
    <row r="4148" spans="5:11" x14ac:dyDescent="0.25">
      <c r="E4148" s="91"/>
      <c r="F4148" t="s">
        <v>911</v>
      </c>
      <c r="G4148">
        <v>2600</v>
      </c>
      <c r="J4148" s="163" t="s">
        <v>878</v>
      </c>
      <c r="K4148" s="164">
        <v>-970</v>
      </c>
    </row>
    <row r="4149" spans="5:11" x14ac:dyDescent="0.25">
      <c r="E4149" s="91"/>
      <c r="F4149" t="s">
        <v>914</v>
      </c>
      <c r="G4149">
        <v>2700</v>
      </c>
      <c r="J4149" s="150" t="s">
        <v>905</v>
      </c>
      <c r="K4149" s="151">
        <v>-30000</v>
      </c>
    </row>
    <row r="4150" spans="5:11" x14ac:dyDescent="0.25">
      <c r="E4150" s="91"/>
      <c r="F4150" s="139" t="s">
        <v>917</v>
      </c>
      <c r="G4150" s="139">
        <v>-25000</v>
      </c>
      <c r="J4150" s="150" t="s">
        <v>905</v>
      </c>
      <c r="K4150" s="151">
        <v>-30000</v>
      </c>
    </row>
    <row r="4151" spans="5:11" x14ac:dyDescent="0.25">
      <c r="E4151" s="91"/>
      <c r="F4151" s="139" t="s">
        <v>921</v>
      </c>
      <c r="G4151" s="139">
        <v>-500</v>
      </c>
      <c r="J4151" s="150" t="s">
        <v>905</v>
      </c>
      <c r="K4151" s="151">
        <v>-20000</v>
      </c>
    </row>
    <row r="4152" spans="5:11" x14ac:dyDescent="0.25">
      <c r="E4152" s="91"/>
      <c r="F4152" s="139" t="s">
        <v>922</v>
      </c>
      <c r="G4152" s="139">
        <v>1529.44</v>
      </c>
      <c r="J4152" s="150" t="s">
        <v>919</v>
      </c>
      <c r="K4152" s="151">
        <v>-17476</v>
      </c>
    </row>
    <row r="4153" spans="5:11" x14ac:dyDescent="0.25">
      <c r="E4153" s="91">
        <v>46127</v>
      </c>
      <c r="F4153" s="139" t="s">
        <v>374</v>
      </c>
      <c r="G4153" s="139">
        <v>3440</v>
      </c>
    </row>
    <row r="4154" spans="5:11" ht="15.75" x14ac:dyDescent="0.25">
      <c r="E4154" s="91"/>
      <c r="F4154" s="71" t="s">
        <v>929</v>
      </c>
      <c r="G4154" s="71">
        <v>240</v>
      </c>
      <c r="K4154" s="133">
        <f>SUM(K4147:K4153)</f>
        <v>-44088.07</v>
      </c>
    </row>
    <row r="4155" spans="5:11" x14ac:dyDescent="0.25">
      <c r="F4155" s="139"/>
      <c r="G4155" s="139"/>
    </row>
    <row r="4156" spans="5:11" x14ac:dyDescent="0.25">
      <c r="E4156" s="91"/>
      <c r="F4156" s="139"/>
      <c r="G4156" s="139"/>
    </row>
    <row r="4158" spans="5:11" ht="15.75" x14ac:dyDescent="0.25">
      <c r="F4158" s="132" t="s">
        <v>236</v>
      </c>
      <c r="G4158" s="133">
        <f>SUM(G4134:G4157)</f>
        <v>12290.01</v>
      </c>
    </row>
    <row r="4161" spans="5:8" x14ac:dyDescent="0.25">
      <c r="G4161">
        <v>-11.9</v>
      </c>
    </row>
    <row r="4163" spans="5:8" x14ac:dyDescent="0.25">
      <c r="F4163" s="39"/>
      <c r="G4163" s="157">
        <f>SUM(G4158:G4162)</f>
        <v>12278.11</v>
      </c>
    </row>
    <row r="4169" spans="5:8" ht="18.75" x14ac:dyDescent="0.3">
      <c r="H4169" s="238"/>
    </row>
    <row r="4170" spans="5:8" ht="15.75" x14ac:dyDescent="0.25">
      <c r="F4170" s="166" t="s">
        <v>429</v>
      </c>
      <c r="G4170" s="131">
        <v>80217.570000000007</v>
      </c>
    </row>
    <row r="4171" spans="5:8" ht="15.75" x14ac:dyDescent="0.25">
      <c r="E4171" s="91">
        <v>46153</v>
      </c>
      <c r="F4171" s="166" t="s">
        <v>858</v>
      </c>
      <c r="G4171" s="171">
        <v>3540.6</v>
      </c>
    </row>
    <row r="4172" spans="5:8" ht="15.75" x14ac:dyDescent="0.25">
      <c r="F4172" s="166" t="s">
        <v>859</v>
      </c>
      <c r="G4172" s="140">
        <v>3554.56</v>
      </c>
    </row>
    <row r="4173" spans="5:8" ht="15.75" x14ac:dyDescent="0.25">
      <c r="F4173" s="178" t="s">
        <v>272</v>
      </c>
      <c r="G4173" s="212">
        <v>-481.86</v>
      </c>
    </row>
    <row r="4174" spans="5:8" ht="15.75" x14ac:dyDescent="0.25">
      <c r="F4174" s="178" t="s">
        <v>881</v>
      </c>
      <c r="G4174" s="212">
        <v>-3000</v>
      </c>
    </row>
    <row r="4175" spans="5:8" ht="15.75" x14ac:dyDescent="0.25">
      <c r="F4175" s="214" t="s">
        <v>605</v>
      </c>
      <c r="G4175" s="210">
        <v>355</v>
      </c>
    </row>
    <row r="4176" spans="5:8" ht="15.75" x14ac:dyDescent="0.25">
      <c r="F4176" s="178" t="s">
        <v>891</v>
      </c>
      <c r="G4176" s="212">
        <v>-10</v>
      </c>
    </row>
    <row r="4177" spans="5:7" ht="15.75" x14ac:dyDescent="0.25">
      <c r="F4177" s="178" t="s">
        <v>535</v>
      </c>
      <c r="G4177" s="212">
        <v>-1.3</v>
      </c>
    </row>
    <row r="4178" spans="5:7" ht="15.75" x14ac:dyDescent="0.25">
      <c r="F4178" s="178" t="s">
        <v>893</v>
      </c>
      <c r="G4178" s="212">
        <v>-5810</v>
      </c>
    </row>
    <row r="4179" spans="5:7" ht="15.75" x14ac:dyDescent="0.25">
      <c r="E4179" s="91">
        <v>46155</v>
      </c>
      <c r="F4179" s="178" t="s">
        <v>897</v>
      </c>
      <c r="G4179" s="212">
        <v>-2400</v>
      </c>
    </row>
    <row r="4180" spans="5:7" ht="15.75" x14ac:dyDescent="0.25">
      <c r="F4180" s="214" t="s">
        <v>898</v>
      </c>
      <c r="G4180" s="210">
        <v>1400</v>
      </c>
    </row>
    <row r="4181" spans="5:7" ht="15.75" x14ac:dyDescent="0.25">
      <c r="F4181" s="178" t="s">
        <v>899</v>
      </c>
      <c r="G4181" s="212">
        <v>-20</v>
      </c>
    </row>
    <row r="4182" spans="5:7" ht="15.75" x14ac:dyDescent="0.25">
      <c r="F4182" s="178" t="s">
        <v>903</v>
      </c>
      <c r="G4182" s="212">
        <v>5583</v>
      </c>
    </row>
    <row r="4183" spans="5:7" ht="15.75" x14ac:dyDescent="0.25">
      <c r="F4183" s="178" t="s">
        <v>906</v>
      </c>
      <c r="G4183" s="212">
        <v>-30000</v>
      </c>
    </row>
    <row r="4184" spans="5:7" ht="15.75" x14ac:dyDescent="0.25">
      <c r="F4184" s="178" t="s">
        <v>906</v>
      </c>
      <c r="G4184" s="212">
        <v>-30000</v>
      </c>
    </row>
    <row r="4185" spans="5:7" ht="15.75" x14ac:dyDescent="0.25">
      <c r="F4185" s="178" t="s">
        <v>906</v>
      </c>
      <c r="G4185" s="212">
        <v>-20000</v>
      </c>
    </row>
    <row r="4186" spans="5:7" ht="15.75" x14ac:dyDescent="0.25">
      <c r="F4186" s="178" t="s">
        <v>881</v>
      </c>
      <c r="G4186" s="212">
        <v>-3000</v>
      </c>
    </row>
    <row r="4187" spans="5:7" ht="15.75" x14ac:dyDescent="0.25">
      <c r="E4187" s="91">
        <v>46156</v>
      </c>
      <c r="F4187" s="178" t="s">
        <v>916</v>
      </c>
      <c r="G4187" s="212">
        <v>-975</v>
      </c>
    </row>
    <row r="4188" spans="5:7" ht="15.75" x14ac:dyDescent="0.25">
      <c r="F4188" s="178" t="s">
        <v>250</v>
      </c>
      <c r="G4188" s="212">
        <v>-465.42</v>
      </c>
    </row>
    <row r="4189" spans="5:7" ht="15.75" x14ac:dyDescent="0.25">
      <c r="F4189" s="214" t="s">
        <v>918</v>
      </c>
      <c r="G4189" s="210">
        <v>7524</v>
      </c>
    </row>
    <row r="4190" spans="5:7" ht="15.75" x14ac:dyDescent="0.25">
      <c r="F4190" s="214" t="s">
        <v>920</v>
      </c>
      <c r="G4190" s="210">
        <v>500</v>
      </c>
    </row>
    <row r="4191" spans="5:7" ht="15.75" x14ac:dyDescent="0.25">
      <c r="F4191" s="178" t="s">
        <v>535</v>
      </c>
      <c r="G4191" s="212">
        <v>-5.15</v>
      </c>
    </row>
    <row r="4192" spans="5:7" ht="15.75" x14ac:dyDescent="0.25">
      <c r="E4192" s="91">
        <v>46157</v>
      </c>
      <c r="F4192" s="178" t="s">
        <v>897</v>
      </c>
      <c r="G4192" s="212">
        <v>-2400</v>
      </c>
    </row>
    <row r="4193" spans="6:7" ht="15.75" x14ac:dyDescent="0.25">
      <c r="F4193" s="178" t="s">
        <v>927</v>
      </c>
      <c r="G4193" s="212">
        <v>2230</v>
      </c>
    </row>
    <row r="4194" spans="6:7" ht="15.75" x14ac:dyDescent="0.25">
      <c r="F4194" s="178" t="s">
        <v>928</v>
      </c>
      <c r="G4194" s="212">
        <v>-240</v>
      </c>
    </row>
    <row r="4195" spans="6:7" ht="15.75" x14ac:dyDescent="0.25">
      <c r="F4195" s="178" t="s">
        <v>535</v>
      </c>
      <c r="G4195" s="212">
        <v>-0.2</v>
      </c>
    </row>
    <row r="4196" spans="6:7" ht="15.75" x14ac:dyDescent="0.25">
      <c r="F4196" s="178"/>
      <c r="G4196" s="212"/>
    </row>
    <row r="4197" spans="6:7" x14ac:dyDescent="0.25">
      <c r="F4197" s="78"/>
      <c r="G4197" s="78"/>
    </row>
    <row r="4198" spans="6:7" ht="15.75" x14ac:dyDescent="0.25">
      <c r="F4198" s="78" t="s">
        <v>596</v>
      </c>
      <c r="G4198" s="189">
        <f>SUM(G4170:G4197)</f>
        <v>6095.8000000000075</v>
      </c>
    </row>
    <row r="4200" spans="6:7" x14ac:dyDescent="0.25">
      <c r="F4200" t="s">
        <v>361</v>
      </c>
      <c r="G4200" s="121">
        <v>1342</v>
      </c>
    </row>
    <row r="4202" spans="6:7" x14ac:dyDescent="0.25">
      <c r="G4202" s="239">
        <f>G4198+G4200</f>
        <v>7437.8000000000075</v>
      </c>
    </row>
    <row r="4217" spans="5:13" ht="18.75" x14ac:dyDescent="0.3">
      <c r="E4217" s="314" t="s">
        <v>930</v>
      </c>
      <c r="F4217" s="315"/>
      <c r="G4217" s="315"/>
      <c r="H4217" s="315"/>
      <c r="I4217" s="315"/>
      <c r="J4217" s="315"/>
      <c r="K4217" s="315"/>
      <c r="L4217" s="315"/>
      <c r="M4217" s="315"/>
    </row>
    <row r="4218" spans="5:13" x14ac:dyDescent="0.25">
      <c r="E4218" s="78"/>
      <c r="F4218" s="78"/>
      <c r="G4218" s="78"/>
      <c r="H4218" s="78"/>
      <c r="I4218" s="78"/>
      <c r="J4218" s="78"/>
      <c r="K4218" s="78"/>
      <c r="L4218" s="78"/>
      <c r="M4218" s="78"/>
    </row>
    <row r="4219" spans="5:13" ht="15.75" x14ac:dyDescent="0.25">
      <c r="E4219" s="118" t="s">
        <v>223</v>
      </c>
      <c r="F4219" s="118" t="s">
        <v>206</v>
      </c>
      <c r="G4219" s="118" t="s">
        <v>207</v>
      </c>
      <c r="H4219" s="118" t="s">
        <v>218</v>
      </c>
      <c r="I4219" s="78"/>
      <c r="J4219" s="120" t="s">
        <v>6</v>
      </c>
      <c r="K4219" s="120" t="s">
        <v>217</v>
      </c>
      <c r="L4219" s="120" t="s">
        <v>207</v>
      </c>
      <c r="M4219" s="120" t="s">
        <v>218</v>
      </c>
    </row>
    <row r="4220" spans="5:13" x14ac:dyDescent="0.25">
      <c r="E4220" s="117">
        <v>46087</v>
      </c>
      <c r="F4220" s="78" t="s">
        <v>214</v>
      </c>
      <c r="G4220" s="155" t="s">
        <v>211</v>
      </c>
      <c r="H4220" s="156">
        <v>3100</v>
      </c>
      <c r="I4220" s="175"/>
      <c r="J4220" s="117"/>
      <c r="K4220" s="78"/>
      <c r="L4220" s="78"/>
      <c r="M4220" s="119"/>
    </row>
    <row r="4221" spans="5:13" ht="15.75" x14ac:dyDescent="0.25">
      <c r="E4221" s="78"/>
      <c r="F4221" s="201" t="s">
        <v>429</v>
      </c>
      <c r="G4221" s="201"/>
      <c r="H4221" s="183">
        <v>6085.8</v>
      </c>
      <c r="I4221" s="78"/>
      <c r="J4221" s="117">
        <v>46037</v>
      </c>
      <c r="K4221" s="149" t="s">
        <v>66</v>
      </c>
      <c r="L4221" s="78" t="s">
        <v>222</v>
      </c>
      <c r="M4221" s="119">
        <v>2120</v>
      </c>
    </row>
    <row r="4222" spans="5:13" x14ac:dyDescent="0.25">
      <c r="E4222" s="117">
        <v>46156</v>
      </c>
      <c r="F4222" s="78" t="s">
        <v>353</v>
      </c>
      <c r="G4222" s="166"/>
      <c r="H4222" s="167">
        <v>4440</v>
      </c>
      <c r="I4222" s="78"/>
      <c r="J4222" s="117"/>
      <c r="K4222" s="149"/>
      <c r="L4222" s="78"/>
      <c r="M4222" s="119"/>
    </row>
    <row r="4223" spans="5:13" ht="15.75" x14ac:dyDescent="0.25">
      <c r="E4223" s="117">
        <v>46156</v>
      </c>
      <c r="F4223" s="78" t="s">
        <v>471</v>
      </c>
      <c r="G4223" s="166"/>
      <c r="H4223" s="167">
        <v>3902</v>
      </c>
      <c r="I4223" s="78"/>
      <c r="J4223" s="184"/>
      <c r="K4223" s="78" t="s">
        <v>865</v>
      </c>
      <c r="L4223" s="185"/>
      <c r="M4223" s="140">
        <v>4340</v>
      </c>
    </row>
    <row r="4224" spans="5:13" ht="15.75" x14ac:dyDescent="0.25">
      <c r="E4224" s="117">
        <v>46156</v>
      </c>
      <c r="F4224" s="78" t="s">
        <v>923</v>
      </c>
      <c r="G4224" s="166"/>
      <c r="H4224" s="167">
        <v>7000</v>
      </c>
      <c r="I4224" s="119"/>
      <c r="J4224" s="184">
        <v>46153</v>
      </c>
      <c r="K4224" s="78" t="s">
        <v>216</v>
      </c>
      <c r="L4224" s="185"/>
      <c r="M4224" s="140">
        <v>12500</v>
      </c>
    </row>
    <row r="4225" spans="5:13" ht="15.75" x14ac:dyDescent="0.25">
      <c r="E4225" s="117">
        <v>46156</v>
      </c>
      <c r="F4225" s="78" t="s">
        <v>834</v>
      </c>
      <c r="G4225" s="166"/>
      <c r="H4225" s="167">
        <v>6465</v>
      </c>
      <c r="I4225" s="119"/>
      <c r="J4225" s="184"/>
      <c r="K4225" s="78" t="s">
        <v>82</v>
      </c>
      <c r="L4225" s="185"/>
      <c r="M4225" s="140">
        <v>9490</v>
      </c>
    </row>
    <row r="4226" spans="5:13" ht="15.75" x14ac:dyDescent="0.25">
      <c r="E4226" s="117"/>
      <c r="F4226" s="240" t="s">
        <v>907</v>
      </c>
      <c r="G4226" s="241"/>
      <c r="H4226" s="242">
        <v>44088.07</v>
      </c>
      <c r="I4226" s="78"/>
      <c r="J4226" s="184"/>
      <c r="K4226" s="78" t="s">
        <v>932</v>
      </c>
      <c r="L4226" s="185"/>
      <c r="M4226" s="140">
        <v>260</v>
      </c>
    </row>
    <row r="4227" spans="5:13" ht="15.75" x14ac:dyDescent="0.25">
      <c r="E4227" s="117"/>
      <c r="F4227" s="78"/>
      <c r="G4227" s="166"/>
      <c r="H4227" s="167"/>
      <c r="I4227" s="78"/>
      <c r="J4227" s="184"/>
      <c r="K4227" s="78"/>
      <c r="L4227" s="185"/>
      <c r="M4227" s="140"/>
    </row>
    <row r="4228" spans="5:13" x14ac:dyDescent="0.25">
      <c r="E4228" s="78"/>
      <c r="F4228" s="78"/>
      <c r="G4228" s="78"/>
      <c r="H4228" s="122">
        <f>SUM(H4220:H4227)</f>
        <v>75080.87</v>
      </c>
      <c r="I4228" s="78"/>
      <c r="J4228" s="78"/>
      <c r="K4228" s="78"/>
      <c r="L4228" s="78"/>
      <c r="M4228" s="119"/>
    </row>
    <row r="4229" spans="5:13" ht="18.75" x14ac:dyDescent="0.3">
      <c r="H4229" s="157"/>
      <c r="J4229" s="78"/>
      <c r="K4229" s="126" t="s">
        <v>226</v>
      </c>
      <c r="L4229" s="126"/>
      <c r="M4229" s="127">
        <f>SUM(M4220:M4228)</f>
        <v>28710</v>
      </c>
    </row>
    <row r="4230" spans="5:13" x14ac:dyDescent="0.25">
      <c r="G4230" s="101" t="s">
        <v>224</v>
      </c>
      <c r="H4230" s="101">
        <v>37585.379999999997</v>
      </c>
    </row>
    <row r="4231" spans="5:13" x14ac:dyDescent="0.25">
      <c r="E4231" s="121"/>
      <c r="M4231" s="121"/>
    </row>
    <row r="4232" spans="5:13" x14ac:dyDescent="0.25">
      <c r="L4232" s="121"/>
    </row>
    <row r="4233" spans="5:13" ht="18.75" x14ac:dyDescent="0.3">
      <c r="E4233" s="121"/>
      <c r="G4233" s="99" t="s">
        <v>225</v>
      </c>
      <c r="H4233" s="125">
        <f>SUM(H4228+H4230)</f>
        <v>112666.25</v>
      </c>
      <c r="L4233" s="121"/>
    </row>
    <row r="4234" spans="5:13" x14ac:dyDescent="0.25">
      <c r="E4234" s="121"/>
    </row>
    <row r="4235" spans="5:13" ht="15.75" x14ac:dyDescent="0.25">
      <c r="J4235" s="316" t="s">
        <v>227</v>
      </c>
      <c r="K4235" s="317"/>
      <c r="L4235" s="140">
        <f>H4233-M4229</f>
        <v>83956.25</v>
      </c>
    </row>
    <row r="4236" spans="5:13" ht="15.75" x14ac:dyDescent="0.25">
      <c r="L4236" s="89"/>
    </row>
    <row r="4237" spans="5:13" ht="15.75" x14ac:dyDescent="0.25">
      <c r="I4237" s="121"/>
      <c r="J4237" s="128" t="s">
        <v>285</v>
      </c>
      <c r="L4237" s="124">
        <f>G4275</f>
        <v>17323.010000000002</v>
      </c>
    </row>
    <row r="4240" spans="5:13" x14ac:dyDescent="0.25">
      <c r="E4240" s="91"/>
    </row>
    <row r="4241" spans="5:13" ht="21" x14ac:dyDescent="0.35">
      <c r="K4241" s="198" t="s">
        <v>286</v>
      </c>
      <c r="L4241" s="137">
        <f>SUM(L4235:L4237)</f>
        <v>101279.26000000001</v>
      </c>
    </row>
    <row r="4242" spans="5:13" ht="15.75" x14ac:dyDescent="0.25">
      <c r="F4242" s="132" t="s">
        <v>235</v>
      </c>
      <c r="G4242" s="133">
        <v>3988.72</v>
      </c>
      <c r="L4242" s="157">
        <v>102905.26</v>
      </c>
      <c r="M4242" s="39" t="s">
        <v>76</v>
      </c>
    </row>
    <row r="4243" spans="5:13" x14ac:dyDescent="0.25">
      <c r="E4243" s="91">
        <v>46153</v>
      </c>
      <c r="F4243" s="91" t="s">
        <v>856</v>
      </c>
      <c r="G4243">
        <v>3000</v>
      </c>
    </row>
    <row r="4244" spans="5:13" ht="18.75" x14ac:dyDescent="0.3">
      <c r="F4244" t="s">
        <v>866</v>
      </c>
      <c r="G4244">
        <v>485</v>
      </c>
      <c r="L4244" s="154">
        <f>L4241-L4242</f>
        <v>-1625.9999999999854</v>
      </c>
    </row>
    <row r="4245" spans="5:13" ht="18.75" x14ac:dyDescent="0.3">
      <c r="F4245" s="139" t="s">
        <v>868</v>
      </c>
      <c r="G4245" s="139">
        <v>-1400</v>
      </c>
      <c r="L4245" s="125"/>
    </row>
    <row r="4246" spans="5:13" ht="18.75" x14ac:dyDescent="0.3">
      <c r="F4246" t="s">
        <v>874</v>
      </c>
      <c r="G4246">
        <v>-50</v>
      </c>
      <c r="L4246" s="125"/>
    </row>
    <row r="4247" spans="5:13" x14ac:dyDescent="0.25">
      <c r="F4247" t="s">
        <v>93</v>
      </c>
      <c r="G4247">
        <v>4962.6000000000004</v>
      </c>
    </row>
    <row r="4248" spans="5:13" x14ac:dyDescent="0.25">
      <c r="E4248" s="91">
        <v>46154</v>
      </c>
      <c r="F4248" t="s">
        <v>879</v>
      </c>
      <c r="G4248">
        <v>2000</v>
      </c>
      <c r="I4248" s="121"/>
      <c r="L4248" s="121"/>
    </row>
    <row r="4249" spans="5:13" x14ac:dyDescent="0.25">
      <c r="E4249" s="91"/>
      <c r="F4249" t="s">
        <v>883</v>
      </c>
      <c r="G4249">
        <v>125.25</v>
      </c>
      <c r="I4249" s="121"/>
    </row>
    <row r="4250" spans="5:13" x14ac:dyDescent="0.25">
      <c r="E4250" s="91"/>
      <c r="F4250" t="s">
        <v>93</v>
      </c>
      <c r="G4250">
        <v>1544</v>
      </c>
    </row>
    <row r="4251" spans="5:13" x14ac:dyDescent="0.25">
      <c r="E4251" s="91"/>
      <c r="F4251" t="s">
        <v>892</v>
      </c>
      <c r="G4251">
        <v>95</v>
      </c>
    </row>
    <row r="4252" spans="5:13" x14ac:dyDescent="0.25">
      <c r="E4252" s="91"/>
      <c r="F4252" t="s">
        <v>895</v>
      </c>
      <c r="G4252">
        <v>2200</v>
      </c>
    </row>
    <row r="4253" spans="5:13" x14ac:dyDescent="0.25">
      <c r="E4253" s="91"/>
      <c r="F4253" t="s">
        <v>896</v>
      </c>
      <c r="G4253">
        <v>2730</v>
      </c>
    </row>
    <row r="4254" spans="5:13" x14ac:dyDescent="0.25">
      <c r="E4254" s="91"/>
      <c r="F4254" t="s">
        <v>909</v>
      </c>
      <c r="G4254">
        <v>2555</v>
      </c>
      <c r="I4254" s="150"/>
    </row>
    <row r="4255" spans="5:13" ht="15.75" x14ac:dyDescent="0.25">
      <c r="E4255" s="91">
        <v>46156</v>
      </c>
      <c r="F4255" t="s">
        <v>910</v>
      </c>
      <c r="G4255">
        <v>5045</v>
      </c>
      <c r="J4255" s="322" t="s">
        <v>570</v>
      </c>
      <c r="K4255" s="322"/>
    </row>
    <row r="4256" spans="5:13" x14ac:dyDescent="0.25">
      <c r="E4256" s="91"/>
      <c r="F4256" t="s">
        <v>911</v>
      </c>
      <c r="G4256">
        <v>2600</v>
      </c>
      <c r="J4256" s="220" t="s">
        <v>595</v>
      </c>
      <c r="K4256" s="221">
        <v>54357.93</v>
      </c>
    </row>
    <row r="4257" spans="5:11" x14ac:dyDescent="0.25">
      <c r="E4257" s="91"/>
      <c r="F4257" t="s">
        <v>914</v>
      </c>
      <c r="G4257">
        <v>2700</v>
      </c>
      <c r="J4257" s="163" t="s">
        <v>878</v>
      </c>
      <c r="K4257" s="164">
        <v>-970</v>
      </c>
    </row>
    <row r="4258" spans="5:11" x14ac:dyDescent="0.25">
      <c r="E4258" s="91"/>
      <c r="F4258" s="139" t="s">
        <v>917</v>
      </c>
      <c r="G4258" s="139">
        <v>-25000</v>
      </c>
      <c r="J4258" s="150" t="s">
        <v>905</v>
      </c>
      <c r="K4258" s="151">
        <v>-30000</v>
      </c>
    </row>
    <row r="4259" spans="5:11" x14ac:dyDescent="0.25">
      <c r="E4259" s="91"/>
      <c r="F4259" s="139" t="s">
        <v>921</v>
      </c>
      <c r="G4259" s="139">
        <v>-500</v>
      </c>
      <c r="J4259" s="150" t="s">
        <v>905</v>
      </c>
      <c r="K4259" s="151">
        <v>-30000</v>
      </c>
    </row>
    <row r="4260" spans="5:11" x14ac:dyDescent="0.25">
      <c r="E4260" s="91"/>
      <c r="F4260" s="139" t="s">
        <v>922</v>
      </c>
      <c r="G4260" s="139">
        <v>1529.44</v>
      </c>
      <c r="J4260" s="150" t="s">
        <v>905</v>
      </c>
      <c r="K4260" s="151">
        <v>-20000</v>
      </c>
    </row>
    <row r="4261" spans="5:11" x14ac:dyDescent="0.25">
      <c r="E4261" s="91">
        <v>46127</v>
      </c>
      <c r="F4261" s="139" t="s">
        <v>374</v>
      </c>
      <c r="G4261" s="139">
        <v>3440</v>
      </c>
      <c r="J4261" s="150" t="s">
        <v>919</v>
      </c>
      <c r="K4261" s="151">
        <v>-17476</v>
      </c>
    </row>
    <row r="4262" spans="5:11" x14ac:dyDescent="0.25">
      <c r="E4262" s="91"/>
      <c r="F4262" s="71" t="s">
        <v>929</v>
      </c>
      <c r="G4262" s="71">
        <v>240</v>
      </c>
    </row>
    <row r="4263" spans="5:11" ht="15.75" x14ac:dyDescent="0.25">
      <c r="E4263" s="91"/>
      <c r="F4263" s="71" t="s">
        <v>931</v>
      </c>
      <c r="G4263" s="71">
        <v>1590</v>
      </c>
      <c r="K4263" s="133">
        <f>SUM(K4256:K4262)</f>
        <v>-44088.07</v>
      </c>
    </row>
    <row r="4264" spans="5:11" x14ac:dyDescent="0.25">
      <c r="E4264" s="91"/>
      <c r="F4264" s="71" t="s">
        <v>93</v>
      </c>
      <c r="G4264" s="71">
        <v>3775</v>
      </c>
    </row>
    <row r="4265" spans="5:11" x14ac:dyDescent="0.25">
      <c r="E4265" s="91">
        <v>46158</v>
      </c>
      <c r="F4265" s="139" t="s">
        <v>935</v>
      </c>
      <c r="G4265" s="139">
        <v>-565</v>
      </c>
    </row>
    <row r="4266" spans="5:11" x14ac:dyDescent="0.25">
      <c r="E4266" s="91"/>
      <c r="F4266" s="139" t="s">
        <v>936</v>
      </c>
      <c r="G4266" s="139">
        <v>-7</v>
      </c>
    </row>
    <row r="4267" spans="5:11" x14ac:dyDescent="0.25">
      <c r="E4267" s="91"/>
      <c r="F4267" t="s">
        <v>937</v>
      </c>
      <c r="G4267" s="139">
        <v>-455</v>
      </c>
    </row>
    <row r="4268" spans="5:11" x14ac:dyDescent="0.25">
      <c r="E4268" s="91"/>
      <c r="F4268" t="s">
        <v>284</v>
      </c>
      <c r="G4268" s="139">
        <v>-690</v>
      </c>
    </row>
    <row r="4269" spans="5:11" x14ac:dyDescent="0.25">
      <c r="E4269" s="91"/>
      <c r="F4269" t="s">
        <v>938</v>
      </c>
      <c r="G4269" s="139">
        <v>-328</v>
      </c>
    </row>
    <row r="4270" spans="5:11" x14ac:dyDescent="0.25">
      <c r="E4270" s="91"/>
      <c r="F4270" s="71" t="s">
        <v>788</v>
      </c>
      <c r="G4270" s="71">
        <v>100</v>
      </c>
    </row>
    <row r="4271" spans="5:11" x14ac:dyDescent="0.25">
      <c r="E4271" s="91"/>
      <c r="F4271" s="71" t="s">
        <v>93</v>
      </c>
      <c r="G4271" s="71">
        <v>2313</v>
      </c>
    </row>
    <row r="4272" spans="5:11" x14ac:dyDescent="0.25">
      <c r="E4272" s="91"/>
      <c r="F4272" s="71" t="s">
        <v>597</v>
      </c>
      <c r="G4272" s="71">
        <v>-700</v>
      </c>
    </row>
    <row r="4273" spans="5:8" x14ac:dyDescent="0.25">
      <c r="E4273" s="91"/>
      <c r="F4273" s="71"/>
      <c r="G4273" s="71"/>
    </row>
    <row r="4275" spans="5:8" ht="15.75" x14ac:dyDescent="0.25">
      <c r="F4275" s="132" t="s">
        <v>236</v>
      </c>
      <c r="G4275" s="133">
        <f>SUM(G4242:G4274)</f>
        <v>17323.010000000002</v>
      </c>
    </row>
    <row r="4277" spans="5:8" ht="18.75" x14ac:dyDescent="0.3">
      <c r="H4277" s="238"/>
    </row>
    <row r="4278" spans="5:8" x14ac:dyDescent="0.25">
      <c r="G4278">
        <v>-11.9</v>
      </c>
    </row>
    <row r="4280" spans="5:8" x14ac:dyDescent="0.25">
      <c r="F4280" s="39"/>
      <c r="G4280" s="157">
        <f>SUM(G4275:G4279)</f>
        <v>17311.11</v>
      </c>
    </row>
    <row r="4287" spans="5:8" ht="15.75" x14ac:dyDescent="0.25">
      <c r="F4287" s="166" t="s">
        <v>429</v>
      </c>
      <c r="G4287" s="131">
        <v>80217.570000000007</v>
      </c>
    </row>
    <row r="4288" spans="5:8" ht="15.75" x14ac:dyDescent="0.25">
      <c r="E4288" s="91">
        <v>46153</v>
      </c>
      <c r="F4288" s="166" t="s">
        <v>858</v>
      </c>
      <c r="G4288" s="171">
        <v>3540.6</v>
      </c>
    </row>
    <row r="4289" spans="5:7" ht="15.75" x14ac:dyDescent="0.25">
      <c r="F4289" s="166" t="s">
        <v>859</v>
      </c>
      <c r="G4289" s="140">
        <v>3554.56</v>
      </c>
    </row>
    <row r="4290" spans="5:7" ht="15.75" x14ac:dyDescent="0.25">
      <c r="F4290" s="178" t="s">
        <v>272</v>
      </c>
      <c r="G4290" s="212">
        <v>-481.86</v>
      </c>
    </row>
    <row r="4291" spans="5:7" ht="15.75" x14ac:dyDescent="0.25">
      <c r="F4291" s="178" t="s">
        <v>881</v>
      </c>
      <c r="G4291" s="212">
        <v>-3000</v>
      </c>
    </row>
    <row r="4292" spans="5:7" ht="15.75" x14ac:dyDescent="0.25">
      <c r="F4292" s="214" t="s">
        <v>605</v>
      </c>
      <c r="G4292" s="210">
        <v>355</v>
      </c>
    </row>
    <row r="4293" spans="5:7" ht="15.75" x14ac:dyDescent="0.25">
      <c r="F4293" s="178" t="s">
        <v>891</v>
      </c>
      <c r="G4293" s="212">
        <v>-10</v>
      </c>
    </row>
    <row r="4294" spans="5:7" ht="15.75" x14ac:dyDescent="0.25">
      <c r="F4294" s="178" t="s">
        <v>535</v>
      </c>
      <c r="G4294" s="212">
        <v>-1.3</v>
      </c>
    </row>
    <row r="4295" spans="5:7" ht="15.75" x14ac:dyDescent="0.25">
      <c r="F4295" s="178" t="s">
        <v>893</v>
      </c>
      <c r="G4295" s="212">
        <v>-5810</v>
      </c>
    </row>
    <row r="4296" spans="5:7" ht="15.75" x14ac:dyDescent="0.25">
      <c r="E4296" s="91">
        <v>46155</v>
      </c>
      <c r="F4296" s="178" t="s">
        <v>897</v>
      </c>
      <c r="G4296" s="212">
        <v>-2400</v>
      </c>
    </row>
    <row r="4297" spans="5:7" ht="15.75" x14ac:dyDescent="0.25">
      <c r="F4297" s="214" t="s">
        <v>898</v>
      </c>
      <c r="G4297" s="210">
        <v>1400</v>
      </c>
    </row>
    <row r="4298" spans="5:7" ht="15.75" x14ac:dyDescent="0.25">
      <c r="F4298" s="178" t="s">
        <v>899</v>
      </c>
      <c r="G4298" s="212">
        <v>-20</v>
      </c>
    </row>
    <row r="4299" spans="5:7" ht="15.75" x14ac:dyDescent="0.25">
      <c r="F4299" s="178" t="s">
        <v>903</v>
      </c>
      <c r="G4299" s="212">
        <v>5583</v>
      </c>
    </row>
    <row r="4300" spans="5:7" ht="15.75" x14ac:dyDescent="0.25">
      <c r="F4300" s="178" t="s">
        <v>906</v>
      </c>
      <c r="G4300" s="212">
        <v>-30000</v>
      </c>
    </row>
    <row r="4301" spans="5:7" ht="15.75" x14ac:dyDescent="0.25">
      <c r="F4301" s="178" t="s">
        <v>906</v>
      </c>
      <c r="G4301" s="212">
        <v>-30000</v>
      </c>
    </row>
    <row r="4302" spans="5:7" ht="15.75" x14ac:dyDescent="0.25">
      <c r="F4302" s="178" t="s">
        <v>906</v>
      </c>
      <c r="G4302" s="212">
        <v>-20000</v>
      </c>
    </row>
    <row r="4303" spans="5:7" ht="15.75" x14ac:dyDescent="0.25">
      <c r="F4303" s="178" t="s">
        <v>881</v>
      </c>
      <c r="G4303" s="212">
        <v>-3000</v>
      </c>
    </row>
    <row r="4304" spans="5:7" ht="15.75" x14ac:dyDescent="0.25">
      <c r="E4304" s="91">
        <v>46156</v>
      </c>
      <c r="F4304" s="178" t="s">
        <v>916</v>
      </c>
      <c r="G4304" s="212">
        <v>-975</v>
      </c>
    </row>
    <row r="4305" spans="5:7" ht="15.75" x14ac:dyDescent="0.25">
      <c r="F4305" s="178" t="s">
        <v>250</v>
      </c>
      <c r="G4305" s="212">
        <v>-465.42</v>
      </c>
    </row>
    <row r="4306" spans="5:7" ht="15.75" x14ac:dyDescent="0.25">
      <c r="F4306" s="214" t="s">
        <v>918</v>
      </c>
      <c r="G4306" s="210">
        <v>7524</v>
      </c>
    </row>
    <row r="4307" spans="5:7" ht="15.75" x14ac:dyDescent="0.25">
      <c r="F4307" s="214" t="s">
        <v>920</v>
      </c>
      <c r="G4307" s="210">
        <v>500</v>
      </c>
    </row>
    <row r="4308" spans="5:7" ht="15.75" x14ac:dyDescent="0.25">
      <c r="F4308" s="178" t="s">
        <v>535</v>
      </c>
      <c r="G4308" s="212">
        <v>-5.15</v>
      </c>
    </row>
    <row r="4309" spans="5:7" ht="15.75" x14ac:dyDescent="0.25">
      <c r="E4309" s="91">
        <v>46157</v>
      </c>
      <c r="F4309" s="178" t="s">
        <v>897</v>
      </c>
      <c r="G4309" s="212">
        <v>-2400</v>
      </c>
    </row>
    <row r="4310" spans="5:7" ht="15.75" x14ac:dyDescent="0.25">
      <c r="F4310" s="178" t="s">
        <v>927</v>
      </c>
      <c r="G4310" s="212">
        <v>2230</v>
      </c>
    </row>
    <row r="4311" spans="5:7" ht="15.75" x14ac:dyDescent="0.25">
      <c r="F4311" s="178" t="s">
        <v>928</v>
      </c>
      <c r="G4311" s="212">
        <v>-240</v>
      </c>
    </row>
    <row r="4312" spans="5:7" ht="15.75" x14ac:dyDescent="0.25">
      <c r="F4312" s="178" t="s">
        <v>535</v>
      </c>
      <c r="G4312" s="212">
        <v>-0.2</v>
      </c>
    </row>
    <row r="4313" spans="5:7" ht="15.75" x14ac:dyDescent="0.25">
      <c r="E4313" s="91">
        <v>46158</v>
      </c>
      <c r="F4313" s="178" t="s">
        <v>939</v>
      </c>
      <c r="G4313" s="212">
        <v>-10</v>
      </c>
    </row>
    <row r="4314" spans="5:7" ht="15.75" x14ac:dyDescent="0.25">
      <c r="F4314" s="178"/>
      <c r="G4314" s="212"/>
    </row>
    <row r="4315" spans="5:7" x14ac:dyDescent="0.25">
      <c r="F4315" s="78"/>
      <c r="G4315" s="78"/>
    </row>
    <row r="4316" spans="5:7" ht="15.75" x14ac:dyDescent="0.25">
      <c r="F4316" s="78" t="s">
        <v>596</v>
      </c>
      <c r="G4316" s="189">
        <f>SUM(G4287:G4315)</f>
        <v>6085.8000000000075</v>
      </c>
    </row>
    <row r="4318" spans="5:7" x14ac:dyDescent="0.25">
      <c r="F4318" t="s">
        <v>361</v>
      </c>
      <c r="G4318" s="121">
        <v>1342</v>
      </c>
    </row>
    <row r="4320" spans="5:7" x14ac:dyDescent="0.25">
      <c r="G4320" s="239">
        <f>G4316+G4318</f>
        <v>7427.8000000000075</v>
      </c>
    </row>
    <row r="4338" spans="5:13" ht="18.75" x14ac:dyDescent="0.3">
      <c r="E4338" s="314" t="s">
        <v>940</v>
      </c>
      <c r="F4338" s="315"/>
      <c r="G4338" s="315"/>
      <c r="H4338" s="315"/>
      <c r="I4338" s="315"/>
      <c r="J4338" s="315"/>
      <c r="K4338" s="315"/>
      <c r="L4338" s="315"/>
      <c r="M4338" s="315"/>
    </row>
    <row r="4339" spans="5:13" x14ac:dyDescent="0.25">
      <c r="E4339" s="78"/>
      <c r="F4339" s="78"/>
      <c r="G4339" s="78"/>
      <c r="H4339" s="78"/>
      <c r="I4339" s="78"/>
      <c r="J4339" s="78"/>
      <c r="K4339" s="78"/>
      <c r="L4339" s="78"/>
      <c r="M4339" s="78"/>
    </row>
    <row r="4340" spans="5:13" ht="15.75" x14ac:dyDescent="0.25">
      <c r="E4340" s="118" t="s">
        <v>223</v>
      </c>
      <c r="F4340" s="118" t="s">
        <v>206</v>
      </c>
      <c r="G4340" s="118" t="s">
        <v>207</v>
      </c>
      <c r="H4340" s="118" t="s">
        <v>218</v>
      </c>
      <c r="I4340" s="78"/>
      <c r="J4340" s="120" t="s">
        <v>6</v>
      </c>
      <c r="K4340" s="120" t="s">
        <v>217</v>
      </c>
      <c r="L4340" s="120" t="s">
        <v>207</v>
      </c>
      <c r="M4340" s="120" t="s">
        <v>218</v>
      </c>
    </row>
    <row r="4341" spans="5:13" x14ac:dyDescent="0.25">
      <c r="E4341" s="117">
        <v>46087</v>
      </c>
      <c r="F4341" s="78" t="s">
        <v>214</v>
      </c>
      <c r="G4341" s="155" t="s">
        <v>211</v>
      </c>
      <c r="H4341" s="156">
        <v>3100</v>
      </c>
      <c r="I4341" s="175"/>
      <c r="J4341" s="117"/>
      <c r="K4341" s="78"/>
      <c r="L4341" s="78"/>
      <c r="M4341" s="119"/>
    </row>
    <row r="4342" spans="5:13" ht="15.75" x14ac:dyDescent="0.25">
      <c r="E4342" s="78"/>
      <c r="F4342" s="201" t="s">
        <v>429</v>
      </c>
      <c r="G4342" s="201"/>
      <c r="H4342" s="183">
        <v>6822.2</v>
      </c>
      <c r="I4342" s="78"/>
      <c r="J4342" s="117">
        <v>46037</v>
      </c>
      <c r="K4342" s="149" t="s">
        <v>66</v>
      </c>
      <c r="L4342" s="78" t="s">
        <v>222</v>
      </c>
      <c r="M4342" s="119">
        <v>2120</v>
      </c>
    </row>
    <row r="4343" spans="5:13" x14ac:dyDescent="0.25">
      <c r="E4343" s="117">
        <v>46156</v>
      </c>
      <c r="F4343" s="78" t="s">
        <v>353</v>
      </c>
      <c r="G4343" s="166"/>
      <c r="H4343" s="167">
        <v>4440</v>
      </c>
      <c r="I4343" s="78"/>
      <c r="J4343" s="117"/>
      <c r="K4343" s="149"/>
      <c r="L4343" s="78"/>
      <c r="M4343" s="119"/>
    </row>
    <row r="4344" spans="5:13" ht="15.75" x14ac:dyDescent="0.25">
      <c r="E4344" s="117">
        <v>46156</v>
      </c>
      <c r="F4344" s="78" t="s">
        <v>471</v>
      </c>
      <c r="G4344" s="166"/>
      <c r="H4344" s="167">
        <v>3902</v>
      </c>
      <c r="I4344" s="78"/>
      <c r="J4344" s="184"/>
      <c r="K4344" s="78" t="s">
        <v>865</v>
      </c>
      <c r="L4344" s="185"/>
      <c r="M4344" s="140">
        <v>4340</v>
      </c>
    </row>
    <row r="4345" spans="5:13" ht="15.75" x14ac:dyDescent="0.25">
      <c r="E4345" s="117">
        <v>46156</v>
      </c>
      <c r="F4345" s="78" t="s">
        <v>923</v>
      </c>
      <c r="G4345" s="166"/>
      <c r="H4345" s="167">
        <v>5575</v>
      </c>
      <c r="I4345" s="119"/>
      <c r="J4345" s="184">
        <v>46153</v>
      </c>
      <c r="K4345" s="78" t="s">
        <v>216</v>
      </c>
      <c r="L4345" s="185"/>
      <c r="M4345" s="140">
        <v>12500</v>
      </c>
    </row>
    <row r="4346" spans="5:13" ht="15.75" x14ac:dyDescent="0.25">
      <c r="E4346" s="117">
        <v>46156</v>
      </c>
      <c r="F4346" s="78" t="s">
        <v>834</v>
      </c>
      <c r="G4346" s="166"/>
      <c r="H4346" s="167">
        <v>6465</v>
      </c>
      <c r="I4346" s="119"/>
      <c r="J4346" s="184"/>
      <c r="K4346" s="78" t="s">
        <v>82</v>
      </c>
      <c r="L4346" s="185"/>
      <c r="M4346" s="140">
        <v>11790</v>
      </c>
    </row>
    <row r="4347" spans="5:13" ht="15.75" x14ac:dyDescent="0.25">
      <c r="E4347" s="117"/>
      <c r="F4347" s="240" t="s">
        <v>907</v>
      </c>
      <c r="G4347" s="241"/>
      <c r="H4347" s="242">
        <v>45208.07</v>
      </c>
      <c r="I4347" s="78"/>
      <c r="J4347" s="184"/>
      <c r="K4347" s="78" t="s">
        <v>932</v>
      </c>
      <c r="L4347" s="185"/>
      <c r="M4347" s="140">
        <v>260</v>
      </c>
    </row>
    <row r="4348" spans="5:13" x14ac:dyDescent="0.25">
      <c r="E4348" s="117"/>
      <c r="F4348" s="78"/>
      <c r="G4348" s="166"/>
      <c r="H4348" s="167"/>
      <c r="I4348" s="78"/>
      <c r="J4348" s="78"/>
      <c r="K4348" s="78"/>
      <c r="L4348" s="78"/>
      <c r="M4348" s="119"/>
    </row>
    <row r="4349" spans="5:13" ht="18.75" x14ac:dyDescent="0.3">
      <c r="E4349" s="117"/>
      <c r="F4349" s="78" t="s">
        <v>953</v>
      </c>
      <c r="G4349" s="166"/>
      <c r="H4349" s="167">
        <v>1296.8</v>
      </c>
      <c r="I4349" s="78"/>
      <c r="J4349" s="78"/>
      <c r="K4349" s="126" t="s">
        <v>226</v>
      </c>
      <c r="L4349" s="126"/>
      <c r="M4349" s="127">
        <f>SUM(M4341:M4348)</f>
        <v>31010</v>
      </c>
    </row>
    <row r="4350" spans="5:13" x14ac:dyDescent="0.25">
      <c r="E4350" s="117"/>
      <c r="F4350" s="78" t="s">
        <v>561</v>
      </c>
      <c r="G4350" s="166"/>
      <c r="H4350" s="167">
        <v>1327.5</v>
      </c>
    </row>
    <row r="4351" spans="5:13" x14ac:dyDescent="0.25">
      <c r="E4351" s="117"/>
      <c r="F4351" s="78"/>
      <c r="G4351" s="166"/>
      <c r="H4351" s="167"/>
      <c r="M4351" s="121"/>
    </row>
    <row r="4352" spans="5:13" x14ac:dyDescent="0.25">
      <c r="E4352" s="78"/>
      <c r="F4352" s="78"/>
      <c r="G4352" s="78"/>
      <c r="H4352" s="122">
        <f>SUM(H4341:H4351)</f>
        <v>78136.570000000007</v>
      </c>
      <c r="L4352" s="121"/>
    </row>
    <row r="4353" spans="5:13" x14ac:dyDescent="0.25">
      <c r="H4353" s="157"/>
      <c r="L4353" s="121"/>
    </row>
    <row r="4354" spans="5:13" x14ac:dyDescent="0.25">
      <c r="G4354" s="101" t="s">
        <v>224</v>
      </c>
      <c r="H4354" s="101">
        <v>33686.980000000003</v>
      </c>
    </row>
    <row r="4355" spans="5:13" ht="15.75" x14ac:dyDescent="0.25">
      <c r="E4355" s="121"/>
      <c r="J4355" s="316" t="s">
        <v>227</v>
      </c>
      <c r="K4355" s="317"/>
      <c r="L4355" s="140">
        <f>H4357-M4349</f>
        <v>80813.550000000017</v>
      </c>
    </row>
    <row r="4356" spans="5:13" ht="15.75" x14ac:dyDescent="0.25">
      <c r="L4356" s="89"/>
    </row>
    <row r="4357" spans="5:13" ht="18.75" x14ac:dyDescent="0.3">
      <c r="E4357" s="121"/>
      <c r="G4357" s="99" t="s">
        <v>225</v>
      </c>
      <c r="H4357" s="125">
        <f>SUM(H4352+H4354)</f>
        <v>111823.55000000002</v>
      </c>
      <c r="J4357" s="128" t="s">
        <v>285</v>
      </c>
      <c r="L4357" s="124">
        <f>G4373</f>
        <v>21263.26</v>
      </c>
    </row>
    <row r="4358" spans="5:13" x14ac:dyDescent="0.25">
      <c r="E4358" s="121"/>
      <c r="I4358" s="121"/>
    </row>
    <row r="4361" spans="5:13" ht="21" x14ac:dyDescent="0.35">
      <c r="K4361" s="198" t="s">
        <v>286</v>
      </c>
      <c r="L4361" s="137">
        <f>SUM(L4355:L4357)</f>
        <v>102076.81000000001</v>
      </c>
    </row>
    <row r="4362" spans="5:13" x14ac:dyDescent="0.25">
      <c r="L4362" s="157">
        <v>101279.26</v>
      </c>
      <c r="M4362" s="39" t="s">
        <v>76</v>
      </c>
    </row>
    <row r="4364" spans="5:13" ht="18.75" x14ac:dyDescent="0.3">
      <c r="E4364" s="91"/>
      <c r="L4364" s="154">
        <f>L4361-L4362</f>
        <v>797.55000000001746</v>
      </c>
    </row>
    <row r="4366" spans="5:13" ht="15.75" x14ac:dyDescent="0.25">
      <c r="F4366" s="132" t="s">
        <v>235</v>
      </c>
      <c r="G4366" s="133">
        <v>17323.009999999998</v>
      </c>
    </row>
    <row r="4367" spans="5:13" x14ac:dyDescent="0.25">
      <c r="E4367" s="187">
        <v>46159</v>
      </c>
      <c r="F4367" s="139" t="s">
        <v>942</v>
      </c>
      <c r="G4367" s="139">
        <v>-120</v>
      </c>
    </row>
    <row r="4368" spans="5:13" x14ac:dyDescent="0.25">
      <c r="F4368" t="s">
        <v>944</v>
      </c>
      <c r="G4368">
        <v>100</v>
      </c>
      <c r="I4368" t="s">
        <v>945</v>
      </c>
    </row>
    <row r="4369" spans="6:11" ht="18.75" x14ac:dyDescent="0.3">
      <c r="F4369" s="125" t="s">
        <v>954</v>
      </c>
      <c r="G4369">
        <v>-220</v>
      </c>
    </row>
    <row r="4370" spans="6:11" x14ac:dyDescent="0.25">
      <c r="G4370">
        <v>4180.25</v>
      </c>
    </row>
    <row r="4373" spans="6:11" ht="15.75" x14ac:dyDescent="0.25">
      <c r="F4373" s="132" t="s">
        <v>236</v>
      </c>
      <c r="G4373" s="133">
        <f>SUM(G4366:G4372)</f>
        <v>21263.26</v>
      </c>
    </row>
    <row r="4375" spans="6:11" ht="18.75" x14ac:dyDescent="0.3">
      <c r="H4375" s="195"/>
    </row>
    <row r="4376" spans="6:11" x14ac:dyDescent="0.25">
      <c r="G4376">
        <v>-11.9</v>
      </c>
    </row>
    <row r="4378" spans="6:11" x14ac:dyDescent="0.25">
      <c r="F4378" s="39"/>
      <c r="G4378" s="157">
        <f>SUM(G4373:G4377)</f>
        <v>21251.359999999997</v>
      </c>
    </row>
    <row r="4380" spans="6:11" ht="15.75" x14ac:dyDescent="0.25">
      <c r="J4380" s="319" t="s">
        <v>570</v>
      </c>
      <c r="K4380" s="320"/>
    </row>
    <row r="4381" spans="6:11" x14ac:dyDescent="0.25">
      <c r="J4381" s="220" t="s">
        <v>595</v>
      </c>
      <c r="K4381" s="221">
        <v>54357.93</v>
      </c>
    </row>
    <row r="4382" spans="6:11" x14ac:dyDescent="0.25">
      <c r="J4382" s="163" t="s">
        <v>878</v>
      </c>
      <c r="K4382" s="164">
        <v>-970</v>
      </c>
    </row>
    <row r="4383" spans="6:11" x14ac:dyDescent="0.25">
      <c r="J4383" s="150" t="s">
        <v>905</v>
      </c>
      <c r="K4383" s="151">
        <v>-30000</v>
      </c>
    </row>
    <row r="4384" spans="6:11" x14ac:dyDescent="0.25">
      <c r="J4384" s="150" t="s">
        <v>905</v>
      </c>
      <c r="K4384" s="151">
        <v>-30000</v>
      </c>
    </row>
    <row r="4385" spans="5:11" ht="15.75" x14ac:dyDescent="0.25">
      <c r="F4385" s="166" t="s">
        <v>429</v>
      </c>
      <c r="G4385" s="131">
        <v>6085.8</v>
      </c>
      <c r="J4385" s="150" t="s">
        <v>905</v>
      </c>
      <c r="K4385" s="151">
        <v>-20000</v>
      </c>
    </row>
    <row r="4386" spans="5:11" ht="15.75" x14ac:dyDescent="0.25">
      <c r="E4386" s="91">
        <v>46159</v>
      </c>
      <c r="F4386" s="243" t="s">
        <v>941</v>
      </c>
      <c r="G4386" s="140">
        <v>2000</v>
      </c>
      <c r="J4386" s="150" t="s">
        <v>919</v>
      </c>
      <c r="K4386" s="151">
        <v>-17476</v>
      </c>
    </row>
    <row r="4387" spans="5:11" ht="15.75" x14ac:dyDescent="0.25">
      <c r="F4387" s="178" t="s">
        <v>943</v>
      </c>
      <c r="G4387" s="244">
        <v>-100</v>
      </c>
      <c r="J4387" s="150" t="s">
        <v>951</v>
      </c>
      <c r="K4387" s="151">
        <v>-120</v>
      </c>
    </row>
    <row r="4388" spans="5:11" ht="15.75" x14ac:dyDescent="0.25">
      <c r="E4388" s="91">
        <v>46160</v>
      </c>
      <c r="F4388" s="178" t="s">
        <v>947</v>
      </c>
      <c r="G4388" s="244">
        <v>-825</v>
      </c>
      <c r="J4388" s="150" t="s">
        <v>952</v>
      </c>
      <c r="K4388" s="151">
        <v>-1000</v>
      </c>
    </row>
    <row r="4389" spans="5:11" ht="15.75" x14ac:dyDescent="0.25">
      <c r="E4389" s="91"/>
      <c r="F4389" s="149" t="s">
        <v>541</v>
      </c>
      <c r="G4389" s="245">
        <v>35500</v>
      </c>
    </row>
    <row r="4390" spans="5:11" ht="15.75" x14ac:dyDescent="0.25">
      <c r="F4390" s="178" t="s">
        <v>955</v>
      </c>
      <c r="G4390" s="244">
        <v>-35500</v>
      </c>
      <c r="K4390" s="133">
        <f>SUM(K4381:K4388)</f>
        <v>-45208.07</v>
      </c>
    </row>
    <row r="4391" spans="5:11" ht="15.75" x14ac:dyDescent="0.25">
      <c r="F4391" s="178" t="s">
        <v>956</v>
      </c>
      <c r="G4391" s="244">
        <v>-335</v>
      </c>
    </row>
    <row r="4392" spans="5:11" ht="15.75" x14ac:dyDescent="0.25">
      <c r="F4392" s="178" t="s">
        <v>535</v>
      </c>
      <c r="G4392" s="244">
        <v>-3.6</v>
      </c>
    </row>
    <row r="4393" spans="5:11" x14ac:dyDescent="0.25">
      <c r="F4393" s="78"/>
      <c r="G4393" s="78"/>
    </row>
    <row r="4394" spans="5:11" ht="15.75" x14ac:dyDescent="0.25">
      <c r="F4394" s="78" t="s">
        <v>596</v>
      </c>
      <c r="G4394" s="189">
        <f>SUM(G4385:G4393)</f>
        <v>6822.2000000000025</v>
      </c>
    </row>
    <row r="4396" spans="5:11" x14ac:dyDescent="0.25">
      <c r="F4396" t="s">
        <v>361</v>
      </c>
      <c r="G4396" s="121">
        <v>1342</v>
      </c>
    </row>
    <row r="4398" spans="5:11" x14ac:dyDescent="0.25">
      <c r="G4398" s="239">
        <f>G4394+G4396</f>
        <v>8164.2000000000025</v>
      </c>
    </row>
    <row r="4409" spans="5:13" ht="18.75" x14ac:dyDescent="0.3">
      <c r="E4409" s="314" t="s">
        <v>957</v>
      </c>
      <c r="F4409" s="315"/>
      <c r="G4409" s="315"/>
      <c r="H4409" s="315"/>
      <c r="I4409" s="315"/>
      <c r="J4409" s="315"/>
      <c r="K4409" s="315"/>
      <c r="L4409" s="315"/>
      <c r="M4409" s="315"/>
    </row>
    <row r="4410" spans="5:13" x14ac:dyDescent="0.25">
      <c r="E4410" s="78"/>
      <c r="F4410" s="78"/>
      <c r="G4410" s="78"/>
      <c r="H4410" s="78"/>
      <c r="I4410" s="78"/>
      <c r="J4410" s="78"/>
      <c r="K4410" s="78"/>
      <c r="L4410" s="78"/>
      <c r="M4410" s="78"/>
    </row>
    <row r="4411" spans="5:13" ht="15.75" x14ac:dyDescent="0.25">
      <c r="E4411" s="118" t="s">
        <v>223</v>
      </c>
      <c r="F4411" s="118" t="s">
        <v>206</v>
      </c>
      <c r="G4411" s="118" t="s">
        <v>207</v>
      </c>
      <c r="H4411" s="118" t="s">
        <v>218</v>
      </c>
      <c r="I4411" s="78"/>
      <c r="J4411" s="120" t="s">
        <v>6</v>
      </c>
      <c r="K4411" s="120" t="s">
        <v>217</v>
      </c>
      <c r="L4411" s="120" t="s">
        <v>207</v>
      </c>
      <c r="M4411" s="120" t="s">
        <v>218</v>
      </c>
    </row>
    <row r="4412" spans="5:13" x14ac:dyDescent="0.25">
      <c r="E4412" s="117">
        <v>46087</v>
      </c>
      <c r="F4412" s="78" t="s">
        <v>214</v>
      </c>
      <c r="G4412" s="155" t="s">
        <v>211</v>
      </c>
      <c r="H4412" s="156">
        <v>3100</v>
      </c>
      <c r="I4412" s="175"/>
      <c r="J4412" s="117"/>
      <c r="K4412" s="78"/>
      <c r="L4412" s="78"/>
      <c r="M4412" s="119"/>
    </row>
    <row r="4413" spans="5:13" ht="15.75" x14ac:dyDescent="0.25">
      <c r="E4413" s="78"/>
      <c r="F4413" s="201" t="s">
        <v>429</v>
      </c>
      <c r="G4413" s="201"/>
      <c r="H4413" s="183">
        <v>58533.2</v>
      </c>
      <c r="I4413" s="78"/>
      <c r="J4413" s="117">
        <v>46037</v>
      </c>
      <c r="K4413" s="149" t="s">
        <v>66</v>
      </c>
      <c r="L4413" s="78" t="s">
        <v>222</v>
      </c>
      <c r="M4413" s="119">
        <v>2120</v>
      </c>
    </row>
    <row r="4414" spans="5:13" x14ac:dyDescent="0.25">
      <c r="E4414" s="117">
        <v>46156</v>
      </c>
      <c r="F4414" s="78" t="s">
        <v>353</v>
      </c>
      <c r="G4414" s="166"/>
      <c r="H4414" s="167">
        <v>4440</v>
      </c>
      <c r="I4414" s="78"/>
      <c r="J4414" s="117"/>
      <c r="K4414" s="149"/>
      <c r="L4414" s="78"/>
      <c r="M4414" s="119"/>
    </row>
    <row r="4415" spans="5:13" ht="15.75" x14ac:dyDescent="0.25">
      <c r="E4415" s="117">
        <v>46156</v>
      </c>
      <c r="F4415" s="78" t="s">
        <v>471</v>
      </c>
      <c r="G4415" s="166"/>
      <c r="H4415" s="167">
        <v>3902</v>
      </c>
      <c r="I4415" s="78"/>
      <c r="J4415" s="184"/>
      <c r="K4415" s="78" t="s">
        <v>865</v>
      </c>
      <c r="L4415" s="185"/>
      <c r="M4415" s="140">
        <v>4340</v>
      </c>
    </row>
    <row r="4416" spans="5:13" ht="15.75" x14ac:dyDescent="0.25">
      <c r="E4416" s="117">
        <v>46156</v>
      </c>
      <c r="F4416" s="78" t="s">
        <v>923</v>
      </c>
      <c r="G4416" s="166"/>
      <c r="H4416" s="167">
        <v>5575</v>
      </c>
      <c r="I4416" s="119"/>
      <c r="J4416" s="184">
        <v>46153</v>
      </c>
      <c r="K4416" s="78" t="s">
        <v>216</v>
      </c>
      <c r="L4416" s="185"/>
      <c r="M4416" s="140">
        <v>14600</v>
      </c>
    </row>
    <row r="4417" spans="5:16" ht="15.75" x14ac:dyDescent="0.25">
      <c r="E4417" s="117">
        <v>46156</v>
      </c>
      <c r="F4417" s="78" t="s">
        <v>834</v>
      </c>
      <c r="G4417" s="166"/>
      <c r="H4417" s="167">
        <v>6465</v>
      </c>
      <c r="I4417" s="119"/>
      <c r="J4417" s="184">
        <v>46161</v>
      </c>
      <c r="K4417" s="78" t="s">
        <v>969</v>
      </c>
      <c r="L4417" s="185"/>
      <c r="M4417" s="140">
        <v>3000</v>
      </c>
    </row>
    <row r="4418" spans="5:16" x14ac:dyDescent="0.25">
      <c r="E4418" s="117">
        <v>46161</v>
      </c>
      <c r="F4418" s="78" t="s">
        <v>93</v>
      </c>
      <c r="G4418" s="166"/>
      <c r="H4418" s="167">
        <v>2712.5</v>
      </c>
      <c r="I4418" s="78"/>
      <c r="J4418" s="78"/>
      <c r="K4418" s="78"/>
      <c r="L4418" s="78"/>
      <c r="M4418" s="119"/>
    </row>
    <row r="4419" spans="5:16" ht="18.75" x14ac:dyDescent="0.3">
      <c r="E4419" s="117">
        <v>46161</v>
      </c>
      <c r="F4419" s="78" t="s">
        <v>968</v>
      </c>
      <c r="G4419" s="166"/>
      <c r="H4419" s="167">
        <v>3440</v>
      </c>
      <c r="I4419" s="78"/>
      <c r="J4419" s="78"/>
      <c r="K4419" s="126" t="s">
        <v>226</v>
      </c>
      <c r="L4419" s="126"/>
      <c r="M4419" s="127">
        <f>SUM(M4412:M4418)</f>
        <v>24060</v>
      </c>
    </row>
    <row r="4420" spans="5:16" x14ac:dyDescent="0.25">
      <c r="E4420" s="117"/>
      <c r="F4420" s="78"/>
      <c r="G4420" s="166"/>
      <c r="H4420" s="167"/>
      <c r="I4420" s="78"/>
    </row>
    <row r="4421" spans="5:16" x14ac:dyDescent="0.25">
      <c r="E4421" s="78"/>
      <c r="F4421" s="78"/>
      <c r="G4421" s="78"/>
      <c r="H4421" s="122">
        <f>SUM(H4412:H4420)</f>
        <v>88167.7</v>
      </c>
      <c r="M4421" s="121"/>
    </row>
    <row r="4422" spans="5:16" x14ac:dyDescent="0.25">
      <c r="H4422" s="157"/>
      <c r="L4422" s="121"/>
    </row>
    <row r="4423" spans="5:16" x14ac:dyDescent="0.25">
      <c r="G4423" s="101" t="s">
        <v>224</v>
      </c>
      <c r="H4423" s="101">
        <v>35636.980000000003</v>
      </c>
      <c r="L4423" s="121"/>
    </row>
    <row r="4424" spans="5:16" x14ac:dyDescent="0.25">
      <c r="E4424" s="121"/>
    </row>
    <row r="4425" spans="5:16" ht="15.75" x14ac:dyDescent="0.25">
      <c r="J4425" s="316" t="s">
        <v>227</v>
      </c>
      <c r="K4425" s="317"/>
      <c r="L4425" s="140">
        <f>H4426-M4419</f>
        <v>99744.68</v>
      </c>
      <c r="P4425">
        <f>4000*0.75</f>
        <v>3000</v>
      </c>
    </row>
    <row r="4426" spans="5:16" ht="18.75" x14ac:dyDescent="0.3">
      <c r="E4426" s="121"/>
      <c r="G4426" s="99" t="s">
        <v>225</v>
      </c>
      <c r="H4426" s="125">
        <f>SUM(H4421+H4423)</f>
        <v>123804.68</v>
      </c>
      <c r="L4426" s="89"/>
    </row>
    <row r="4427" spans="5:16" ht="15.75" x14ac:dyDescent="0.25">
      <c r="E4427" s="121"/>
      <c r="J4427" s="128" t="s">
        <v>285</v>
      </c>
      <c r="L4427" s="124">
        <f>G4446</f>
        <v>1828.2599999999984</v>
      </c>
    </row>
    <row r="4429" spans="5:16" x14ac:dyDescent="0.25">
      <c r="I4429" s="121"/>
    </row>
    <row r="4430" spans="5:16" x14ac:dyDescent="0.25">
      <c r="I4430">
        <v>35636.980000000003</v>
      </c>
    </row>
    <row r="4431" spans="5:16" ht="21" x14ac:dyDescent="0.35">
      <c r="K4431" s="198" t="s">
        <v>286</v>
      </c>
      <c r="L4431" s="137">
        <f>SUM(L4425:L4427)</f>
        <v>101572.93999999999</v>
      </c>
    </row>
    <row r="4432" spans="5:16" x14ac:dyDescent="0.25">
      <c r="L4432" s="157">
        <v>102076.81</v>
      </c>
      <c r="M4432" s="39" t="s">
        <v>76</v>
      </c>
    </row>
    <row r="4433" spans="5:12" x14ac:dyDescent="0.25">
      <c r="E4433" s="91"/>
    </row>
    <row r="4434" spans="5:12" ht="18.75" x14ac:dyDescent="0.3">
      <c r="L4434" s="154">
        <f>L4431-L4432</f>
        <v>-503.8700000000099</v>
      </c>
    </row>
    <row r="4435" spans="5:12" ht="15.75" x14ac:dyDescent="0.25">
      <c r="F4435" s="132" t="s">
        <v>235</v>
      </c>
      <c r="G4435" s="133">
        <v>17323.009999999998</v>
      </c>
    </row>
    <row r="4436" spans="5:12" x14ac:dyDescent="0.25">
      <c r="E4436" s="187">
        <v>46159</v>
      </c>
      <c r="F4436" s="139" t="s">
        <v>942</v>
      </c>
      <c r="G4436" s="139">
        <v>-120</v>
      </c>
    </row>
    <row r="4437" spans="5:12" x14ac:dyDescent="0.25">
      <c r="F4437" t="s">
        <v>944</v>
      </c>
      <c r="G4437">
        <v>100</v>
      </c>
    </row>
    <row r="4438" spans="5:12" ht="18.75" x14ac:dyDescent="0.3">
      <c r="E4438" s="91">
        <v>46160</v>
      </c>
      <c r="F4438" s="125" t="s">
        <v>954</v>
      </c>
      <c r="G4438">
        <v>-220</v>
      </c>
    </row>
    <row r="4439" spans="5:12" x14ac:dyDescent="0.25">
      <c r="F4439" t="s">
        <v>93</v>
      </c>
      <c r="G4439">
        <v>4180.25</v>
      </c>
      <c r="I4439" t="s">
        <v>945</v>
      </c>
    </row>
    <row r="4440" spans="5:12" x14ac:dyDescent="0.25">
      <c r="E4440" s="91">
        <v>46161</v>
      </c>
      <c r="F4440" t="s">
        <v>960</v>
      </c>
      <c r="G4440">
        <v>2520</v>
      </c>
    </row>
    <row r="4441" spans="5:12" x14ac:dyDescent="0.25">
      <c r="F4441" t="s">
        <v>963</v>
      </c>
      <c r="G4441">
        <v>-21000</v>
      </c>
    </row>
    <row r="4442" spans="5:12" x14ac:dyDescent="0.25">
      <c r="F4442" t="s">
        <v>970</v>
      </c>
      <c r="G4442">
        <v>-800</v>
      </c>
    </row>
    <row r="4443" spans="5:12" x14ac:dyDescent="0.25">
      <c r="F4443" t="s">
        <v>954</v>
      </c>
      <c r="G4443">
        <v>-140</v>
      </c>
    </row>
    <row r="4444" spans="5:12" ht="18.75" x14ac:dyDescent="0.3">
      <c r="F4444" t="s">
        <v>971</v>
      </c>
      <c r="G4444">
        <v>-15</v>
      </c>
      <c r="H4444" s="195"/>
    </row>
    <row r="4446" spans="5:12" ht="15.75" x14ac:dyDescent="0.25">
      <c r="F4446" s="132" t="s">
        <v>236</v>
      </c>
      <c r="G4446" s="133">
        <f>SUM(G4435:G4445)</f>
        <v>1828.2599999999984</v>
      </c>
    </row>
    <row r="4449" spans="5:12" x14ac:dyDescent="0.25">
      <c r="G4449">
        <v>-11.9</v>
      </c>
    </row>
    <row r="4450" spans="5:12" ht="15.75" x14ac:dyDescent="0.25">
      <c r="J4450" s="319" t="s">
        <v>570</v>
      </c>
      <c r="K4450" s="320"/>
    </row>
    <row r="4451" spans="5:12" x14ac:dyDescent="0.25">
      <c r="F4451" s="39"/>
      <c r="G4451" s="157">
        <f>SUM(G4446:G4450)</f>
        <v>1816.3599999999983</v>
      </c>
      <c r="J4451" s="220" t="s">
        <v>595</v>
      </c>
      <c r="K4451" s="221">
        <v>54357.93</v>
      </c>
    </row>
    <row r="4452" spans="5:12" x14ac:dyDescent="0.25">
      <c r="J4452" s="163" t="s">
        <v>878</v>
      </c>
      <c r="K4452" s="164">
        <v>-970</v>
      </c>
    </row>
    <row r="4453" spans="5:12" x14ac:dyDescent="0.25">
      <c r="J4453" s="150" t="s">
        <v>905</v>
      </c>
      <c r="K4453" s="151">
        <v>-30000</v>
      </c>
    </row>
    <row r="4454" spans="5:12" x14ac:dyDescent="0.25">
      <c r="J4454" s="150" t="s">
        <v>905</v>
      </c>
      <c r="K4454" s="151">
        <v>-30000</v>
      </c>
    </row>
    <row r="4455" spans="5:12" x14ac:dyDescent="0.25">
      <c r="J4455" s="150" t="s">
        <v>905</v>
      </c>
      <c r="K4455" s="151">
        <v>-20000</v>
      </c>
    </row>
    <row r="4456" spans="5:12" x14ac:dyDescent="0.25">
      <c r="J4456" s="150" t="s">
        <v>919</v>
      </c>
      <c r="K4456" s="151">
        <v>-17476</v>
      </c>
    </row>
    <row r="4457" spans="5:12" x14ac:dyDescent="0.25">
      <c r="J4457" s="150" t="s">
        <v>951</v>
      </c>
      <c r="K4457" s="151">
        <v>-120</v>
      </c>
    </row>
    <row r="4458" spans="5:12" ht="15.75" x14ac:dyDescent="0.25">
      <c r="F4458" s="166" t="s">
        <v>429</v>
      </c>
      <c r="G4458" s="131">
        <v>6085.8</v>
      </c>
      <c r="J4458" s="150" t="s">
        <v>952</v>
      </c>
      <c r="K4458" s="151">
        <v>-1000</v>
      </c>
    </row>
    <row r="4459" spans="5:12" ht="15.75" x14ac:dyDescent="0.25">
      <c r="E4459" s="91">
        <v>46159</v>
      </c>
      <c r="F4459" s="243" t="s">
        <v>941</v>
      </c>
      <c r="G4459" s="140">
        <v>2000</v>
      </c>
      <c r="J4459" s="150" t="s">
        <v>952</v>
      </c>
      <c r="K4459" s="151">
        <v>-1297</v>
      </c>
    </row>
    <row r="4460" spans="5:12" ht="15.75" x14ac:dyDescent="0.25">
      <c r="F4460" s="178" t="s">
        <v>943</v>
      </c>
      <c r="G4460" s="244">
        <v>-100</v>
      </c>
      <c r="J4460" s="150"/>
      <c r="K4460" s="151"/>
    </row>
    <row r="4461" spans="5:12" ht="15.75" x14ac:dyDescent="0.25">
      <c r="E4461" s="91">
        <v>46160</v>
      </c>
      <c r="F4461" s="178" t="s">
        <v>947</v>
      </c>
      <c r="G4461" s="244">
        <v>-825</v>
      </c>
    </row>
    <row r="4462" spans="5:12" ht="15.75" x14ac:dyDescent="0.25">
      <c r="E4462" s="91"/>
      <c r="F4462" s="149" t="s">
        <v>541</v>
      </c>
      <c r="G4462" s="245">
        <v>35500</v>
      </c>
      <c r="K4462" s="133">
        <f>SUM(K4451:K4459)</f>
        <v>-46505.07</v>
      </c>
      <c r="L4462" s="39" t="s">
        <v>495</v>
      </c>
    </row>
    <row r="4463" spans="5:12" ht="15.75" x14ac:dyDescent="0.25">
      <c r="F4463" s="178" t="s">
        <v>955</v>
      </c>
      <c r="G4463" s="244">
        <v>-35500</v>
      </c>
    </row>
    <row r="4464" spans="5:12" ht="15.75" x14ac:dyDescent="0.25">
      <c r="F4464" s="178" t="s">
        <v>956</v>
      </c>
      <c r="G4464" s="244">
        <v>-335</v>
      </c>
      <c r="H4464" s="321" t="s">
        <v>965</v>
      </c>
    </row>
    <row r="4465" spans="5:8" ht="15.75" x14ac:dyDescent="0.25">
      <c r="F4465" s="178" t="s">
        <v>535</v>
      </c>
      <c r="G4465" s="244">
        <v>-3.6</v>
      </c>
      <c r="H4465" s="321"/>
    </row>
    <row r="4466" spans="5:8" ht="15.75" x14ac:dyDescent="0.25">
      <c r="E4466" s="91">
        <v>46161</v>
      </c>
      <c r="F4466" s="214" t="s">
        <v>964</v>
      </c>
      <c r="G4466" s="246">
        <v>30000</v>
      </c>
    </row>
    <row r="4467" spans="5:8" ht="15.75" x14ac:dyDescent="0.25">
      <c r="F4467" s="214" t="s">
        <v>964</v>
      </c>
      <c r="G4467" s="246">
        <v>37505.1</v>
      </c>
    </row>
    <row r="4468" spans="5:8" ht="15.75" x14ac:dyDescent="0.25">
      <c r="F4468" s="178" t="s">
        <v>966</v>
      </c>
      <c r="G4468" s="244">
        <v>-14090</v>
      </c>
    </row>
    <row r="4469" spans="5:8" ht="15.75" x14ac:dyDescent="0.25">
      <c r="F4469" s="178" t="s">
        <v>967</v>
      </c>
      <c r="G4469" s="244">
        <v>-1250</v>
      </c>
    </row>
    <row r="4470" spans="5:8" ht="15.75" x14ac:dyDescent="0.25">
      <c r="F4470" s="178" t="s">
        <v>972</v>
      </c>
      <c r="G4470" s="244">
        <v>-200</v>
      </c>
    </row>
    <row r="4471" spans="5:8" ht="15.75" x14ac:dyDescent="0.25">
      <c r="F4471" s="178" t="s">
        <v>973</v>
      </c>
      <c r="G4471" s="244">
        <v>-250</v>
      </c>
    </row>
    <row r="4472" spans="5:8" ht="15.75" x14ac:dyDescent="0.25">
      <c r="F4472" s="178" t="s">
        <v>552</v>
      </c>
      <c r="G4472" s="244">
        <v>-4.0999999999999996</v>
      </c>
    </row>
    <row r="4473" spans="5:8" x14ac:dyDescent="0.25">
      <c r="F4473" s="78"/>
      <c r="G4473" s="78"/>
    </row>
    <row r="4474" spans="5:8" ht="15.75" x14ac:dyDescent="0.25">
      <c r="F4474" s="78" t="s">
        <v>596</v>
      </c>
      <c r="G4474" s="189">
        <f>SUM(G4458:G4473)</f>
        <v>58533.200000000004</v>
      </c>
    </row>
    <row r="4476" spans="5:8" x14ac:dyDescent="0.25">
      <c r="F4476" t="s">
        <v>361</v>
      </c>
      <c r="G4476" s="121">
        <v>1342</v>
      </c>
    </row>
    <row r="4478" spans="5:8" x14ac:dyDescent="0.25">
      <c r="G4478" s="239">
        <f>G4474+G4476</f>
        <v>59875.200000000004</v>
      </c>
    </row>
    <row r="4492" spans="5:13" ht="18.75" x14ac:dyDescent="0.3">
      <c r="E4492" s="314" t="s">
        <v>974</v>
      </c>
      <c r="F4492" s="315"/>
      <c r="G4492" s="315"/>
      <c r="H4492" s="315"/>
      <c r="I4492" s="315"/>
      <c r="J4492" s="315"/>
      <c r="K4492" s="315"/>
      <c r="L4492" s="315"/>
      <c r="M4492" s="315"/>
    </row>
    <row r="4493" spans="5:13" x14ac:dyDescent="0.25">
      <c r="E4493" s="78"/>
      <c r="F4493" s="78"/>
      <c r="G4493" s="78"/>
      <c r="H4493" s="78"/>
      <c r="I4493" s="78"/>
      <c r="J4493" s="78"/>
      <c r="K4493" s="78"/>
      <c r="L4493" s="78"/>
      <c r="M4493" s="78"/>
    </row>
    <row r="4494" spans="5:13" ht="15.75" x14ac:dyDescent="0.25">
      <c r="E4494" s="118" t="s">
        <v>223</v>
      </c>
      <c r="F4494" s="118" t="s">
        <v>206</v>
      </c>
      <c r="G4494" s="118" t="s">
        <v>207</v>
      </c>
      <c r="H4494" s="118" t="s">
        <v>218</v>
      </c>
      <c r="I4494" s="78"/>
      <c r="J4494" s="120" t="s">
        <v>6</v>
      </c>
      <c r="K4494" s="120" t="s">
        <v>217</v>
      </c>
      <c r="L4494" s="120" t="s">
        <v>207</v>
      </c>
      <c r="M4494" s="120" t="s">
        <v>218</v>
      </c>
    </row>
    <row r="4495" spans="5:13" x14ac:dyDescent="0.25">
      <c r="E4495" s="118"/>
      <c r="F4495" s="247" t="s">
        <v>980</v>
      </c>
      <c r="G4495" s="247" t="s">
        <v>981</v>
      </c>
      <c r="H4495" s="248">
        <v>15750</v>
      </c>
      <c r="I4495" s="175"/>
      <c r="J4495" s="117"/>
      <c r="K4495" s="78"/>
      <c r="L4495" s="78"/>
      <c r="M4495" s="119"/>
    </row>
    <row r="4496" spans="5:13" x14ac:dyDescent="0.25">
      <c r="E4496" s="117">
        <v>46087</v>
      </c>
      <c r="F4496" s="78" t="s">
        <v>214</v>
      </c>
      <c r="G4496" s="155" t="s">
        <v>211</v>
      </c>
      <c r="H4496" s="156">
        <v>3100</v>
      </c>
      <c r="I4496" s="78"/>
      <c r="J4496" s="117">
        <v>46037</v>
      </c>
      <c r="K4496" s="149" t="s">
        <v>66</v>
      </c>
      <c r="L4496" s="78" t="s">
        <v>222</v>
      </c>
      <c r="M4496" s="119">
        <v>2120</v>
      </c>
    </row>
    <row r="4497" spans="5:13" ht="15.75" x14ac:dyDescent="0.25">
      <c r="E4497" s="78"/>
      <c r="F4497" s="201" t="s">
        <v>429</v>
      </c>
      <c r="G4497" s="201"/>
      <c r="H4497" s="183">
        <v>32793.199999999997</v>
      </c>
      <c r="I4497" s="78"/>
      <c r="J4497" s="184">
        <v>46162</v>
      </c>
      <c r="K4497" s="78" t="s">
        <v>257</v>
      </c>
      <c r="L4497" s="185"/>
      <c r="M4497" s="140">
        <v>2300</v>
      </c>
    </row>
    <row r="4498" spans="5:13" ht="15.75" x14ac:dyDescent="0.25">
      <c r="E4498" s="117">
        <v>46156</v>
      </c>
      <c r="F4498" s="78" t="s">
        <v>353</v>
      </c>
      <c r="G4498" s="166"/>
      <c r="H4498" s="167">
        <v>4440</v>
      </c>
      <c r="I4498" s="78"/>
      <c r="J4498" s="184"/>
      <c r="K4498" s="78" t="s">
        <v>979</v>
      </c>
      <c r="L4498" s="185"/>
      <c r="M4498" s="140">
        <v>18735</v>
      </c>
    </row>
    <row r="4499" spans="5:13" x14ac:dyDescent="0.25">
      <c r="E4499" s="117">
        <v>46156</v>
      </c>
      <c r="F4499" s="78" t="s">
        <v>471</v>
      </c>
      <c r="G4499" s="166"/>
      <c r="H4499" s="167">
        <v>3902</v>
      </c>
      <c r="I4499" s="119"/>
      <c r="J4499" s="78"/>
      <c r="K4499" s="78"/>
      <c r="L4499" s="78"/>
      <c r="M4499" s="119"/>
    </row>
    <row r="4500" spans="5:13" ht="18.75" x14ac:dyDescent="0.3">
      <c r="E4500" s="117">
        <v>46156</v>
      </c>
      <c r="F4500" s="78" t="s">
        <v>923</v>
      </c>
      <c r="G4500" s="166"/>
      <c r="H4500" s="167">
        <v>5575</v>
      </c>
      <c r="I4500" s="119"/>
      <c r="J4500" s="78"/>
      <c r="K4500" s="126" t="s">
        <v>226</v>
      </c>
      <c r="L4500" s="126"/>
      <c r="M4500" s="127">
        <f>SUM(M4495:M4499)</f>
        <v>23155</v>
      </c>
    </row>
    <row r="4501" spans="5:13" x14ac:dyDescent="0.25">
      <c r="E4501" s="117">
        <v>46156</v>
      </c>
      <c r="F4501" s="78" t="s">
        <v>834</v>
      </c>
      <c r="G4501" s="166"/>
      <c r="H4501" s="167">
        <v>6465</v>
      </c>
      <c r="I4501" s="78"/>
    </row>
    <row r="4502" spans="5:13" x14ac:dyDescent="0.25">
      <c r="E4502" s="117">
        <v>46161</v>
      </c>
      <c r="F4502" s="78" t="s">
        <v>968</v>
      </c>
      <c r="G4502" s="166"/>
      <c r="H4502" s="167">
        <v>3440</v>
      </c>
      <c r="I4502" s="78"/>
      <c r="M4502" s="121"/>
    </row>
    <row r="4503" spans="5:13" x14ac:dyDescent="0.25">
      <c r="E4503" s="117"/>
      <c r="F4503" s="78"/>
      <c r="G4503" s="166"/>
      <c r="H4503" s="167"/>
      <c r="I4503" s="78"/>
      <c r="L4503" s="121"/>
    </row>
    <row r="4504" spans="5:13" x14ac:dyDescent="0.25">
      <c r="E4504" s="117"/>
      <c r="F4504" s="78"/>
      <c r="G4504" s="166"/>
      <c r="H4504" s="167"/>
      <c r="I4504" s="78"/>
      <c r="L4504" s="121"/>
    </row>
    <row r="4505" spans="5:13" x14ac:dyDescent="0.25">
      <c r="E4505" s="78"/>
      <c r="F4505" s="78"/>
      <c r="G4505" s="78"/>
      <c r="H4505" s="122">
        <f>SUM(H4495:H4504)</f>
        <v>75465.2</v>
      </c>
      <c r="I4505" s="78"/>
    </row>
    <row r="4506" spans="5:13" ht="15.75" x14ac:dyDescent="0.25">
      <c r="H4506" s="157"/>
      <c r="J4506" s="316" t="s">
        <v>227</v>
      </c>
      <c r="K4506" s="317"/>
      <c r="L4506" s="140">
        <f>H4510-M4500</f>
        <v>89776.18</v>
      </c>
    </row>
    <row r="4507" spans="5:13" ht="15.75" x14ac:dyDescent="0.25">
      <c r="G4507" s="101" t="s">
        <v>224</v>
      </c>
      <c r="H4507" s="101">
        <v>37465.980000000003</v>
      </c>
      <c r="L4507" s="89"/>
    </row>
    <row r="4508" spans="5:13" ht="15.75" x14ac:dyDescent="0.25">
      <c r="E4508" s="121"/>
      <c r="J4508" s="128" t="s">
        <v>285</v>
      </c>
      <c r="L4508" s="124">
        <f>G4537</f>
        <v>13178.759999999998</v>
      </c>
    </row>
    <row r="4510" spans="5:13" ht="18.75" x14ac:dyDescent="0.3">
      <c r="E4510" s="121"/>
      <c r="G4510" s="99" t="s">
        <v>225</v>
      </c>
      <c r="H4510" s="125">
        <f>SUM(H4505+H4507)</f>
        <v>112931.18</v>
      </c>
    </row>
    <row r="4511" spans="5:13" x14ac:dyDescent="0.25">
      <c r="E4511" s="121"/>
    </row>
    <row r="4512" spans="5:13" ht="21" x14ac:dyDescent="0.35">
      <c r="K4512" s="198" t="s">
        <v>286</v>
      </c>
      <c r="L4512" s="137">
        <f>SUM(L4506:L4508)</f>
        <v>102954.93999999999</v>
      </c>
    </row>
    <row r="4513" spans="5:13" x14ac:dyDescent="0.25">
      <c r="L4513" s="157">
        <v>101572.94</v>
      </c>
      <c r="M4513" s="39" t="s">
        <v>76</v>
      </c>
    </row>
    <row r="4514" spans="5:13" x14ac:dyDescent="0.25">
      <c r="I4514" s="121"/>
    </row>
    <row r="4515" spans="5:13" ht="18.75" x14ac:dyDescent="0.3">
      <c r="L4515" s="154">
        <f>L4512-L4513</f>
        <v>1381.9999999999854</v>
      </c>
    </row>
    <row r="4517" spans="5:13" x14ac:dyDescent="0.25">
      <c r="E4517" s="91"/>
    </row>
    <row r="4519" spans="5:13" ht="15.75" x14ac:dyDescent="0.25">
      <c r="F4519" s="132" t="s">
        <v>235</v>
      </c>
      <c r="G4519" s="133">
        <v>17323.009999999998</v>
      </c>
    </row>
    <row r="4520" spans="5:13" x14ac:dyDescent="0.25">
      <c r="E4520" s="187">
        <v>46159</v>
      </c>
      <c r="F4520" s="139" t="s">
        <v>942</v>
      </c>
      <c r="G4520" s="139">
        <v>-120</v>
      </c>
    </row>
    <row r="4521" spans="5:13" x14ac:dyDescent="0.25">
      <c r="F4521" t="s">
        <v>944</v>
      </c>
      <c r="G4521">
        <v>100</v>
      </c>
    </row>
    <row r="4522" spans="5:13" ht="18.75" x14ac:dyDescent="0.3">
      <c r="E4522" s="91">
        <v>46160</v>
      </c>
      <c r="F4522" s="125" t="s">
        <v>954</v>
      </c>
      <c r="G4522">
        <v>-220</v>
      </c>
    </row>
    <row r="4523" spans="5:13" x14ac:dyDescent="0.25">
      <c r="F4523" t="s">
        <v>93</v>
      </c>
      <c r="G4523">
        <v>4180.25</v>
      </c>
    </row>
    <row r="4524" spans="5:13" x14ac:dyDescent="0.25">
      <c r="E4524" s="91">
        <v>46161</v>
      </c>
      <c r="F4524" t="s">
        <v>960</v>
      </c>
      <c r="G4524">
        <v>2520</v>
      </c>
      <c r="I4524" t="s">
        <v>945</v>
      </c>
    </row>
    <row r="4525" spans="5:13" x14ac:dyDescent="0.25">
      <c r="F4525" t="s">
        <v>963</v>
      </c>
      <c r="G4525">
        <v>-21000</v>
      </c>
    </row>
    <row r="4526" spans="5:13" x14ac:dyDescent="0.25">
      <c r="F4526" t="s">
        <v>970</v>
      </c>
      <c r="G4526">
        <v>-800</v>
      </c>
    </row>
    <row r="4527" spans="5:13" x14ac:dyDescent="0.25">
      <c r="F4527" t="s">
        <v>954</v>
      </c>
      <c r="G4527">
        <v>-140</v>
      </c>
    </row>
    <row r="4528" spans="5:13" ht="18.75" x14ac:dyDescent="0.3">
      <c r="F4528" t="s">
        <v>971</v>
      </c>
      <c r="G4528">
        <v>-15</v>
      </c>
      <c r="H4528" s="195"/>
    </row>
    <row r="4529" spans="5:12" x14ac:dyDescent="0.25">
      <c r="E4529" s="91">
        <v>46162</v>
      </c>
      <c r="F4529" t="s">
        <v>975</v>
      </c>
      <c r="G4529">
        <v>2520</v>
      </c>
    </row>
    <row r="4530" spans="5:12" x14ac:dyDescent="0.25">
      <c r="E4530" s="91"/>
      <c r="F4530" t="s">
        <v>250</v>
      </c>
      <c r="G4530">
        <v>-400</v>
      </c>
    </row>
    <row r="4531" spans="5:12" ht="15.75" x14ac:dyDescent="0.25">
      <c r="F4531" t="s">
        <v>982</v>
      </c>
      <c r="G4531">
        <v>-45</v>
      </c>
      <c r="J4531" s="319" t="s">
        <v>570</v>
      </c>
      <c r="K4531" s="320"/>
    </row>
    <row r="4532" spans="5:12" x14ac:dyDescent="0.25">
      <c r="F4532" t="s">
        <v>987</v>
      </c>
      <c r="G4532">
        <v>-15</v>
      </c>
      <c r="J4532" s="220" t="s">
        <v>985</v>
      </c>
      <c r="K4532" s="221">
        <v>18750</v>
      </c>
    </row>
    <row r="4533" spans="5:12" x14ac:dyDescent="0.25">
      <c r="F4533" t="s">
        <v>988</v>
      </c>
      <c r="G4533">
        <v>2712.5</v>
      </c>
      <c r="J4533" s="163" t="s">
        <v>986</v>
      </c>
      <c r="K4533" s="164">
        <v>-15</v>
      </c>
    </row>
    <row r="4534" spans="5:12" x14ac:dyDescent="0.25">
      <c r="F4534" t="s">
        <v>989</v>
      </c>
      <c r="G4534">
        <v>6578</v>
      </c>
      <c r="J4534" s="150"/>
      <c r="K4534" s="151"/>
    </row>
    <row r="4535" spans="5:12" x14ac:dyDescent="0.25">
      <c r="J4535" s="150"/>
      <c r="K4535" s="151"/>
    </row>
    <row r="4536" spans="5:12" x14ac:dyDescent="0.25">
      <c r="J4536" s="150"/>
      <c r="K4536" s="151"/>
    </row>
    <row r="4537" spans="5:12" ht="15.75" x14ac:dyDescent="0.25">
      <c r="F4537" s="132" t="s">
        <v>236</v>
      </c>
      <c r="G4537" s="133">
        <f>SUM(G4519:G4536)</f>
        <v>13178.759999999998</v>
      </c>
      <c r="J4537" s="150"/>
      <c r="K4537" s="151">
        <f>SUM(K4532:K4535)</f>
        <v>18735</v>
      </c>
    </row>
    <row r="4538" spans="5:12" x14ac:dyDescent="0.25">
      <c r="J4538" s="150"/>
      <c r="K4538" s="151"/>
    </row>
    <row r="4539" spans="5:12" x14ac:dyDescent="0.25">
      <c r="J4539" s="150"/>
      <c r="K4539" s="151"/>
    </row>
    <row r="4540" spans="5:12" x14ac:dyDescent="0.25">
      <c r="G4540">
        <v>-11.9</v>
      </c>
      <c r="J4540" s="150"/>
      <c r="K4540" s="151"/>
    </row>
    <row r="4541" spans="5:12" x14ac:dyDescent="0.25">
      <c r="J4541" s="150"/>
      <c r="K4541" s="151"/>
    </row>
    <row r="4542" spans="5:12" x14ac:dyDescent="0.25">
      <c r="F4542" s="39"/>
      <c r="G4542" s="157">
        <f>SUM(G4537:G4541)</f>
        <v>13166.859999999999</v>
      </c>
    </row>
    <row r="4543" spans="5:12" ht="15.75" x14ac:dyDescent="0.25">
      <c r="K4543" s="133"/>
      <c r="L4543" s="39"/>
    </row>
    <row r="4548" spans="5:8" x14ac:dyDescent="0.25">
      <c r="H4548" s="321" t="s">
        <v>965</v>
      </c>
    </row>
    <row r="4549" spans="5:8" ht="15.75" x14ac:dyDescent="0.25">
      <c r="F4549" s="166" t="s">
        <v>429</v>
      </c>
      <c r="G4549" s="131">
        <v>6085.8</v>
      </c>
      <c r="H4549" s="321"/>
    </row>
    <row r="4550" spans="5:8" ht="15.75" x14ac:dyDescent="0.25">
      <c r="E4550" s="91">
        <v>46159</v>
      </c>
      <c r="F4550" s="243" t="s">
        <v>941</v>
      </c>
      <c r="G4550" s="140">
        <v>2000</v>
      </c>
    </row>
    <row r="4551" spans="5:8" ht="15.75" x14ac:dyDescent="0.25">
      <c r="F4551" s="178" t="s">
        <v>943</v>
      </c>
      <c r="G4551" s="244">
        <v>-100</v>
      </c>
    </row>
    <row r="4552" spans="5:8" ht="15.75" x14ac:dyDescent="0.25">
      <c r="E4552" s="91">
        <v>46160</v>
      </c>
      <c r="F4552" s="178" t="s">
        <v>947</v>
      </c>
      <c r="G4552" s="244">
        <v>-825</v>
      </c>
    </row>
    <row r="4553" spans="5:8" ht="15.75" x14ac:dyDescent="0.25">
      <c r="E4553" s="91"/>
      <c r="F4553" s="149" t="s">
        <v>541</v>
      </c>
      <c r="G4553" s="245">
        <v>35500</v>
      </c>
    </row>
    <row r="4554" spans="5:8" ht="15.75" x14ac:dyDescent="0.25">
      <c r="F4554" s="178" t="s">
        <v>955</v>
      </c>
      <c r="G4554" s="244">
        <v>-35500</v>
      </c>
    </row>
    <row r="4555" spans="5:8" ht="15.75" x14ac:dyDescent="0.25">
      <c r="F4555" s="178" t="s">
        <v>956</v>
      </c>
      <c r="G4555" s="244">
        <v>-335</v>
      </c>
    </row>
    <row r="4556" spans="5:8" ht="15.75" x14ac:dyDescent="0.25">
      <c r="F4556" s="178" t="s">
        <v>535</v>
      </c>
      <c r="G4556" s="244">
        <v>-3.6</v>
      </c>
    </row>
    <row r="4557" spans="5:8" ht="15.75" x14ac:dyDescent="0.25">
      <c r="E4557" s="91">
        <v>46161</v>
      </c>
      <c r="F4557" s="214" t="s">
        <v>964</v>
      </c>
      <c r="G4557" s="246">
        <v>30000</v>
      </c>
    </row>
    <row r="4558" spans="5:8" ht="15.75" x14ac:dyDescent="0.25">
      <c r="F4558" s="214" t="s">
        <v>964</v>
      </c>
      <c r="G4558" s="246">
        <v>37505.1</v>
      </c>
    </row>
    <row r="4559" spans="5:8" ht="15.75" x14ac:dyDescent="0.25">
      <c r="F4559" s="178" t="s">
        <v>966</v>
      </c>
      <c r="G4559" s="244">
        <v>-14090</v>
      </c>
    </row>
    <row r="4560" spans="5:8" ht="15.75" x14ac:dyDescent="0.25">
      <c r="F4560" s="178" t="s">
        <v>967</v>
      </c>
      <c r="G4560" s="244">
        <v>-1250</v>
      </c>
    </row>
    <row r="4561" spans="5:7" ht="15.75" x14ac:dyDescent="0.25">
      <c r="F4561" s="178" t="s">
        <v>972</v>
      </c>
      <c r="G4561" s="244">
        <v>-200</v>
      </c>
    </row>
    <row r="4562" spans="5:7" ht="15.75" x14ac:dyDescent="0.25">
      <c r="F4562" s="178" t="s">
        <v>973</v>
      </c>
      <c r="G4562" s="244">
        <v>-250</v>
      </c>
    </row>
    <row r="4563" spans="5:7" ht="15.75" x14ac:dyDescent="0.25">
      <c r="F4563" s="178" t="s">
        <v>552</v>
      </c>
      <c r="G4563" s="244">
        <v>-4.0999999999999996</v>
      </c>
    </row>
    <row r="4564" spans="5:7" ht="15.75" x14ac:dyDescent="0.25">
      <c r="E4564" s="91">
        <v>46162</v>
      </c>
      <c r="F4564" s="178" t="s">
        <v>976</v>
      </c>
      <c r="G4564" s="244">
        <v>-4200</v>
      </c>
    </row>
    <row r="4565" spans="5:7" ht="15.75" x14ac:dyDescent="0.25">
      <c r="F4565" s="178" t="s">
        <v>977</v>
      </c>
      <c r="G4565" s="244">
        <v>-17200</v>
      </c>
    </row>
    <row r="4566" spans="5:7" ht="15.75" x14ac:dyDescent="0.25">
      <c r="F4566" s="178" t="s">
        <v>978</v>
      </c>
      <c r="G4566" s="244">
        <v>-4340</v>
      </c>
    </row>
    <row r="4567" spans="5:7" ht="15.75" x14ac:dyDescent="0.25">
      <c r="F4567" s="178"/>
      <c r="G4567" s="244"/>
    </row>
    <row r="4568" spans="5:7" x14ac:dyDescent="0.25">
      <c r="F4568" s="78"/>
      <c r="G4568" s="78"/>
    </row>
    <row r="4569" spans="5:7" ht="15.75" x14ac:dyDescent="0.25">
      <c r="F4569" s="78" t="s">
        <v>596</v>
      </c>
      <c r="G4569" s="189">
        <f>SUM(G4549:G4568)</f>
        <v>32793.200000000004</v>
      </c>
    </row>
    <row r="4571" spans="5:7" x14ac:dyDescent="0.25">
      <c r="F4571" t="s">
        <v>361</v>
      </c>
      <c r="G4571" s="121">
        <v>1342</v>
      </c>
    </row>
    <row r="4573" spans="5:7" x14ac:dyDescent="0.25">
      <c r="G4573" s="239">
        <f>G4569+G4571</f>
        <v>34135.200000000004</v>
      </c>
    </row>
    <row r="4586" spans="5:13" ht="18.75" x14ac:dyDescent="0.3">
      <c r="E4586" s="314" t="s">
        <v>993</v>
      </c>
      <c r="F4586" s="315"/>
      <c r="G4586" s="315"/>
      <c r="H4586" s="315"/>
      <c r="I4586" s="315"/>
      <c r="J4586" s="315"/>
      <c r="K4586" s="315"/>
      <c r="L4586" s="315"/>
      <c r="M4586" s="315"/>
    </row>
    <row r="4587" spans="5:13" x14ac:dyDescent="0.25">
      <c r="E4587" s="78"/>
      <c r="F4587" s="78"/>
      <c r="G4587" s="78"/>
      <c r="H4587" s="78"/>
      <c r="I4587" s="78"/>
      <c r="J4587" s="78"/>
      <c r="K4587" s="78"/>
      <c r="L4587" s="78"/>
      <c r="M4587" s="78"/>
    </row>
    <row r="4588" spans="5:13" ht="15.75" x14ac:dyDescent="0.25">
      <c r="E4588" s="118" t="s">
        <v>223</v>
      </c>
      <c r="F4588" s="118" t="s">
        <v>206</v>
      </c>
      <c r="G4588" s="118" t="s">
        <v>207</v>
      </c>
      <c r="H4588" s="118" t="s">
        <v>218</v>
      </c>
      <c r="I4588" s="78"/>
      <c r="J4588" s="120" t="s">
        <v>6</v>
      </c>
      <c r="K4588" s="120" t="s">
        <v>217</v>
      </c>
      <c r="L4588" s="120" t="s">
        <v>207</v>
      </c>
      <c r="M4588" s="120" t="s">
        <v>218</v>
      </c>
    </row>
    <row r="4589" spans="5:13" x14ac:dyDescent="0.25">
      <c r="E4589" s="118"/>
      <c r="F4589" s="247" t="s">
        <v>980</v>
      </c>
      <c r="G4589" s="247" t="s">
        <v>981</v>
      </c>
      <c r="H4589" s="248">
        <v>15750</v>
      </c>
      <c r="I4589" s="175"/>
      <c r="J4589" s="117"/>
      <c r="K4589" s="78"/>
      <c r="L4589" s="78"/>
      <c r="M4589" s="119"/>
    </row>
    <row r="4590" spans="5:13" x14ac:dyDescent="0.25">
      <c r="E4590" s="117">
        <v>46087</v>
      </c>
      <c r="F4590" s="78" t="s">
        <v>214</v>
      </c>
      <c r="G4590" s="155" t="s">
        <v>211</v>
      </c>
      <c r="H4590" s="156">
        <v>3100</v>
      </c>
      <c r="I4590" s="78"/>
      <c r="J4590" s="117">
        <v>46037</v>
      </c>
      <c r="K4590" s="149" t="s">
        <v>66</v>
      </c>
      <c r="L4590" s="78" t="s">
        <v>222</v>
      </c>
      <c r="M4590" s="119">
        <v>2120</v>
      </c>
    </row>
    <row r="4591" spans="5:13" ht="15.75" x14ac:dyDescent="0.25">
      <c r="E4591" s="78"/>
      <c r="F4591" s="201" t="s">
        <v>429</v>
      </c>
      <c r="G4591" s="201"/>
      <c r="H4591" s="183">
        <v>32051.8</v>
      </c>
      <c r="I4591" s="78"/>
      <c r="J4591" s="184">
        <v>46162</v>
      </c>
      <c r="K4591" s="78" t="s">
        <v>257</v>
      </c>
      <c r="L4591" s="185"/>
      <c r="M4591" s="140">
        <v>2300</v>
      </c>
    </row>
    <row r="4592" spans="5:13" ht="15.75" x14ac:dyDescent="0.25">
      <c r="E4592" s="117">
        <v>46156</v>
      </c>
      <c r="F4592" s="78" t="s">
        <v>353</v>
      </c>
      <c r="G4592" s="166"/>
      <c r="H4592" s="167">
        <v>4440</v>
      </c>
      <c r="I4592" s="78"/>
      <c r="J4592" s="184"/>
      <c r="K4592" s="78" t="s">
        <v>1005</v>
      </c>
      <c r="L4592" s="185"/>
      <c r="M4592" s="140">
        <v>24735</v>
      </c>
    </row>
    <row r="4593" spans="5:13" ht="15.75" x14ac:dyDescent="0.25">
      <c r="E4593" s="117">
        <v>46156</v>
      </c>
      <c r="F4593" s="78" t="s">
        <v>471</v>
      </c>
      <c r="G4593" s="166"/>
      <c r="H4593" s="167">
        <v>3902</v>
      </c>
      <c r="I4593" s="119"/>
      <c r="J4593" s="184"/>
      <c r="K4593" s="78" t="s">
        <v>994</v>
      </c>
      <c r="L4593" s="185"/>
      <c r="M4593" s="140">
        <v>1325</v>
      </c>
    </row>
    <row r="4594" spans="5:13" ht="15.75" x14ac:dyDescent="0.25">
      <c r="E4594" s="117">
        <v>46156</v>
      </c>
      <c r="F4594" s="78" t="s">
        <v>923</v>
      </c>
      <c r="G4594" s="166"/>
      <c r="H4594" s="167">
        <v>7540</v>
      </c>
      <c r="I4594" s="119"/>
      <c r="J4594" s="184">
        <v>46163</v>
      </c>
      <c r="K4594" s="78" t="s">
        <v>281</v>
      </c>
      <c r="L4594" s="185"/>
      <c r="M4594" s="140">
        <v>2100</v>
      </c>
    </row>
    <row r="4595" spans="5:13" ht="15.75" x14ac:dyDescent="0.25">
      <c r="E4595" s="117">
        <v>46156</v>
      </c>
      <c r="F4595" s="78" t="s">
        <v>834</v>
      </c>
      <c r="G4595" s="166"/>
      <c r="H4595" s="167">
        <v>6465</v>
      </c>
      <c r="I4595" s="78"/>
      <c r="J4595" s="184"/>
      <c r="K4595" s="78"/>
      <c r="L4595" s="185"/>
      <c r="M4595" s="140"/>
    </row>
    <row r="4596" spans="5:13" x14ac:dyDescent="0.25">
      <c r="E4596" s="117">
        <v>46161</v>
      </c>
      <c r="F4596" s="78" t="s">
        <v>995</v>
      </c>
      <c r="G4596" s="166"/>
      <c r="H4596" s="167">
        <v>4750</v>
      </c>
      <c r="I4596" s="78"/>
      <c r="J4596" s="78"/>
      <c r="K4596" s="78"/>
      <c r="L4596" s="78"/>
      <c r="M4596" s="119"/>
    </row>
    <row r="4597" spans="5:13" ht="18.75" x14ac:dyDescent="0.3">
      <c r="E4597" s="117"/>
      <c r="F4597" s="78" t="s">
        <v>999</v>
      </c>
      <c r="G4597" s="166"/>
      <c r="H4597" s="167">
        <v>4510</v>
      </c>
      <c r="I4597" s="78"/>
      <c r="J4597" s="78"/>
      <c r="K4597" s="126" t="s">
        <v>226</v>
      </c>
      <c r="L4597" s="126"/>
      <c r="M4597" s="127">
        <f>SUM(M4589:M4596)</f>
        <v>32580</v>
      </c>
    </row>
    <row r="4598" spans="5:13" x14ac:dyDescent="0.25">
      <c r="E4598" s="117"/>
      <c r="F4598" s="78" t="s">
        <v>1002</v>
      </c>
      <c r="G4598" s="166"/>
      <c r="H4598" s="167">
        <v>13000</v>
      </c>
      <c r="I4598" s="78"/>
    </row>
    <row r="4599" spans="5:13" x14ac:dyDescent="0.25">
      <c r="E4599" s="117"/>
      <c r="F4599" s="78"/>
      <c r="G4599" s="166"/>
      <c r="H4599" s="167"/>
      <c r="I4599" s="78"/>
      <c r="M4599" s="121"/>
    </row>
    <row r="4600" spans="5:13" x14ac:dyDescent="0.25">
      <c r="E4600" s="78"/>
      <c r="F4600" s="78"/>
      <c r="G4600" s="78"/>
      <c r="H4600" s="122">
        <f>SUM(H4589:H4599)</f>
        <v>95508.800000000003</v>
      </c>
      <c r="L4600" s="121"/>
    </row>
    <row r="4601" spans="5:13" x14ac:dyDescent="0.25">
      <c r="H4601" s="157"/>
      <c r="L4601" s="121"/>
    </row>
    <row r="4602" spans="5:13" x14ac:dyDescent="0.25">
      <c r="G4602" s="101" t="s">
        <v>224</v>
      </c>
      <c r="H4602" s="101">
        <v>31211.279999999999</v>
      </c>
    </row>
    <row r="4603" spans="5:13" ht="15.75" x14ac:dyDescent="0.25">
      <c r="E4603" s="121"/>
      <c r="J4603" s="316" t="s">
        <v>227</v>
      </c>
      <c r="K4603" s="317"/>
      <c r="L4603" s="140">
        <f>H4605-M4597</f>
        <v>94140.08</v>
      </c>
    </row>
    <row r="4604" spans="5:13" ht="15.75" x14ac:dyDescent="0.25">
      <c r="L4604" s="89"/>
    </row>
    <row r="4605" spans="5:13" ht="18.75" x14ac:dyDescent="0.3">
      <c r="E4605" s="121"/>
      <c r="G4605" s="99" t="s">
        <v>225</v>
      </c>
      <c r="H4605" s="125">
        <f>SUM(H4600+H4602)</f>
        <v>126720.08</v>
      </c>
      <c r="J4605" s="128" t="s">
        <v>285</v>
      </c>
      <c r="L4605" s="124">
        <f>G4636</f>
        <v>10486.759999999998</v>
      </c>
    </row>
    <row r="4606" spans="5:13" x14ac:dyDescent="0.25">
      <c r="E4606" s="121"/>
    </row>
    <row r="4608" spans="5:13" x14ac:dyDescent="0.25">
      <c r="I4608" s="121"/>
    </row>
    <row r="4609" spans="5:13" ht="21" x14ac:dyDescent="0.35">
      <c r="K4609" s="198" t="s">
        <v>286</v>
      </c>
      <c r="L4609" s="137">
        <f>SUM(L4603:L4605)</f>
        <v>104626.84</v>
      </c>
    </row>
    <row r="4610" spans="5:13" x14ac:dyDescent="0.25">
      <c r="L4610" s="157">
        <v>102954.94</v>
      </c>
      <c r="M4610" s="39" t="s">
        <v>76</v>
      </c>
    </row>
    <row r="4612" spans="5:13" ht="18.75" x14ac:dyDescent="0.3">
      <c r="E4612" s="91"/>
      <c r="L4612" s="154">
        <f>L4609-L4610</f>
        <v>1671.8999999999942</v>
      </c>
    </row>
    <row r="4614" spans="5:13" ht="15.75" x14ac:dyDescent="0.25">
      <c r="F4614" s="132" t="s">
        <v>235</v>
      </c>
      <c r="G4614" s="133">
        <v>17323.009999999998</v>
      </c>
    </row>
    <row r="4615" spans="5:13" x14ac:dyDescent="0.25">
      <c r="E4615" s="187">
        <v>46159</v>
      </c>
      <c r="F4615" s="139" t="s">
        <v>942</v>
      </c>
      <c r="G4615" s="139">
        <v>-120</v>
      </c>
    </row>
    <row r="4616" spans="5:13" x14ac:dyDescent="0.25">
      <c r="F4616" t="s">
        <v>944</v>
      </c>
      <c r="G4616">
        <v>100</v>
      </c>
    </row>
    <row r="4617" spans="5:13" ht="18.75" x14ac:dyDescent="0.3">
      <c r="E4617" s="91">
        <v>46160</v>
      </c>
      <c r="F4617" s="125" t="s">
        <v>954</v>
      </c>
      <c r="G4617">
        <v>-220</v>
      </c>
    </row>
    <row r="4618" spans="5:13" x14ac:dyDescent="0.25">
      <c r="F4618" t="s">
        <v>93</v>
      </c>
      <c r="G4618">
        <v>4180.25</v>
      </c>
      <c r="I4618" t="s">
        <v>945</v>
      </c>
    </row>
    <row r="4619" spans="5:13" x14ac:dyDescent="0.25">
      <c r="E4619" s="91">
        <v>46161</v>
      </c>
      <c r="F4619" t="s">
        <v>960</v>
      </c>
      <c r="G4619">
        <v>2520</v>
      </c>
    </row>
    <row r="4620" spans="5:13" x14ac:dyDescent="0.25">
      <c r="F4620" t="s">
        <v>963</v>
      </c>
      <c r="G4620">
        <v>-21000</v>
      </c>
    </row>
    <row r="4621" spans="5:13" x14ac:dyDescent="0.25">
      <c r="F4621" t="s">
        <v>970</v>
      </c>
      <c r="G4621">
        <v>-800</v>
      </c>
    </row>
    <row r="4622" spans="5:13" x14ac:dyDescent="0.25">
      <c r="F4622" t="s">
        <v>954</v>
      </c>
      <c r="G4622">
        <v>-140</v>
      </c>
    </row>
    <row r="4623" spans="5:13" ht="18.75" x14ac:dyDescent="0.3">
      <c r="F4623" t="s">
        <v>971</v>
      </c>
      <c r="G4623">
        <v>-15</v>
      </c>
      <c r="H4623" s="195"/>
    </row>
    <row r="4624" spans="5:13" x14ac:dyDescent="0.25">
      <c r="E4624" s="91">
        <v>46162</v>
      </c>
      <c r="F4624" t="s">
        <v>975</v>
      </c>
      <c r="G4624">
        <v>2520</v>
      </c>
    </row>
    <row r="4625" spans="5:12" x14ac:dyDescent="0.25">
      <c r="E4625" s="91"/>
      <c r="F4625" t="s">
        <v>250</v>
      </c>
      <c r="G4625">
        <v>-400</v>
      </c>
    </row>
    <row r="4626" spans="5:12" x14ac:dyDescent="0.25">
      <c r="F4626" t="s">
        <v>982</v>
      </c>
      <c r="G4626">
        <v>-45</v>
      </c>
    </row>
    <row r="4627" spans="5:12" x14ac:dyDescent="0.25">
      <c r="F4627" t="s">
        <v>987</v>
      </c>
      <c r="G4627">
        <v>-15</v>
      </c>
    </row>
    <row r="4628" spans="5:12" ht="15.75" x14ac:dyDescent="0.25">
      <c r="F4628" t="s">
        <v>988</v>
      </c>
      <c r="G4628">
        <v>2712.5</v>
      </c>
      <c r="J4628" s="319" t="s">
        <v>570</v>
      </c>
      <c r="K4628" s="320"/>
    </row>
    <row r="4629" spans="5:12" x14ac:dyDescent="0.25">
      <c r="F4629" t="s">
        <v>989</v>
      </c>
      <c r="G4629">
        <v>6578</v>
      </c>
      <c r="J4629" s="220" t="s">
        <v>985</v>
      </c>
      <c r="K4629" s="221">
        <v>18750</v>
      </c>
    </row>
    <row r="4630" spans="5:12" x14ac:dyDescent="0.25">
      <c r="F4630" t="s">
        <v>1000</v>
      </c>
      <c r="G4630">
        <v>-50</v>
      </c>
      <c r="J4630" s="163" t="s">
        <v>986</v>
      </c>
      <c r="K4630" s="164">
        <v>-15</v>
      </c>
    </row>
    <row r="4631" spans="5:12" x14ac:dyDescent="0.25">
      <c r="F4631" t="s">
        <v>93</v>
      </c>
      <c r="G4631">
        <v>4558</v>
      </c>
      <c r="J4631" s="150" t="s">
        <v>1003</v>
      </c>
      <c r="K4631" s="151">
        <v>6000</v>
      </c>
    </row>
    <row r="4632" spans="5:12" x14ac:dyDescent="0.25">
      <c r="F4632" t="s">
        <v>1004</v>
      </c>
      <c r="G4632">
        <v>-13000</v>
      </c>
      <c r="J4632" s="150"/>
      <c r="K4632" s="151"/>
    </row>
    <row r="4633" spans="5:12" x14ac:dyDescent="0.25">
      <c r="F4633" t="s">
        <v>1003</v>
      </c>
      <c r="G4633">
        <v>6000</v>
      </c>
      <c r="J4633" s="150"/>
      <c r="K4633" s="151"/>
    </row>
    <row r="4634" spans="5:12" x14ac:dyDescent="0.25">
      <c r="F4634" t="s">
        <v>954</v>
      </c>
      <c r="G4634">
        <v>-200</v>
      </c>
      <c r="J4634" s="150"/>
      <c r="K4634" s="151">
        <f>SUM(K4629:K4632)</f>
        <v>24735</v>
      </c>
    </row>
    <row r="4635" spans="5:12" x14ac:dyDescent="0.25">
      <c r="J4635" s="150"/>
      <c r="K4635" s="151"/>
    </row>
    <row r="4636" spans="5:12" ht="15.75" x14ac:dyDescent="0.25">
      <c r="F4636" s="132" t="s">
        <v>236</v>
      </c>
      <c r="G4636" s="133">
        <f>SUM(G4614:G4635)</f>
        <v>10486.759999999998</v>
      </c>
      <c r="J4636" s="150"/>
      <c r="K4636" s="151"/>
    </row>
    <row r="4637" spans="5:12" x14ac:dyDescent="0.25">
      <c r="J4637" s="150"/>
      <c r="K4637" s="151"/>
    </row>
    <row r="4638" spans="5:12" x14ac:dyDescent="0.25">
      <c r="J4638" s="150"/>
      <c r="K4638" s="151"/>
    </row>
    <row r="4639" spans="5:12" x14ac:dyDescent="0.25">
      <c r="G4639">
        <v>-11.9</v>
      </c>
    </row>
    <row r="4640" spans="5:12" ht="15.75" x14ac:dyDescent="0.25">
      <c r="K4640" s="133"/>
      <c r="L4640" s="39"/>
    </row>
    <row r="4641" spans="5:8" x14ac:dyDescent="0.25">
      <c r="F4641" s="39"/>
      <c r="G4641" s="157">
        <f>SUM(G4636:G4640)</f>
        <v>10474.859999999999</v>
      </c>
    </row>
    <row r="4643" spans="5:8" x14ac:dyDescent="0.25">
      <c r="H4643" s="321"/>
    </row>
    <row r="4644" spans="5:8" x14ac:dyDescent="0.25">
      <c r="H4644" s="321"/>
    </row>
    <row r="4648" spans="5:8" ht="15.75" x14ac:dyDescent="0.25">
      <c r="F4648" s="166" t="s">
        <v>429</v>
      </c>
      <c r="G4648" s="131">
        <v>6085.8</v>
      </c>
    </row>
    <row r="4649" spans="5:8" ht="15.75" x14ac:dyDescent="0.25">
      <c r="E4649" s="91">
        <v>46159</v>
      </c>
      <c r="F4649" s="243" t="s">
        <v>941</v>
      </c>
      <c r="G4649" s="140">
        <v>2000</v>
      </c>
    </row>
    <row r="4650" spans="5:8" ht="15.75" x14ac:dyDescent="0.25">
      <c r="F4650" s="178" t="s">
        <v>943</v>
      </c>
      <c r="G4650" s="244">
        <v>-100</v>
      </c>
    </row>
    <row r="4651" spans="5:8" ht="15.75" x14ac:dyDescent="0.25">
      <c r="E4651" s="91">
        <v>46160</v>
      </c>
      <c r="F4651" s="178" t="s">
        <v>947</v>
      </c>
      <c r="G4651" s="244">
        <v>-825</v>
      </c>
    </row>
    <row r="4652" spans="5:8" ht="15.75" x14ac:dyDescent="0.25">
      <c r="E4652" s="91"/>
      <c r="F4652" s="149" t="s">
        <v>541</v>
      </c>
      <c r="G4652" s="245">
        <v>35500</v>
      </c>
    </row>
    <row r="4653" spans="5:8" ht="15.75" x14ac:dyDescent="0.25">
      <c r="F4653" s="178" t="s">
        <v>955</v>
      </c>
      <c r="G4653" s="244">
        <v>-35500</v>
      </c>
    </row>
    <row r="4654" spans="5:8" ht="15.75" x14ac:dyDescent="0.25">
      <c r="F4654" s="178" t="s">
        <v>956</v>
      </c>
      <c r="G4654" s="244">
        <v>-335</v>
      </c>
    </row>
    <row r="4655" spans="5:8" ht="15.75" x14ac:dyDescent="0.25">
      <c r="F4655" s="178" t="s">
        <v>535</v>
      </c>
      <c r="G4655" s="244">
        <v>-3.6</v>
      </c>
    </row>
    <row r="4656" spans="5:8" ht="15.75" x14ac:dyDescent="0.25">
      <c r="E4656" s="91">
        <v>46161</v>
      </c>
      <c r="F4656" s="214" t="s">
        <v>964</v>
      </c>
      <c r="G4656" s="246">
        <v>30000</v>
      </c>
    </row>
    <row r="4657" spans="5:7" ht="15.75" x14ac:dyDescent="0.25">
      <c r="F4657" s="214" t="s">
        <v>964</v>
      </c>
      <c r="G4657" s="246">
        <v>37505.1</v>
      </c>
    </row>
    <row r="4658" spans="5:7" ht="15.75" x14ac:dyDescent="0.25">
      <c r="F4658" s="178" t="s">
        <v>966</v>
      </c>
      <c r="G4658" s="244">
        <v>-14090</v>
      </c>
    </row>
    <row r="4659" spans="5:7" ht="15.75" x14ac:dyDescent="0.25">
      <c r="F4659" s="178" t="s">
        <v>967</v>
      </c>
      <c r="G4659" s="244">
        <v>-1250</v>
      </c>
    </row>
    <row r="4660" spans="5:7" ht="15.75" x14ac:dyDescent="0.25">
      <c r="F4660" s="178" t="s">
        <v>972</v>
      </c>
      <c r="G4660" s="244">
        <v>-200</v>
      </c>
    </row>
    <row r="4661" spans="5:7" ht="15.75" x14ac:dyDescent="0.25">
      <c r="F4661" s="178" t="s">
        <v>973</v>
      </c>
      <c r="G4661" s="244">
        <v>-250</v>
      </c>
    </row>
    <row r="4662" spans="5:7" ht="15.75" x14ac:dyDescent="0.25">
      <c r="F4662" s="178" t="s">
        <v>552</v>
      </c>
      <c r="G4662" s="244">
        <v>-4.0999999999999996</v>
      </c>
    </row>
    <row r="4663" spans="5:7" ht="15.75" x14ac:dyDescent="0.25">
      <c r="E4663" s="91">
        <v>46162</v>
      </c>
      <c r="F4663" s="178" t="s">
        <v>976</v>
      </c>
      <c r="G4663" s="244">
        <v>-4200</v>
      </c>
    </row>
    <row r="4664" spans="5:7" ht="15.75" x14ac:dyDescent="0.25">
      <c r="F4664" s="178" t="s">
        <v>977</v>
      </c>
      <c r="G4664" s="244">
        <v>-17200</v>
      </c>
    </row>
    <row r="4665" spans="5:7" ht="15.75" x14ac:dyDescent="0.25">
      <c r="F4665" s="178" t="s">
        <v>978</v>
      </c>
      <c r="G4665" s="244">
        <v>-4340</v>
      </c>
    </row>
    <row r="4666" spans="5:7" ht="15.75" x14ac:dyDescent="0.25">
      <c r="E4666" s="249">
        <v>46163</v>
      </c>
      <c r="F4666" s="214" t="s">
        <v>990</v>
      </c>
      <c r="G4666" s="246">
        <v>1920</v>
      </c>
    </row>
    <row r="4667" spans="5:7" ht="15.75" x14ac:dyDescent="0.25">
      <c r="F4667" s="178" t="s">
        <v>992</v>
      </c>
      <c r="G4667" s="244">
        <v>-2650</v>
      </c>
    </row>
    <row r="4668" spans="5:7" ht="15.75" x14ac:dyDescent="0.25">
      <c r="F4668" s="178" t="s">
        <v>1001</v>
      </c>
      <c r="G4668" s="244">
        <v>-10</v>
      </c>
    </row>
    <row r="4669" spans="5:7" ht="15.75" x14ac:dyDescent="0.25">
      <c r="F4669" s="178" t="s">
        <v>535</v>
      </c>
      <c r="G4669" s="244">
        <v>-1.4</v>
      </c>
    </row>
    <row r="4670" spans="5:7" x14ac:dyDescent="0.25">
      <c r="F4670" s="78"/>
      <c r="G4670" s="78"/>
    </row>
    <row r="4671" spans="5:7" ht="15.75" x14ac:dyDescent="0.25">
      <c r="F4671" s="78" t="s">
        <v>596</v>
      </c>
      <c r="G4671" s="189">
        <f>SUM(G4648:G4670)</f>
        <v>32051.800000000003</v>
      </c>
    </row>
    <row r="4673" spans="6:7" x14ac:dyDescent="0.25">
      <c r="F4673" t="s">
        <v>361</v>
      </c>
      <c r="G4673" s="121">
        <v>1342</v>
      </c>
    </row>
    <row r="4675" spans="6:7" x14ac:dyDescent="0.25">
      <c r="G4675" s="239">
        <f>G4671+G4673</f>
        <v>33393.800000000003</v>
      </c>
    </row>
    <row r="4690" spans="5:13" ht="18.75" x14ac:dyDescent="0.3">
      <c r="E4690" s="314" t="s">
        <v>1006</v>
      </c>
      <c r="F4690" s="315"/>
      <c r="G4690" s="315"/>
      <c r="H4690" s="315"/>
      <c r="I4690" s="315"/>
      <c r="J4690" s="315"/>
      <c r="K4690" s="315"/>
      <c r="L4690" s="315"/>
      <c r="M4690" s="315"/>
    </row>
    <row r="4691" spans="5:13" x14ac:dyDescent="0.25">
      <c r="E4691" s="78"/>
      <c r="F4691" s="78"/>
      <c r="G4691" s="78"/>
      <c r="H4691" s="78"/>
      <c r="I4691" s="78"/>
      <c r="J4691" s="78"/>
      <c r="K4691" s="78"/>
      <c r="L4691" s="78"/>
      <c r="M4691" s="78"/>
    </row>
    <row r="4692" spans="5:13" ht="15.75" x14ac:dyDescent="0.25">
      <c r="E4692" s="118" t="s">
        <v>223</v>
      </c>
      <c r="F4692" s="118" t="s">
        <v>206</v>
      </c>
      <c r="G4692" s="118" t="s">
        <v>207</v>
      </c>
      <c r="H4692" s="118" t="s">
        <v>218</v>
      </c>
      <c r="I4692" s="78"/>
      <c r="J4692" s="120" t="s">
        <v>6</v>
      </c>
      <c r="K4692" s="120" t="s">
        <v>217</v>
      </c>
      <c r="L4692" s="120" t="s">
        <v>207</v>
      </c>
      <c r="M4692" s="120" t="s">
        <v>218</v>
      </c>
    </row>
    <row r="4693" spans="5:13" x14ac:dyDescent="0.25">
      <c r="E4693" s="118"/>
      <c r="F4693" s="247" t="s">
        <v>980</v>
      </c>
      <c r="G4693" s="247" t="s">
        <v>981</v>
      </c>
      <c r="H4693" s="248">
        <v>15750</v>
      </c>
      <c r="I4693" s="175"/>
      <c r="J4693" s="117"/>
      <c r="K4693" s="78"/>
      <c r="L4693" s="78"/>
      <c r="M4693" s="119"/>
    </row>
    <row r="4694" spans="5:13" x14ac:dyDescent="0.25">
      <c r="E4694" s="117">
        <v>46087</v>
      </c>
      <c r="F4694" s="78" t="s">
        <v>214</v>
      </c>
      <c r="G4694" s="155" t="s">
        <v>211</v>
      </c>
      <c r="H4694" s="156">
        <v>3100</v>
      </c>
      <c r="I4694" s="78"/>
      <c r="J4694" s="117">
        <v>46037</v>
      </c>
      <c r="K4694" s="149" t="s">
        <v>66</v>
      </c>
      <c r="L4694" s="78" t="s">
        <v>222</v>
      </c>
      <c r="M4694" s="119">
        <v>2120</v>
      </c>
    </row>
    <row r="4695" spans="5:13" ht="15.75" x14ac:dyDescent="0.25">
      <c r="E4695" s="78"/>
      <c r="F4695" s="201" t="s">
        <v>429</v>
      </c>
      <c r="G4695" s="201"/>
      <c r="H4695" s="183">
        <v>23546.89</v>
      </c>
      <c r="I4695" s="78"/>
      <c r="J4695" s="184">
        <v>46162</v>
      </c>
      <c r="K4695" s="78" t="s">
        <v>257</v>
      </c>
      <c r="L4695" s="185"/>
      <c r="M4695" s="140">
        <v>2300</v>
      </c>
    </row>
    <row r="4696" spans="5:13" ht="15.75" x14ac:dyDescent="0.25">
      <c r="E4696" s="117">
        <v>46156</v>
      </c>
      <c r="F4696" s="78" t="s">
        <v>353</v>
      </c>
      <c r="G4696" s="166"/>
      <c r="H4696" s="167">
        <v>4440</v>
      </c>
      <c r="I4696" s="78"/>
      <c r="J4696" s="184"/>
      <c r="K4696" s="78" t="s">
        <v>1005</v>
      </c>
      <c r="L4696" s="185"/>
      <c r="M4696" s="140">
        <v>23745</v>
      </c>
    </row>
    <row r="4697" spans="5:13" ht="15.75" x14ac:dyDescent="0.25">
      <c r="E4697" s="117">
        <v>46156</v>
      </c>
      <c r="F4697" s="78" t="s">
        <v>471</v>
      </c>
      <c r="G4697" s="166"/>
      <c r="H4697" s="167">
        <v>3902</v>
      </c>
      <c r="I4697" s="119"/>
      <c r="J4697" s="184">
        <v>46163</v>
      </c>
      <c r="K4697" s="78" t="s">
        <v>281</v>
      </c>
      <c r="L4697" s="185"/>
      <c r="M4697" s="140">
        <v>2100</v>
      </c>
    </row>
    <row r="4698" spans="5:13" ht="15.75" x14ac:dyDescent="0.25">
      <c r="E4698" s="117">
        <v>46156</v>
      </c>
      <c r="F4698" s="78" t="s">
        <v>923</v>
      </c>
      <c r="G4698" s="166"/>
      <c r="H4698" s="167">
        <v>7540</v>
      </c>
      <c r="I4698" s="119"/>
      <c r="J4698" s="184"/>
      <c r="K4698" s="78"/>
      <c r="L4698" s="185"/>
      <c r="M4698" s="140"/>
    </row>
    <row r="4699" spans="5:13" x14ac:dyDescent="0.25">
      <c r="E4699" s="117">
        <v>46156</v>
      </c>
      <c r="F4699" s="78" t="s">
        <v>834</v>
      </c>
      <c r="G4699" s="166"/>
      <c r="H4699" s="167">
        <v>6465</v>
      </c>
      <c r="I4699" s="78"/>
      <c r="J4699" s="78"/>
      <c r="K4699" s="78"/>
      <c r="L4699" s="78"/>
      <c r="M4699" s="119"/>
    </row>
    <row r="4700" spans="5:13" ht="18.75" x14ac:dyDescent="0.3">
      <c r="E4700" s="117">
        <v>46161</v>
      </c>
      <c r="F4700" s="78" t="s">
        <v>995</v>
      </c>
      <c r="G4700" s="166"/>
      <c r="H4700" s="167">
        <v>4750</v>
      </c>
      <c r="I4700" s="78"/>
      <c r="J4700" s="78"/>
      <c r="K4700" s="126" t="s">
        <v>226</v>
      </c>
      <c r="L4700" s="126"/>
      <c r="M4700" s="127">
        <f>SUM(M4693:M4699)</f>
        <v>30265</v>
      </c>
    </row>
    <row r="4701" spans="5:13" x14ac:dyDescent="0.25">
      <c r="E4701" s="117">
        <v>46163</v>
      </c>
      <c r="F4701" s="78" t="s">
        <v>999</v>
      </c>
      <c r="G4701" s="166"/>
      <c r="H4701" s="167">
        <v>4510</v>
      </c>
      <c r="I4701" s="78"/>
    </row>
    <row r="4702" spans="5:13" x14ac:dyDescent="0.25">
      <c r="E4702" s="117">
        <v>46163</v>
      </c>
      <c r="F4702" s="78" t="s">
        <v>1002</v>
      </c>
      <c r="G4702" s="166"/>
      <c r="H4702" s="167">
        <v>13000</v>
      </c>
      <c r="I4702" s="78"/>
      <c r="M4702" s="121"/>
    </row>
    <row r="4703" spans="5:13" x14ac:dyDescent="0.25">
      <c r="E4703" s="117"/>
      <c r="F4703" s="78"/>
      <c r="G4703" s="166"/>
      <c r="H4703" s="167"/>
      <c r="I4703" s="78"/>
      <c r="L4703" s="121"/>
    </row>
    <row r="4704" spans="5:13" x14ac:dyDescent="0.25">
      <c r="E4704" s="117"/>
      <c r="F4704" s="78"/>
      <c r="G4704" s="166"/>
      <c r="H4704" s="167"/>
      <c r="L4704" s="121"/>
    </row>
    <row r="4705" spans="5:13" x14ac:dyDescent="0.25">
      <c r="E4705" s="78"/>
      <c r="F4705" s="78"/>
      <c r="G4705" s="78"/>
      <c r="H4705" s="122">
        <f>SUM(H4693:H4704)</f>
        <v>87003.89</v>
      </c>
    </row>
    <row r="4706" spans="5:13" ht="15.75" x14ac:dyDescent="0.25">
      <c r="H4706" s="157"/>
      <c r="J4706" s="316" t="s">
        <v>227</v>
      </c>
      <c r="K4706" s="317"/>
      <c r="L4706" s="140">
        <f>H4710-M4700</f>
        <v>91987.17</v>
      </c>
    </row>
    <row r="4707" spans="5:13" ht="15.75" x14ac:dyDescent="0.25">
      <c r="G4707" s="101" t="s">
        <v>224</v>
      </c>
      <c r="H4707" s="101">
        <v>35248.28</v>
      </c>
      <c r="L4707" s="89"/>
    </row>
    <row r="4708" spans="5:13" ht="15.75" x14ac:dyDescent="0.25">
      <c r="E4708" s="121"/>
      <c r="J4708" s="128" t="s">
        <v>285</v>
      </c>
      <c r="L4708" s="124">
        <f>G4743</f>
        <v>13829.759999999998</v>
      </c>
    </row>
    <row r="4710" spans="5:13" ht="18.75" x14ac:dyDescent="0.3">
      <c r="E4710" s="121"/>
      <c r="G4710" s="99" t="s">
        <v>225</v>
      </c>
      <c r="H4710" s="125">
        <f>SUM(H4705+H4707)</f>
        <v>122252.17</v>
      </c>
    </row>
    <row r="4711" spans="5:13" x14ac:dyDescent="0.25">
      <c r="E4711" s="121"/>
    </row>
    <row r="4712" spans="5:13" ht="21" x14ac:dyDescent="0.35">
      <c r="I4712" s="121"/>
      <c r="K4712" s="198" t="s">
        <v>286</v>
      </c>
      <c r="L4712" s="137">
        <f>SUM(L4706:L4708)</f>
        <v>105816.93</v>
      </c>
    </row>
    <row r="4713" spans="5:13" x14ac:dyDescent="0.25">
      <c r="L4713" s="157">
        <v>104626.84</v>
      </c>
      <c r="M4713" s="39" t="s">
        <v>76</v>
      </c>
    </row>
    <row r="4715" spans="5:13" ht="18.75" x14ac:dyDescent="0.3">
      <c r="L4715" s="154">
        <f>L4712-L4713</f>
        <v>1190.0899999999965</v>
      </c>
    </row>
    <row r="4717" spans="5:13" x14ac:dyDescent="0.25">
      <c r="E4717" s="91"/>
    </row>
    <row r="4719" spans="5:13" ht="15.75" x14ac:dyDescent="0.25">
      <c r="F4719" s="132" t="s">
        <v>235</v>
      </c>
      <c r="G4719" s="133">
        <v>17323.009999999998</v>
      </c>
    </row>
    <row r="4720" spans="5:13" x14ac:dyDescent="0.25">
      <c r="E4720" s="187">
        <v>46159</v>
      </c>
      <c r="F4720" s="139" t="s">
        <v>942</v>
      </c>
      <c r="G4720" s="139">
        <v>-120</v>
      </c>
    </row>
    <row r="4721" spans="5:11" x14ac:dyDescent="0.25">
      <c r="F4721" t="s">
        <v>944</v>
      </c>
      <c r="G4721">
        <v>100</v>
      </c>
    </row>
    <row r="4722" spans="5:11" ht="18.75" x14ac:dyDescent="0.3">
      <c r="E4722" s="91">
        <v>46160</v>
      </c>
      <c r="F4722" s="125" t="s">
        <v>954</v>
      </c>
      <c r="G4722">
        <v>-220</v>
      </c>
      <c r="I4722" t="s">
        <v>945</v>
      </c>
    </row>
    <row r="4723" spans="5:11" x14ac:dyDescent="0.25">
      <c r="F4723" t="s">
        <v>93</v>
      </c>
      <c r="G4723">
        <v>4180.25</v>
      </c>
    </row>
    <row r="4724" spans="5:11" x14ac:dyDescent="0.25">
      <c r="E4724" s="91">
        <v>46161</v>
      </c>
      <c r="F4724" t="s">
        <v>960</v>
      </c>
      <c r="G4724">
        <v>2520</v>
      </c>
    </row>
    <row r="4725" spans="5:11" x14ac:dyDescent="0.25">
      <c r="F4725" t="s">
        <v>963</v>
      </c>
      <c r="G4725">
        <v>-21000</v>
      </c>
    </row>
    <row r="4726" spans="5:11" x14ac:dyDescent="0.25">
      <c r="F4726" t="s">
        <v>970</v>
      </c>
      <c r="G4726">
        <v>-800</v>
      </c>
    </row>
    <row r="4727" spans="5:11" x14ac:dyDescent="0.25">
      <c r="F4727" t="s">
        <v>954</v>
      </c>
      <c r="G4727">
        <v>-140</v>
      </c>
    </row>
    <row r="4728" spans="5:11" ht="18.75" x14ac:dyDescent="0.3">
      <c r="F4728" t="s">
        <v>971</v>
      </c>
      <c r="G4728">
        <v>-15</v>
      </c>
      <c r="H4728" s="195"/>
    </row>
    <row r="4729" spans="5:11" x14ac:dyDescent="0.25">
      <c r="E4729" s="91">
        <v>46162</v>
      </c>
      <c r="F4729" t="s">
        <v>975</v>
      </c>
      <c r="G4729">
        <v>2520</v>
      </c>
    </row>
    <row r="4730" spans="5:11" x14ac:dyDescent="0.25">
      <c r="E4730" s="91"/>
      <c r="F4730" t="s">
        <v>250</v>
      </c>
      <c r="G4730">
        <v>-400</v>
      </c>
    </row>
    <row r="4731" spans="5:11" ht="15.75" x14ac:dyDescent="0.25">
      <c r="F4731" t="s">
        <v>982</v>
      </c>
      <c r="G4731">
        <v>-45</v>
      </c>
      <c r="J4731" s="319" t="s">
        <v>570</v>
      </c>
      <c r="K4731" s="320"/>
    </row>
    <row r="4732" spans="5:11" x14ac:dyDescent="0.25">
      <c r="F4732" t="s">
        <v>987</v>
      </c>
      <c r="G4732">
        <v>-15</v>
      </c>
      <c r="J4732" s="220" t="s">
        <v>985</v>
      </c>
      <c r="K4732" s="221">
        <v>18750</v>
      </c>
    </row>
    <row r="4733" spans="5:11" x14ac:dyDescent="0.25">
      <c r="F4733" t="s">
        <v>988</v>
      </c>
      <c r="G4733">
        <v>2712.5</v>
      </c>
      <c r="J4733" s="163" t="s">
        <v>986</v>
      </c>
      <c r="K4733" s="164">
        <v>-15</v>
      </c>
    </row>
    <row r="4734" spans="5:11" x14ac:dyDescent="0.25">
      <c r="F4734" t="s">
        <v>989</v>
      </c>
      <c r="G4734">
        <v>6578</v>
      </c>
      <c r="J4734" s="150" t="s">
        <v>1003</v>
      </c>
      <c r="K4734" s="151">
        <v>6000</v>
      </c>
    </row>
    <row r="4735" spans="5:11" x14ac:dyDescent="0.25">
      <c r="F4735" t="s">
        <v>1000</v>
      </c>
      <c r="G4735">
        <v>-50</v>
      </c>
      <c r="J4735" s="163" t="s">
        <v>1008</v>
      </c>
      <c r="K4735" s="164">
        <v>-1020</v>
      </c>
    </row>
    <row r="4736" spans="5:11" x14ac:dyDescent="0.25">
      <c r="F4736" t="s">
        <v>93</v>
      </c>
      <c r="G4736">
        <v>4558</v>
      </c>
      <c r="J4736" s="150" t="s">
        <v>1010</v>
      </c>
      <c r="K4736" s="151">
        <v>30</v>
      </c>
    </row>
    <row r="4737" spans="5:12" x14ac:dyDescent="0.25">
      <c r="F4737" t="s">
        <v>1004</v>
      </c>
      <c r="G4737">
        <v>-13000</v>
      </c>
      <c r="J4737" s="150"/>
      <c r="K4737" s="151"/>
    </row>
    <row r="4738" spans="5:12" x14ac:dyDescent="0.25">
      <c r="F4738" t="s">
        <v>1003</v>
      </c>
      <c r="G4738">
        <v>6000</v>
      </c>
      <c r="J4738" s="150"/>
      <c r="K4738" s="151"/>
    </row>
    <row r="4739" spans="5:12" x14ac:dyDescent="0.25">
      <c r="F4739" t="s">
        <v>954</v>
      </c>
      <c r="G4739">
        <v>-200</v>
      </c>
      <c r="J4739" s="150"/>
      <c r="K4739" s="151"/>
    </row>
    <row r="4740" spans="5:12" x14ac:dyDescent="0.25">
      <c r="E4740" s="91">
        <v>46164</v>
      </c>
      <c r="F4740" t="s">
        <v>1012</v>
      </c>
      <c r="G4740">
        <v>1460</v>
      </c>
      <c r="J4740" s="150"/>
      <c r="K4740" s="151">
        <f>SUM(K4732:K4738)</f>
        <v>23745</v>
      </c>
    </row>
    <row r="4741" spans="5:12" x14ac:dyDescent="0.25">
      <c r="F4741" t="s">
        <v>93</v>
      </c>
      <c r="G4741">
        <v>1883</v>
      </c>
      <c r="J4741" s="150"/>
      <c r="K4741" s="151"/>
    </row>
    <row r="4742" spans="5:12" x14ac:dyDescent="0.25">
      <c r="J4742" s="150"/>
      <c r="K4742" s="151"/>
    </row>
    <row r="4743" spans="5:12" ht="15.75" x14ac:dyDescent="0.25">
      <c r="F4743" s="132" t="s">
        <v>236</v>
      </c>
      <c r="G4743" s="133">
        <f>SUM(G4719:G4742)</f>
        <v>13829.759999999998</v>
      </c>
      <c r="J4743" s="150"/>
      <c r="K4743" s="151"/>
      <c r="L4743" s="39"/>
    </row>
    <row r="4744" spans="5:12" x14ac:dyDescent="0.25">
      <c r="J4744" s="150"/>
      <c r="K4744" s="151"/>
    </row>
    <row r="4746" spans="5:12" ht="15.75" x14ac:dyDescent="0.25">
      <c r="G4746">
        <v>-11.9</v>
      </c>
      <c r="K4746" s="133"/>
    </row>
    <row r="4748" spans="5:12" x14ac:dyDescent="0.25">
      <c r="F4748" s="39"/>
      <c r="G4748" s="157">
        <f>SUM(G4743:G4747)</f>
        <v>13817.859999999999</v>
      </c>
      <c r="H4748" s="321"/>
    </row>
    <row r="4749" spans="5:12" x14ac:dyDescent="0.25">
      <c r="H4749" s="321"/>
    </row>
    <row r="4755" spans="5:7" ht="15.75" x14ac:dyDescent="0.25">
      <c r="F4755" s="166" t="s">
        <v>429</v>
      </c>
      <c r="G4755" s="131">
        <v>6085.8</v>
      </c>
    </row>
    <row r="4756" spans="5:7" ht="15.75" x14ac:dyDescent="0.25">
      <c r="E4756" s="91">
        <v>46159</v>
      </c>
      <c r="F4756" s="243" t="s">
        <v>941</v>
      </c>
      <c r="G4756" s="140">
        <v>2000</v>
      </c>
    </row>
    <row r="4757" spans="5:7" ht="15.75" x14ac:dyDescent="0.25">
      <c r="F4757" s="178" t="s">
        <v>943</v>
      </c>
      <c r="G4757" s="244">
        <v>-100</v>
      </c>
    </row>
    <row r="4758" spans="5:7" ht="15.75" x14ac:dyDescent="0.25">
      <c r="E4758" s="91">
        <v>46160</v>
      </c>
      <c r="F4758" s="178" t="s">
        <v>947</v>
      </c>
      <c r="G4758" s="244">
        <v>-825</v>
      </c>
    </row>
    <row r="4759" spans="5:7" ht="15.75" x14ac:dyDescent="0.25">
      <c r="E4759" s="91"/>
      <c r="F4759" s="149" t="s">
        <v>541</v>
      </c>
      <c r="G4759" s="245">
        <v>35500</v>
      </c>
    </row>
    <row r="4760" spans="5:7" ht="15.75" x14ac:dyDescent="0.25">
      <c r="F4760" s="178" t="s">
        <v>955</v>
      </c>
      <c r="G4760" s="244">
        <v>-35500</v>
      </c>
    </row>
    <row r="4761" spans="5:7" ht="15.75" x14ac:dyDescent="0.25">
      <c r="F4761" s="178" t="s">
        <v>956</v>
      </c>
      <c r="G4761" s="244">
        <v>-335</v>
      </c>
    </row>
    <row r="4762" spans="5:7" ht="15.75" x14ac:dyDescent="0.25">
      <c r="F4762" s="178" t="s">
        <v>535</v>
      </c>
      <c r="G4762" s="244">
        <v>-3.6</v>
      </c>
    </row>
    <row r="4763" spans="5:7" ht="15.75" x14ac:dyDescent="0.25">
      <c r="E4763" s="91">
        <v>46161</v>
      </c>
      <c r="F4763" s="214" t="s">
        <v>964</v>
      </c>
      <c r="G4763" s="246">
        <v>30000</v>
      </c>
    </row>
    <row r="4764" spans="5:7" ht="15.75" x14ac:dyDescent="0.25">
      <c r="F4764" s="214" t="s">
        <v>964</v>
      </c>
      <c r="G4764" s="246">
        <v>37505.1</v>
      </c>
    </row>
    <row r="4765" spans="5:7" ht="15.75" x14ac:dyDescent="0.25">
      <c r="F4765" s="178" t="s">
        <v>966</v>
      </c>
      <c r="G4765" s="244">
        <v>-14090</v>
      </c>
    </row>
    <row r="4766" spans="5:7" ht="15.75" x14ac:dyDescent="0.25">
      <c r="F4766" s="178" t="s">
        <v>967</v>
      </c>
      <c r="G4766" s="244">
        <v>-1250</v>
      </c>
    </row>
    <row r="4767" spans="5:7" ht="15.75" x14ac:dyDescent="0.25">
      <c r="F4767" s="178" t="s">
        <v>972</v>
      </c>
      <c r="G4767" s="244">
        <v>-200</v>
      </c>
    </row>
    <row r="4768" spans="5:7" ht="15.75" x14ac:dyDescent="0.25">
      <c r="F4768" s="178" t="s">
        <v>973</v>
      </c>
      <c r="G4768" s="244">
        <v>-250</v>
      </c>
    </row>
    <row r="4769" spans="5:7" ht="15.75" x14ac:dyDescent="0.25">
      <c r="F4769" s="178" t="s">
        <v>552</v>
      </c>
      <c r="G4769" s="244">
        <v>-4.0999999999999996</v>
      </c>
    </row>
    <row r="4770" spans="5:7" ht="15.75" x14ac:dyDescent="0.25">
      <c r="E4770" s="91">
        <v>46162</v>
      </c>
      <c r="F4770" s="178" t="s">
        <v>976</v>
      </c>
      <c r="G4770" s="244">
        <v>-4200</v>
      </c>
    </row>
    <row r="4771" spans="5:7" ht="15.75" x14ac:dyDescent="0.25">
      <c r="F4771" s="178" t="s">
        <v>977</v>
      </c>
      <c r="G4771" s="244">
        <v>-17200</v>
      </c>
    </row>
    <row r="4772" spans="5:7" ht="15.75" x14ac:dyDescent="0.25">
      <c r="F4772" s="178" t="s">
        <v>978</v>
      </c>
      <c r="G4772" s="244">
        <v>-4340</v>
      </c>
    </row>
    <row r="4773" spans="5:7" ht="15.75" x14ac:dyDescent="0.25">
      <c r="E4773" s="249">
        <v>46163</v>
      </c>
      <c r="F4773" s="214" t="s">
        <v>990</v>
      </c>
      <c r="G4773" s="246">
        <v>1920</v>
      </c>
    </row>
    <row r="4774" spans="5:7" ht="15.75" x14ac:dyDescent="0.25">
      <c r="F4774" s="178" t="s">
        <v>992</v>
      </c>
      <c r="G4774" s="244">
        <v>-2650</v>
      </c>
    </row>
    <row r="4775" spans="5:7" ht="15.75" x14ac:dyDescent="0.25">
      <c r="F4775" s="178" t="s">
        <v>1001</v>
      </c>
      <c r="G4775" s="244">
        <v>-10</v>
      </c>
    </row>
    <row r="4776" spans="5:7" ht="15.75" x14ac:dyDescent="0.25">
      <c r="F4776" s="178" t="s">
        <v>535</v>
      </c>
      <c r="G4776" s="244">
        <v>-1.4</v>
      </c>
    </row>
    <row r="4777" spans="5:7" ht="15.75" x14ac:dyDescent="0.25">
      <c r="E4777" s="91">
        <v>46164</v>
      </c>
      <c r="F4777" s="178" t="s">
        <v>1009</v>
      </c>
      <c r="G4777" s="244">
        <v>-3755</v>
      </c>
    </row>
    <row r="4778" spans="5:7" ht="15.75" x14ac:dyDescent="0.25">
      <c r="F4778" s="178" t="s">
        <v>1011</v>
      </c>
      <c r="G4778" s="244">
        <v>-4240</v>
      </c>
    </row>
    <row r="4779" spans="5:7" ht="15.75" x14ac:dyDescent="0.25">
      <c r="F4779" s="178" t="s">
        <v>272</v>
      </c>
      <c r="G4779" s="244">
        <v>-499.56</v>
      </c>
    </row>
    <row r="4780" spans="5:7" ht="15.75" x14ac:dyDescent="0.25">
      <c r="F4780" s="178" t="s">
        <v>1015</v>
      </c>
      <c r="G4780" s="244">
        <v>-10</v>
      </c>
    </row>
    <row r="4781" spans="5:7" ht="15.75" x14ac:dyDescent="0.25">
      <c r="F4781" s="178" t="s">
        <v>535</v>
      </c>
      <c r="G4781" s="244">
        <v>-0.35</v>
      </c>
    </row>
    <row r="4782" spans="5:7" x14ac:dyDescent="0.25">
      <c r="F4782" s="78"/>
      <c r="G4782" s="78"/>
    </row>
    <row r="4783" spans="5:7" ht="15.75" x14ac:dyDescent="0.25">
      <c r="F4783" s="78" t="s">
        <v>596</v>
      </c>
      <c r="G4783" s="189">
        <f>SUM(G4755:G4782)</f>
        <v>23546.890000000003</v>
      </c>
    </row>
    <row r="4785" spans="6:7" x14ac:dyDescent="0.25">
      <c r="F4785" t="s">
        <v>361</v>
      </c>
      <c r="G4785" s="121">
        <v>1342</v>
      </c>
    </row>
    <row r="4787" spans="6:7" x14ac:dyDescent="0.25">
      <c r="G4787" s="239">
        <f>G4783+G4785</f>
        <v>24888.890000000003</v>
      </c>
    </row>
    <row r="4807" spans="5:13" ht="18.75" x14ac:dyDescent="0.3">
      <c r="E4807" s="314" t="s">
        <v>1016</v>
      </c>
      <c r="F4807" s="315"/>
      <c r="G4807" s="315"/>
      <c r="H4807" s="315"/>
      <c r="I4807" s="315"/>
      <c r="J4807" s="315"/>
      <c r="K4807" s="315"/>
      <c r="L4807" s="315"/>
      <c r="M4807" s="315"/>
    </row>
    <row r="4808" spans="5:13" x14ac:dyDescent="0.25">
      <c r="E4808" s="78"/>
      <c r="F4808" s="78"/>
      <c r="G4808" s="78"/>
      <c r="H4808" s="78"/>
      <c r="I4808" s="78"/>
      <c r="J4808" s="78"/>
      <c r="K4808" s="78"/>
      <c r="L4808" s="78"/>
      <c r="M4808" s="78"/>
    </row>
    <row r="4809" spans="5:13" ht="15.75" x14ac:dyDescent="0.25">
      <c r="E4809" s="118" t="s">
        <v>223</v>
      </c>
      <c r="F4809" s="118" t="s">
        <v>206</v>
      </c>
      <c r="G4809" s="118" t="s">
        <v>207</v>
      </c>
      <c r="H4809" s="118" t="s">
        <v>218</v>
      </c>
      <c r="I4809" s="78"/>
      <c r="J4809" s="120" t="s">
        <v>6</v>
      </c>
      <c r="K4809" s="120" t="s">
        <v>217</v>
      </c>
      <c r="L4809" s="120" t="s">
        <v>207</v>
      </c>
      <c r="M4809" s="120" t="s">
        <v>218</v>
      </c>
    </row>
    <row r="4810" spans="5:13" x14ac:dyDescent="0.25">
      <c r="E4810" s="118"/>
      <c r="F4810" s="247" t="s">
        <v>980</v>
      </c>
      <c r="G4810" s="247" t="s">
        <v>981</v>
      </c>
      <c r="H4810" s="248">
        <v>15750</v>
      </c>
      <c r="I4810" s="175"/>
      <c r="J4810" s="117"/>
      <c r="K4810" s="78"/>
      <c r="L4810" s="78"/>
      <c r="M4810" s="119"/>
    </row>
    <row r="4811" spans="5:13" x14ac:dyDescent="0.25">
      <c r="E4811" s="117">
        <v>46087</v>
      </c>
      <c r="F4811" s="78" t="s">
        <v>214</v>
      </c>
      <c r="G4811" s="155" t="s">
        <v>211</v>
      </c>
      <c r="H4811" s="156">
        <v>3000</v>
      </c>
      <c r="I4811" s="78"/>
      <c r="J4811" s="117">
        <v>46037</v>
      </c>
      <c r="K4811" s="149" t="s">
        <v>66</v>
      </c>
      <c r="L4811" s="78" t="s">
        <v>222</v>
      </c>
      <c r="M4811" s="119">
        <v>2120</v>
      </c>
    </row>
    <row r="4812" spans="5:13" ht="15.75" x14ac:dyDescent="0.25">
      <c r="E4812" s="78"/>
      <c r="F4812" s="201" t="s">
        <v>429</v>
      </c>
      <c r="G4812" s="201"/>
      <c r="H4812" s="183">
        <v>27537.91</v>
      </c>
      <c r="I4812" s="78"/>
      <c r="J4812" s="184">
        <v>46162</v>
      </c>
      <c r="K4812" s="78" t="s">
        <v>257</v>
      </c>
      <c r="L4812" s="185"/>
      <c r="M4812" s="140">
        <v>4700</v>
      </c>
    </row>
    <row r="4813" spans="5:13" ht="15.75" x14ac:dyDescent="0.25">
      <c r="E4813" s="117">
        <v>46156</v>
      </c>
      <c r="F4813" s="78" t="s">
        <v>353</v>
      </c>
      <c r="G4813" s="166"/>
      <c r="H4813" s="167">
        <v>580</v>
      </c>
      <c r="I4813" s="78"/>
      <c r="J4813" s="184"/>
      <c r="K4813" s="78" t="s">
        <v>1005</v>
      </c>
      <c r="L4813" s="185"/>
      <c r="M4813" s="140">
        <v>23745</v>
      </c>
    </row>
    <row r="4814" spans="5:13" ht="15.75" x14ac:dyDescent="0.25">
      <c r="E4814" s="117">
        <v>46156</v>
      </c>
      <c r="F4814" s="78" t="s">
        <v>471</v>
      </c>
      <c r="G4814" s="166"/>
      <c r="H4814" s="167">
        <v>3902</v>
      </c>
      <c r="I4814" s="119"/>
      <c r="J4814" s="184">
        <v>46163</v>
      </c>
      <c r="K4814" s="78" t="s">
        <v>281</v>
      </c>
      <c r="L4814" s="185"/>
      <c r="M4814" s="140">
        <v>4300</v>
      </c>
    </row>
    <row r="4815" spans="5:13" x14ac:dyDescent="0.25">
      <c r="E4815" s="117">
        <v>46156</v>
      </c>
      <c r="F4815" s="78" t="s">
        <v>923</v>
      </c>
      <c r="G4815" s="166"/>
      <c r="H4815" s="167">
        <v>3100</v>
      </c>
      <c r="I4815" s="119"/>
      <c r="J4815" s="78"/>
      <c r="K4815" s="78"/>
      <c r="L4815" s="78"/>
      <c r="M4815" s="119"/>
    </row>
    <row r="4816" spans="5:13" ht="18.75" x14ac:dyDescent="0.3">
      <c r="E4816" s="117">
        <v>46156</v>
      </c>
      <c r="F4816" s="78" t="s">
        <v>834</v>
      </c>
      <c r="G4816" s="166"/>
      <c r="H4816" s="167">
        <v>6465</v>
      </c>
      <c r="I4816" s="78"/>
      <c r="J4816" s="78"/>
      <c r="K4816" s="126" t="s">
        <v>226</v>
      </c>
      <c r="L4816" s="126"/>
      <c r="M4816" s="127">
        <f>SUM(M4810:M4815)</f>
        <v>34865</v>
      </c>
    </row>
    <row r="4817" spans="5:13" x14ac:dyDescent="0.25">
      <c r="E4817" s="117">
        <v>46161</v>
      </c>
      <c r="F4817" s="78" t="s">
        <v>995</v>
      </c>
      <c r="G4817" s="166"/>
      <c r="H4817" s="167">
        <v>4750</v>
      </c>
      <c r="I4817" s="78"/>
    </row>
    <row r="4818" spans="5:13" x14ac:dyDescent="0.25">
      <c r="E4818" s="117">
        <v>46163</v>
      </c>
      <c r="F4818" s="78" t="s">
        <v>999</v>
      </c>
      <c r="G4818" s="166"/>
      <c r="H4818" s="167">
        <v>4510</v>
      </c>
      <c r="I4818" s="78"/>
      <c r="M4818" s="121"/>
    </row>
    <row r="4819" spans="5:13" x14ac:dyDescent="0.25">
      <c r="E4819" s="117">
        <v>46163</v>
      </c>
      <c r="F4819" s="78" t="s">
        <v>1002</v>
      </c>
      <c r="G4819" s="166"/>
      <c r="H4819" s="167">
        <v>13000</v>
      </c>
      <c r="I4819" s="78"/>
      <c r="L4819" s="121"/>
    </row>
    <row r="4820" spans="5:13" x14ac:dyDescent="0.25">
      <c r="E4820" s="117"/>
      <c r="F4820" s="78"/>
      <c r="G4820" s="166"/>
      <c r="H4820" s="167"/>
      <c r="I4820" s="78"/>
      <c r="L4820" s="121"/>
    </row>
    <row r="4821" spans="5:13" x14ac:dyDescent="0.25">
      <c r="E4821" s="117"/>
      <c r="F4821" s="78"/>
      <c r="G4821" s="166"/>
      <c r="H4821" s="167"/>
    </row>
    <row r="4822" spans="5:13" ht="15.75" x14ac:dyDescent="0.25">
      <c r="E4822" s="78"/>
      <c r="F4822" s="78"/>
      <c r="G4822" s="78"/>
      <c r="H4822" s="122">
        <f>SUM(H4810:H4821)</f>
        <v>82594.91</v>
      </c>
      <c r="J4822" s="316" t="s">
        <v>227</v>
      </c>
      <c r="K4822" s="317"/>
      <c r="L4822" s="140">
        <f>H4827-M4816</f>
        <v>89816.69</v>
      </c>
    </row>
    <row r="4823" spans="5:13" ht="15.75" x14ac:dyDescent="0.25">
      <c r="H4823" s="157"/>
      <c r="L4823" s="89"/>
    </row>
    <row r="4824" spans="5:13" ht="15.75" x14ac:dyDescent="0.25">
      <c r="G4824" s="101" t="s">
        <v>224</v>
      </c>
      <c r="H4824" s="101">
        <v>42086.78</v>
      </c>
      <c r="J4824" s="128" t="s">
        <v>285</v>
      </c>
      <c r="L4824" s="124">
        <f>G4871</f>
        <v>14731.759999999998</v>
      </c>
    </row>
    <row r="4825" spans="5:13" x14ac:dyDescent="0.25">
      <c r="E4825" s="121"/>
    </row>
    <row r="4827" spans="5:13" ht="18.75" x14ac:dyDescent="0.3">
      <c r="E4827" s="121"/>
      <c r="G4827" s="99" t="s">
        <v>225</v>
      </c>
      <c r="H4827" s="125">
        <f>SUM(H4822+H4824)</f>
        <v>124681.69</v>
      </c>
    </row>
    <row r="4828" spans="5:13" ht="21" x14ac:dyDescent="0.35">
      <c r="E4828" s="121"/>
      <c r="K4828" s="198" t="s">
        <v>286</v>
      </c>
      <c r="L4828" s="137">
        <f>SUM(L4822:L4824)</f>
        <v>104548.45</v>
      </c>
    </row>
    <row r="4829" spans="5:13" x14ac:dyDescent="0.25">
      <c r="I4829" s="121"/>
      <c r="L4829" s="157">
        <v>105816.93</v>
      </c>
      <c r="M4829" s="39" t="s">
        <v>76</v>
      </c>
    </row>
    <row r="4831" spans="5:13" ht="18.75" x14ac:dyDescent="0.3">
      <c r="L4831" s="154">
        <f>L4828-L4829</f>
        <v>-1268.4799999999959</v>
      </c>
    </row>
    <row r="4834" spans="5:11" x14ac:dyDescent="0.25">
      <c r="E4834" s="91"/>
    </row>
    <row r="4836" spans="5:11" ht="15.75" x14ac:dyDescent="0.25">
      <c r="F4836" s="132" t="s">
        <v>235</v>
      </c>
      <c r="G4836" s="133">
        <v>17323.009999999998</v>
      </c>
    </row>
    <row r="4837" spans="5:11" x14ac:dyDescent="0.25">
      <c r="E4837" s="187">
        <v>46159</v>
      </c>
      <c r="F4837" s="139" t="s">
        <v>942</v>
      </c>
      <c r="G4837" s="139">
        <v>-120</v>
      </c>
    </row>
    <row r="4838" spans="5:11" x14ac:dyDescent="0.25">
      <c r="F4838" t="s">
        <v>944</v>
      </c>
      <c r="G4838">
        <v>100</v>
      </c>
    </row>
    <row r="4839" spans="5:11" ht="18.75" x14ac:dyDescent="0.3">
      <c r="E4839" s="91">
        <v>46160</v>
      </c>
      <c r="F4839" s="125" t="s">
        <v>954</v>
      </c>
      <c r="G4839">
        <v>-220</v>
      </c>
      <c r="I4839" t="s">
        <v>945</v>
      </c>
    </row>
    <row r="4840" spans="5:11" x14ac:dyDescent="0.25">
      <c r="F4840" t="s">
        <v>93</v>
      </c>
      <c r="G4840">
        <v>4180.25</v>
      </c>
    </row>
    <row r="4841" spans="5:11" x14ac:dyDescent="0.25">
      <c r="E4841" s="91">
        <v>46161</v>
      </c>
      <c r="F4841" t="s">
        <v>960</v>
      </c>
      <c r="G4841">
        <v>2520</v>
      </c>
    </row>
    <row r="4842" spans="5:11" x14ac:dyDescent="0.25">
      <c r="F4842" t="s">
        <v>963</v>
      </c>
      <c r="G4842">
        <v>-21000</v>
      </c>
    </row>
    <row r="4843" spans="5:11" x14ac:dyDescent="0.25">
      <c r="F4843" t="s">
        <v>970</v>
      </c>
      <c r="G4843">
        <v>-800</v>
      </c>
    </row>
    <row r="4844" spans="5:11" x14ac:dyDescent="0.25">
      <c r="F4844" t="s">
        <v>954</v>
      </c>
      <c r="G4844">
        <v>-140</v>
      </c>
    </row>
    <row r="4845" spans="5:11" ht="18.75" x14ac:dyDescent="0.3">
      <c r="F4845" t="s">
        <v>971</v>
      </c>
      <c r="G4845">
        <v>-15</v>
      </c>
      <c r="H4845" s="195"/>
    </row>
    <row r="4846" spans="5:11" x14ac:dyDescent="0.25">
      <c r="E4846" s="91">
        <v>46162</v>
      </c>
      <c r="F4846" t="s">
        <v>975</v>
      </c>
      <c r="G4846">
        <v>2520</v>
      </c>
    </row>
    <row r="4847" spans="5:11" ht="15.75" x14ac:dyDescent="0.25">
      <c r="E4847" s="91"/>
      <c r="F4847" t="s">
        <v>250</v>
      </c>
      <c r="G4847">
        <v>-400</v>
      </c>
      <c r="J4847" s="319" t="s">
        <v>570</v>
      </c>
      <c r="K4847" s="320"/>
    </row>
    <row r="4848" spans="5:11" x14ac:dyDescent="0.25">
      <c r="F4848" t="s">
        <v>982</v>
      </c>
      <c r="G4848">
        <v>-45</v>
      </c>
      <c r="J4848" s="220" t="s">
        <v>985</v>
      </c>
      <c r="K4848" s="221">
        <v>18750</v>
      </c>
    </row>
    <row r="4849" spans="5:12" x14ac:dyDescent="0.25">
      <c r="F4849" t="s">
        <v>987</v>
      </c>
      <c r="G4849">
        <v>-15</v>
      </c>
      <c r="J4849" s="163" t="s">
        <v>986</v>
      </c>
      <c r="K4849" s="164">
        <v>-15</v>
      </c>
    </row>
    <row r="4850" spans="5:12" x14ac:dyDescent="0.25">
      <c r="F4850" t="s">
        <v>988</v>
      </c>
      <c r="G4850">
        <v>2712.5</v>
      </c>
      <c r="J4850" s="150" t="s">
        <v>1003</v>
      </c>
      <c r="K4850" s="151">
        <v>6000</v>
      </c>
    </row>
    <row r="4851" spans="5:12" x14ac:dyDescent="0.25">
      <c r="F4851" t="s">
        <v>989</v>
      </c>
      <c r="G4851">
        <v>6578</v>
      </c>
      <c r="J4851" s="163" t="s">
        <v>1008</v>
      </c>
      <c r="K4851" s="164">
        <v>-1020</v>
      </c>
    </row>
    <row r="4852" spans="5:12" x14ac:dyDescent="0.25">
      <c r="F4852" t="s">
        <v>1000</v>
      </c>
      <c r="G4852">
        <v>-50</v>
      </c>
      <c r="J4852" s="150" t="s">
        <v>1010</v>
      </c>
      <c r="K4852" s="151">
        <v>30</v>
      </c>
    </row>
    <row r="4853" spans="5:12" x14ac:dyDescent="0.25">
      <c r="F4853" t="s">
        <v>93</v>
      </c>
      <c r="G4853">
        <v>4558</v>
      </c>
      <c r="J4853" s="150"/>
      <c r="K4853" s="151"/>
    </row>
    <row r="4854" spans="5:12" x14ac:dyDescent="0.25">
      <c r="F4854" t="s">
        <v>1004</v>
      </c>
      <c r="G4854">
        <v>-13000</v>
      </c>
      <c r="J4854" s="150"/>
      <c r="K4854" s="151"/>
    </row>
    <row r="4855" spans="5:12" x14ac:dyDescent="0.25">
      <c r="F4855" t="s">
        <v>1003</v>
      </c>
      <c r="G4855">
        <v>6000</v>
      </c>
      <c r="J4855" s="150"/>
      <c r="K4855" s="151"/>
    </row>
    <row r="4856" spans="5:12" x14ac:dyDescent="0.25">
      <c r="F4856" t="s">
        <v>954</v>
      </c>
      <c r="G4856">
        <v>-200</v>
      </c>
      <c r="J4856" s="150"/>
      <c r="K4856" s="151">
        <f>SUM(K4848:K4854)</f>
        <v>23745</v>
      </c>
    </row>
    <row r="4857" spans="5:12" x14ac:dyDescent="0.25">
      <c r="E4857" s="91">
        <v>46164</v>
      </c>
      <c r="F4857" t="s">
        <v>1012</v>
      </c>
      <c r="G4857">
        <v>1460</v>
      </c>
      <c r="J4857" s="150"/>
      <c r="K4857" s="151"/>
    </row>
    <row r="4858" spans="5:12" x14ac:dyDescent="0.25">
      <c r="F4858" t="s">
        <v>93</v>
      </c>
      <c r="G4858">
        <v>1883</v>
      </c>
      <c r="J4858" s="150"/>
      <c r="K4858" s="151"/>
    </row>
    <row r="4859" spans="5:12" x14ac:dyDescent="0.25">
      <c r="E4859" s="91">
        <v>46165</v>
      </c>
      <c r="F4859" t="s">
        <v>954</v>
      </c>
      <c r="G4859">
        <v>-300</v>
      </c>
      <c r="J4859" s="150"/>
      <c r="K4859" s="151"/>
      <c r="L4859" s="39"/>
    </row>
    <row r="4860" spans="5:12" x14ac:dyDescent="0.25">
      <c r="E4860" s="91"/>
      <c r="F4860" t="s">
        <v>1020</v>
      </c>
      <c r="G4860">
        <v>-1690</v>
      </c>
      <c r="J4860" s="150"/>
      <c r="K4860" s="151"/>
    </row>
    <row r="4861" spans="5:12" x14ac:dyDescent="0.25">
      <c r="F4861" t="s">
        <v>1021</v>
      </c>
      <c r="G4861">
        <v>3860</v>
      </c>
    </row>
    <row r="4862" spans="5:12" ht="15.75" x14ac:dyDescent="0.25">
      <c r="F4862" t="s">
        <v>93</v>
      </c>
      <c r="G4862">
        <v>525</v>
      </c>
      <c r="K4862" s="133"/>
    </row>
    <row r="4863" spans="5:12" x14ac:dyDescent="0.25">
      <c r="F4863" t="s">
        <v>1022</v>
      </c>
      <c r="G4863">
        <v>-570</v>
      </c>
    </row>
    <row r="4864" spans="5:12" x14ac:dyDescent="0.25">
      <c r="F4864" t="s">
        <v>1023</v>
      </c>
      <c r="G4864">
        <v>-10</v>
      </c>
    </row>
    <row r="4865" spans="6:9" x14ac:dyDescent="0.25">
      <c r="F4865" t="s">
        <v>278</v>
      </c>
      <c r="G4865">
        <v>-345</v>
      </c>
      <c r="H4865" s="321"/>
    </row>
    <row r="4866" spans="6:9" x14ac:dyDescent="0.25">
      <c r="F4866" t="s">
        <v>284</v>
      </c>
      <c r="G4866">
        <v>-518</v>
      </c>
      <c r="H4866" s="321"/>
    </row>
    <row r="4867" spans="6:9" x14ac:dyDescent="0.25">
      <c r="F4867" t="s">
        <v>788</v>
      </c>
      <c r="G4867">
        <v>100</v>
      </c>
    </row>
    <row r="4868" spans="6:9" x14ac:dyDescent="0.25">
      <c r="F4868" t="s">
        <v>1024</v>
      </c>
      <c r="G4868">
        <v>-50</v>
      </c>
      <c r="I4868" t="s">
        <v>139</v>
      </c>
    </row>
    <row r="4869" spans="6:9" x14ac:dyDescent="0.25">
      <c r="F4869" t="s">
        <v>494</v>
      </c>
      <c r="G4869">
        <v>-100</v>
      </c>
    </row>
    <row r="4871" spans="6:9" ht="15.75" x14ac:dyDescent="0.25">
      <c r="F4871" s="132" t="s">
        <v>236</v>
      </c>
      <c r="G4871" s="133">
        <f>SUM(G4836:G4870)</f>
        <v>14731.759999999998</v>
      </c>
    </row>
    <row r="4874" spans="6:9" x14ac:dyDescent="0.25">
      <c r="G4874">
        <v>-11.9</v>
      </c>
    </row>
    <row r="4876" spans="6:9" x14ac:dyDescent="0.25">
      <c r="F4876" s="39"/>
      <c r="G4876" s="157">
        <f>SUM(G4871:G4875)</f>
        <v>14719.859999999999</v>
      </c>
      <c r="I4876" s="121"/>
    </row>
    <row r="4883" spans="5:7" ht="15.75" x14ac:dyDescent="0.25">
      <c r="F4883" s="166" t="s">
        <v>429</v>
      </c>
      <c r="G4883" s="131">
        <v>6085.8</v>
      </c>
    </row>
    <row r="4884" spans="5:7" ht="15.75" x14ac:dyDescent="0.25">
      <c r="E4884" s="91">
        <v>46159</v>
      </c>
      <c r="F4884" s="243" t="s">
        <v>941</v>
      </c>
      <c r="G4884" s="140">
        <v>2000</v>
      </c>
    </row>
    <row r="4885" spans="5:7" ht="15.75" x14ac:dyDescent="0.25">
      <c r="F4885" s="178" t="s">
        <v>943</v>
      </c>
      <c r="G4885" s="244">
        <v>-100</v>
      </c>
    </row>
    <row r="4886" spans="5:7" ht="15.75" x14ac:dyDescent="0.25">
      <c r="E4886" s="91">
        <v>46160</v>
      </c>
      <c r="F4886" s="178" t="s">
        <v>947</v>
      </c>
      <c r="G4886" s="244">
        <v>-825</v>
      </c>
    </row>
    <row r="4887" spans="5:7" ht="15.75" x14ac:dyDescent="0.25">
      <c r="E4887" s="91"/>
      <c r="F4887" s="149" t="s">
        <v>541</v>
      </c>
      <c r="G4887" s="245">
        <v>35500</v>
      </c>
    </row>
    <row r="4888" spans="5:7" ht="15.75" x14ac:dyDescent="0.25">
      <c r="F4888" s="178" t="s">
        <v>955</v>
      </c>
      <c r="G4888" s="244">
        <v>-35500</v>
      </c>
    </row>
    <row r="4889" spans="5:7" ht="15.75" x14ac:dyDescent="0.25">
      <c r="F4889" s="178" t="s">
        <v>956</v>
      </c>
      <c r="G4889" s="244">
        <v>-335</v>
      </c>
    </row>
    <row r="4890" spans="5:7" ht="15.75" x14ac:dyDescent="0.25">
      <c r="F4890" s="178" t="s">
        <v>535</v>
      </c>
      <c r="G4890" s="244">
        <v>-3.6</v>
      </c>
    </row>
    <row r="4891" spans="5:7" ht="15.75" x14ac:dyDescent="0.25">
      <c r="E4891" s="91">
        <v>46161</v>
      </c>
      <c r="F4891" s="214" t="s">
        <v>964</v>
      </c>
      <c r="G4891" s="246">
        <v>30000</v>
      </c>
    </row>
    <row r="4892" spans="5:7" ht="15.75" x14ac:dyDescent="0.25">
      <c r="F4892" s="214" t="s">
        <v>964</v>
      </c>
      <c r="G4892" s="246">
        <v>37505.1</v>
      </c>
    </row>
    <row r="4893" spans="5:7" ht="15.75" x14ac:dyDescent="0.25">
      <c r="F4893" s="178" t="s">
        <v>966</v>
      </c>
      <c r="G4893" s="244">
        <v>-14090</v>
      </c>
    </row>
    <row r="4894" spans="5:7" ht="15.75" x14ac:dyDescent="0.25">
      <c r="F4894" s="178" t="s">
        <v>967</v>
      </c>
      <c r="G4894" s="244">
        <v>-1250</v>
      </c>
    </row>
    <row r="4895" spans="5:7" ht="15.75" x14ac:dyDescent="0.25">
      <c r="F4895" s="178" t="s">
        <v>972</v>
      </c>
      <c r="G4895" s="244">
        <v>-200</v>
      </c>
    </row>
    <row r="4896" spans="5:7" ht="15.75" x14ac:dyDescent="0.25">
      <c r="F4896" s="178" t="s">
        <v>973</v>
      </c>
      <c r="G4896" s="244">
        <v>-250</v>
      </c>
    </row>
    <row r="4897" spans="5:7" ht="15.75" x14ac:dyDescent="0.25">
      <c r="F4897" s="178" t="s">
        <v>552</v>
      </c>
      <c r="G4897" s="244">
        <v>-4.0999999999999996</v>
      </c>
    </row>
    <row r="4898" spans="5:7" ht="15.75" x14ac:dyDescent="0.25">
      <c r="E4898" s="91">
        <v>46162</v>
      </c>
      <c r="F4898" s="178" t="s">
        <v>976</v>
      </c>
      <c r="G4898" s="244">
        <v>-4200</v>
      </c>
    </row>
    <row r="4899" spans="5:7" ht="15.75" x14ac:dyDescent="0.25">
      <c r="F4899" s="178" t="s">
        <v>977</v>
      </c>
      <c r="G4899" s="244">
        <v>-17200</v>
      </c>
    </row>
    <row r="4900" spans="5:7" ht="15.75" x14ac:dyDescent="0.25">
      <c r="F4900" s="178" t="s">
        <v>978</v>
      </c>
      <c r="G4900" s="244">
        <v>-4340</v>
      </c>
    </row>
    <row r="4901" spans="5:7" ht="15.75" x14ac:dyDescent="0.25">
      <c r="E4901" s="249">
        <v>46163</v>
      </c>
      <c r="F4901" s="214" t="s">
        <v>990</v>
      </c>
      <c r="G4901" s="246">
        <v>1920</v>
      </c>
    </row>
    <row r="4902" spans="5:7" ht="15.75" x14ac:dyDescent="0.25">
      <c r="F4902" s="178" t="s">
        <v>992</v>
      </c>
      <c r="G4902" s="244">
        <v>-2650</v>
      </c>
    </row>
    <row r="4903" spans="5:7" ht="15.75" x14ac:dyDescent="0.25">
      <c r="F4903" s="178" t="s">
        <v>1001</v>
      </c>
      <c r="G4903" s="244">
        <v>-10</v>
      </c>
    </row>
    <row r="4904" spans="5:7" ht="15.75" x14ac:dyDescent="0.25">
      <c r="F4904" s="178" t="s">
        <v>535</v>
      </c>
      <c r="G4904" s="244">
        <v>-1.4</v>
      </c>
    </row>
    <row r="4905" spans="5:7" ht="15.75" x14ac:dyDescent="0.25">
      <c r="E4905" s="91">
        <v>46164</v>
      </c>
      <c r="F4905" s="178" t="s">
        <v>1009</v>
      </c>
      <c r="G4905" s="244">
        <v>-3755</v>
      </c>
    </row>
    <row r="4906" spans="5:7" ht="15.75" x14ac:dyDescent="0.25">
      <c r="F4906" s="178" t="s">
        <v>1011</v>
      </c>
      <c r="G4906" s="244">
        <v>-4240</v>
      </c>
    </row>
    <row r="4907" spans="5:7" ht="15.75" x14ac:dyDescent="0.25">
      <c r="F4907" s="178" t="s">
        <v>272</v>
      </c>
      <c r="G4907" s="244">
        <v>-499.56</v>
      </c>
    </row>
    <row r="4908" spans="5:7" ht="15.75" x14ac:dyDescent="0.25">
      <c r="F4908" s="178" t="s">
        <v>1015</v>
      </c>
      <c r="G4908" s="244">
        <v>-10</v>
      </c>
    </row>
    <row r="4909" spans="5:7" ht="15.75" x14ac:dyDescent="0.25">
      <c r="F4909" s="178" t="s">
        <v>535</v>
      </c>
      <c r="G4909" s="244">
        <v>-0.35</v>
      </c>
    </row>
    <row r="4910" spans="5:7" ht="15.75" x14ac:dyDescent="0.25">
      <c r="F4910" s="214" t="s">
        <v>923</v>
      </c>
      <c r="G4910" s="246">
        <v>4440</v>
      </c>
    </row>
    <row r="4911" spans="5:7" ht="15.75" x14ac:dyDescent="0.25">
      <c r="F4911" s="178" t="s">
        <v>250</v>
      </c>
      <c r="G4911" s="244">
        <v>-448.78</v>
      </c>
    </row>
    <row r="4912" spans="5:7" ht="15.75" x14ac:dyDescent="0.25">
      <c r="F4912" s="178" t="s">
        <v>535</v>
      </c>
      <c r="G4912" s="244">
        <v>-0.2</v>
      </c>
    </row>
    <row r="4913" spans="6:7" x14ac:dyDescent="0.25">
      <c r="F4913" s="78"/>
      <c r="G4913" s="78"/>
    </row>
    <row r="4914" spans="6:7" ht="15.75" x14ac:dyDescent="0.25">
      <c r="F4914" s="78" t="s">
        <v>596</v>
      </c>
      <c r="G4914" s="189">
        <f>SUM(G4883:G4913)</f>
        <v>27537.910000000003</v>
      </c>
    </row>
    <row r="4916" spans="6:7" x14ac:dyDescent="0.25">
      <c r="F4916" t="s">
        <v>361</v>
      </c>
      <c r="G4916" s="121">
        <v>1342</v>
      </c>
    </row>
    <row r="4918" spans="6:7" x14ac:dyDescent="0.25">
      <c r="G4918" s="239">
        <f>G4914+G4916</f>
        <v>28879.910000000003</v>
      </c>
    </row>
    <row r="4936" spans="5:13" ht="18.75" x14ac:dyDescent="0.3">
      <c r="E4936" s="314" t="s">
        <v>1025</v>
      </c>
      <c r="F4936" s="315"/>
      <c r="G4936" s="315"/>
      <c r="H4936" s="315"/>
      <c r="I4936" s="315"/>
      <c r="J4936" s="315"/>
      <c r="K4936" s="315"/>
      <c r="L4936" s="315"/>
      <c r="M4936" s="315"/>
    </row>
    <row r="4937" spans="5:13" x14ac:dyDescent="0.25">
      <c r="E4937" s="78"/>
      <c r="F4937" s="78"/>
      <c r="G4937" s="78"/>
      <c r="H4937" s="78"/>
      <c r="I4937" s="78"/>
      <c r="J4937" s="78"/>
      <c r="K4937" s="78"/>
      <c r="L4937" s="78"/>
      <c r="M4937" s="78"/>
    </row>
    <row r="4938" spans="5:13" ht="15.75" x14ac:dyDescent="0.25">
      <c r="E4938" s="118" t="s">
        <v>223</v>
      </c>
      <c r="F4938" s="118" t="s">
        <v>206</v>
      </c>
      <c r="G4938" s="118" t="s">
        <v>207</v>
      </c>
      <c r="H4938" s="118" t="s">
        <v>218</v>
      </c>
      <c r="I4938" s="78"/>
      <c r="J4938" s="120" t="s">
        <v>6</v>
      </c>
      <c r="K4938" s="120" t="s">
        <v>217</v>
      </c>
      <c r="L4938" s="120" t="s">
        <v>207</v>
      </c>
      <c r="M4938" s="120" t="s">
        <v>218</v>
      </c>
    </row>
    <row r="4939" spans="5:13" x14ac:dyDescent="0.25">
      <c r="E4939" s="118"/>
      <c r="F4939" s="247" t="s">
        <v>980</v>
      </c>
      <c r="G4939" s="247" t="s">
        <v>981</v>
      </c>
      <c r="H4939" s="248">
        <v>15750</v>
      </c>
      <c r="I4939" s="175"/>
      <c r="J4939" s="117"/>
      <c r="K4939" s="78"/>
      <c r="L4939" s="78"/>
      <c r="M4939" s="119"/>
    </row>
    <row r="4940" spans="5:13" x14ac:dyDescent="0.25">
      <c r="E4940" s="117">
        <v>46087</v>
      </c>
      <c r="F4940" s="78" t="s">
        <v>214</v>
      </c>
      <c r="G4940" s="155" t="s">
        <v>211</v>
      </c>
      <c r="H4940" s="156">
        <v>3000</v>
      </c>
      <c r="I4940" s="78"/>
      <c r="J4940" s="117">
        <v>46037</v>
      </c>
      <c r="K4940" s="149" t="s">
        <v>66</v>
      </c>
      <c r="L4940" s="78" t="s">
        <v>222</v>
      </c>
      <c r="M4940" s="119">
        <v>2120</v>
      </c>
    </row>
    <row r="4941" spans="5:13" ht="15.75" x14ac:dyDescent="0.25">
      <c r="E4941" s="78"/>
      <c r="F4941" s="201" t="s">
        <v>429</v>
      </c>
      <c r="G4941" s="201"/>
      <c r="H4941" s="183">
        <v>37367.49</v>
      </c>
      <c r="I4941" s="78"/>
      <c r="J4941" s="184">
        <v>46162</v>
      </c>
      <c r="K4941" s="78" t="s">
        <v>257</v>
      </c>
      <c r="L4941" s="185"/>
      <c r="M4941" s="140">
        <v>7100</v>
      </c>
    </row>
    <row r="4942" spans="5:13" ht="15.75" x14ac:dyDescent="0.25">
      <c r="E4942" s="117">
        <v>46156</v>
      </c>
      <c r="F4942" s="78" t="s">
        <v>353</v>
      </c>
      <c r="G4942" s="166"/>
      <c r="H4942" s="167">
        <v>580</v>
      </c>
      <c r="I4942" s="78"/>
      <c r="J4942" s="184"/>
      <c r="K4942" s="78" t="s">
        <v>1005</v>
      </c>
      <c r="L4942" s="185"/>
      <c r="M4942" s="140">
        <v>15765.08</v>
      </c>
    </row>
    <row r="4943" spans="5:13" ht="15.75" x14ac:dyDescent="0.25">
      <c r="E4943" s="117">
        <v>46156</v>
      </c>
      <c r="F4943" s="78" t="s">
        <v>471</v>
      </c>
      <c r="G4943" s="166"/>
      <c r="H4943" s="167">
        <v>3902</v>
      </c>
      <c r="I4943" s="119"/>
      <c r="J4943" s="184">
        <v>46163</v>
      </c>
      <c r="K4943" s="78" t="s">
        <v>281</v>
      </c>
      <c r="L4943" s="185"/>
      <c r="M4943" s="140">
        <v>6400</v>
      </c>
    </row>
    <row r="4944" spans="5:13" x14ac:dyDescent="0.25">
      <c r="E4944" s="117">
        <v>46156</v>
      </c>
      <c r="F4944" s="78" t="s">
        <v>923</v>
      </c>
      <c r="G4944" s="166"/>
      <c r="H4944" s="167">
        <v>3100</v>
      </c>
      <c r="I4944" s="119"/>
      <c r="J4944" s="78"/>
      <c r="K4944" s="78"/>
      <c r="L4944" s="78"/>
      <c r="M4944" s="119"/>
    </row>
    <row r="4945" spans="5:13" ht="18.75" x14ac:dyDescent="0.3">
      <c r="E4945" s="117">
        <v>46156</v>
      </c>
      <c r="F4945" s="78" t="s">
        <v>834</v>
      </c>
      <c r="G4945" s="166"/>
      <c r="H4945" s="167">
        <v>6465</v>
      </c>
      <c r="I4945" s="78"/>
      <c r="J4945" s="78"/>
      <c r="K4945" s="126" t="s">
        <v>226</v>
      </c>
      <c r="L4945" s="126"/>
      <c r="M4945" s="127">
        <f>SUM(M4939:M4944)</f>
        <v>31385.08</v>
      </c>
    </row>
    <row r="4946" spans="5:13" x14ac:dyDescent="0.25">
      <c r="E4946" s="117">
        <v>46161</v>
      </c>
      <c r="F4946" s="78" t="s">
        <v>995</v>
      </c>
      <c r="G4946" s="166"/>
      <c r="H4946" s="167">
        <v>4750</v>
      </c>
      <c r="I4946" s="78"/>
    </row>
    <row r="4947" spans="5:13" x14ac:dyDescent="0.25">
      <c r="E4947" s="117">
        <v>46163</v>
      </c>
      <c r="F4947" s="78" t="s">
        <v>999</v>
      </c>
      <c r="G4947" s="166"/>
      <c r="H4947" s="167">
        <v>4510</v>
      </c>
      <c r="I4947" s="78"/>
      <c r="M4947" s="121"/>
    </row>
    <row r="4948" spans="5:13" x14ac:dyDescent="0.25">
      <c r="E4948" s="117">
        <v>46163</v>
      </c>
      <c r="F4948" s="78" t="s">
        <v>1002</v>
      </c>
      <c r="G4948" s="166"/>
      <c r="H4948" s="167">
        <v>13000</v>
      </c>
      <c r="I4948" s="78"/>
      <c r="L4948" s="121"/>
    </row>
    <row r="4949" spans="5:13" x14ac:dyDescent="0.25">
      <c r="E4949" s="117"/>
      <c r="F4949" s="177" t="s">
        <v>93</v>
      </c>
      <c r="G4949" s="178"/>
      <c r="H4949" s="179"/>
      <c r="I4949" s="78"/>
      <c r="L4949" s="121"/>
    </row>
    <row r="4950" spans="5:13" x14ac:dyDescent="0.25">
      <c r="E4950" s="117"/>
      <c r="F4950" s="78"/>
      <c r="G4950" s="166"/>
      <c r="H4950" s="167"/>
    </row>
    <row r="4951" spans="5:13" ht="15.75" x14ac:dyDescent="0.25">
      <c r="E4951" s="78"/>
      <c r="F4951" s="78"/>
      <c r="G4951" s="78"/>
      <c r="H4951" s="122">
        <f>SUM(H4939:H4950)</f>
        <v>92424.489999999991</v>
      </c>
      <c r="J4951" s="316" t="s">
        <v>227</v>
      </c>
      <c r="K4951" s="317"/>
      <c r="L4951" s="140">
        <f>H4956-M4945</f>
        <v>104506.18999999999</v>
      </c>
    </row>
    <row r="4952" spans="5:13" ht="15.75" x14ac:dyDescent="0.25">
      <c r="H4952" s="157"/>
      <c r="L4952" s="89"/>
    </row>
    <row r="4953" spans="5:13" ht="15.75" x14ac:dyDescent="0.25">
      <c r="G4953" s="101" t="s">
        <v>224</v>
      </c>
      <c r="H4953" s="101">
        <v>43466.78</v>
      </c>
      <c r="J4953" s="128" t="s">
        <v>285</v>
      </c>
      <c r="L4953" s="124">
        <f>G4973</f>
        <v>471.76000000000022</v>
      </c>
    </row>
    <row r="4954" spans="5:13" x14ac:dyDescent="0.25">
      <c r="E4954" s="121"/>
    </row>
    <row r="4956" spans="5:13" ht="18.75" x14ac:dyDescent="0.3">
      <c r="E4956" s="121"/>
      <c r="G4956" s="99" t="s">
        <v>225</v>
      </c>
      <c r="H4956" s="125">
        <f>SUM(H4951+H4953)</f>
        <v>135891.26999999999</v>
      </c>
      <c r="I4956">
        <v>43466.78</v>
      </c>
    </row>
    <row r="4957" spans="5:13" ht="21" x14ac:dyDescent="0.35">
      <c r="E4957" s="121"/>
      <c r="K4957" s="198" t="s">
        <v>286</v>
      </c>
      <c r="L4957" s="137">
        <f>SUM(L4951:L4953)</f>
        <v>104977.94999999998</v>
      </c>
    </row>
    <row r="4958" spans="5:13" x14ac:dyDescent="0.25">
      <c r="I4958" s="121"/>
      <c r="L4958" s="157">
        <v>104548.45</v>
      </c>
      <c r="M4958" s="39" t="s">
        <v>76</v>
      </c>
    </row>
    <row r="4960" spans="5:13" ht="18.75" x14ac:dyDescent="0.3">
      <c r="L4960" s="154">
        <f>L4957-L4958</f>
        <v>429.49999999998545</v>
      </c>
    </row>
    <row r="4963" spans="5:11" x14ac:dyDescent="0.25">
      <c r="E4963" s="91"/>
    </row>
    <row r="4965" spans="5:11" ht="15.75" x14ac:dyDescent="0.25">
      <c r="F4965" s="132" t="s">
        <v>235</v>
      </c>
      <c r="G4965" s="133">
        <v>14731.76</v>
      </c>
    </row>
    <row r="4966" spans="5:11" ht="15.75" x14ac:dyDescent="0.25">
      <c r="E4966" s="91">
        <v>46167</v>
      </c>
      <c r="F4966" t="s">
        <v>1027</v>
      </c>
      <c r="G4966">
        <v>10</v>
      </c>
      <c r="J4966" s="319" t="s">
        <v>570</v>
      </c>
      <c r="K4966" s="320"/>
    </row>
    <row r="4967" spans="5:11" x14ac:dyDescent="0.25">
      <c r="F4967" s="139" t="s">
        <v>1028</v>
      </c>
      <c r="G4967" s="139">
        <v>-170</v>
      </c>
      <c r="J4967" s="150" t="s">
        <v>985</v>
      </c>
      <c r="K4967" s="151">
        <v>23745</v>
      </c>
    </row>
    <row r="4968" spans="5:11" x14ac:dyDescent="0.25">
      <c r="F4968" s="139" t="s">
        <v>1032</v>
      </c>
      <c r="G4968" s="139">
        <v>-14000</v>
      </c>
      <c r="J4968" s="150" t="s">
        <v>1034</v>
      </c>
      <c r="K4968" s="151">
        <v>-100</v>
      </c>
    </row>
    <row r="4969" spans="5:11" x14ac:dyDescent="0.25">
      <c r="F4969" s="139" t="s">
        <v>1033</v>
      </c>
      <c r="G4969" s="139">
        <v>-100</v>
      </c>
      <c r="J4969" s="250" t="s">
        <v>1036</v>
      </c>
      <c r="K4969" s="250">
        <v>-7879.92</v>
      </c>
    </row>
    <row r="4971" spans="5:11" x14ac:dyDescent="0.25">
      <c r="K4971" s="157">
        <f>SUM(K4967:K4969)</f>
        <v>15765.08</v>
      </c>
    </row>
    <row r="4973" spans="5:11" ht="15.75" x14ac:dyDescent="0.25">
      <c r="F4973" s="132" t="s">
        <v>236</v>
      </c>
      <c r="G4973" s="133">
        <f>SUM(G4965:G4972)</f>
        <v>471.76000000000022</v>
      </c>
    </row>
    <row r="4976" spans="5:11" x14ac:dyDescent="0.25">
      <c r="G4976">
        <v>-11.9</v>
      </c>
    </row>
    <row r="4978" spans="5:9" x14ac:dyDescent="0.25">
      <c r="F4978" s="39"/>
      <c r="G4978" s="157">
        <f>SUM(G4973:G4977)</f>
        <v>459.86000000000024</v>
      </c>
      <c r="I4978" s="121"/>
    </row>
    <row r="4985" spans="5:9" ht="15.75" x14ac:dyDescent="0.25">
      <c r="F4985" s="166" t="s">
        <v>429</v>
      </c>
      <c r="G4985" s="140">
        <v>27537.91</v>
      </c>
    </row>
    <row r="4986" spans="5:9" ht="15.75" x14ac:dyDescent="0.25">
      <c r="E4986" s="91">
        <v>46167</v>
      </c>
      <c r="F4986" s="178" t="s">
        <v>1027</v>
      </c>
      <c r="G4986" s="212">
        <v>-10</v>
      </c>
    </row>
    <row r="4987" spans="5:9" ht="15.75" x14ac:dyDescent="0.25">
      <c r="F4987" s="178" t="s">
        <v>1029</v>
      </c>
      <c r="G4987" s="212">
        <v>-415</v>
      </c>
    </row>
    <row r="4988" spans="5:9" ht="15.75" x14ac:dyDescent="0.25">
      <c r="F4988" s="178" t="s">
        <v>1030</v>
      </c>
      <c r="G4988" s="212">
        <v>-10</v>
      </c>
    </row>
    <row r="4989" spans="5:9" ht="15.75" x14ac:dyDescent="0.25">
      <c r="F4989" s="178" t="s">
        <v>1035</v>
      </c>
      <c r="G4989" s="212">
        <v>8000</v>
      </c>
    </row>
    <row r="4990" spans="5:9" ht="15.75" x14ac:dyDescent="0.25">
      <c r="F4990" s="178" t="s">
        <v>1035</v>
      </c>
      <c r="G4990" s="212">
        <v>6000</v>
      </c>
    </row>
    <row r="4991" spans="5:9" ht="15.75" x14ac:dyDescent="0.25">
      <c r="F4991" s="251" t="s">
        <v>1037</v>
      </c>
      <c r="G4991" s="252">
        <v>-7879.92</v>
      </c>
    </row>
    <row r="4992" spans="5:9" ht="15.75" x14ac:dyDescent="0.25">
      <c r="F4992" s="166" t="s">
        <v>357</v>
      </c>
      <c r="G4992" s="140">
        <v>4144.5</v>
      </c>
    </row>
    <row r="4993" spans="6:7" x14ac:dyDescent="0.25">
      <c r="F4993" s="78"/>
      <c r="G4993" s="78"/>
    </row>
    <row r="4994" spans="6:7" ht="15.75" x14ac:dyDescent="0.25">
      <c r="F4994" s="78" t="s">
        <v>596</v>
      </c>
      <c r="G4994" s="189">
        <f>SUM(G4985:G4993)</f>
        <v>37367.490000000005</v>
      </c>
    </row>
    <row r="4996" spans="6:7" x14ac:dyDescent="0.25">
      <c r="F4996" t="s">
        <v>361</v>
      </c>
      <c r="G4996" s="121">
        <v>1342</v>
      </c>
    </row>
    <row r="4998" spans="6:7" x14ac:dyDescent="0.25">
      <c r="G4998" s="239">
        <f>G4994+G4996</f>
        <v>38709.490000000005</v>
      </c>
    </row>
    <row r="5011" spans="5:13" ht="18.75" x14ac:dyDescent="0.3">
      <c r="E5011" s="314" t="s">
        <v>1039</v>
      </c>
      <c r="F5011" s="315"/>
      <c r="G5011" s="315"/>
      <c r="H5011" s="315"/>
      <c r="I5011" s="315"/>
      <c r="J5011" s="315"/>
      <c r="K5011" s="315"/>
      <c r="L5011" s="315"/>
      <c r="M5011" s="315"/>
    </row>
    <row r="5012" spans="5:13" x14ac:dyDescent="0.25">
      <c r="E5012" s="78"/>
      <c r="F5012" s="78"/>
      <c r="G5012" s="78"/>
      <c r="H5012" s="78"/>
      <c r="I5012" s="78"/>
      <c r="J5012" s="78"/>
      <c r="K5012" s="78"/>
      <c r="L5012" s="78"/>
      <c r="M5012" s="78"/>
    </row>
    <row r="5013" spans="5:13" ht="15.75" x14ac:dyDescent="0.25">
      <c r="E5013" s="118" t="s">
        <v>223</v>
      </c>
      <c r="F5013" s="118" t="s">
        <v>206</v>
      </c>
      <c r="G5013" s="118" t="s">
        <v>207</v>
      </c>
      <c r="H5013" s="118" t="s">
        <v>218</v>
      </c>
      <c r="I5013" s="78"/>
      <c r="J5013" s="120" t="s">
        <v>6</v>
      </c>
      <c r="K5013" s="120" t="s">
        <v>217</v>
      </c>
      <c r="L5013" s="120" t="s">
        <v>207</v>
      </c>
      <c r="M5013" s="120" t="s">
        <v>218</v>
      </c>
    </row>
    <row r="5014" spans="5:13" x14ac:dyDescent="0.25">
      <c r="E5014" s="118"/>
      <c r="F5014" s="247" t="s">
        <v>980</v>
      </c>
      <c r="G5014" s="247" t="s">
        <v>1038</v>
      </c>
      <c r="H5014" s="248">
        <v>12375</v>
      </c>
      <c r="I5014" s="175"/>
      <c r="J5014" s="117"/>
      <c r="K5014" s="78"/>
      <c r="L5014" s="78"/>
      <c r="M5014" s="119"/>
    </row>
    <row r="5015" spans="5:13" x14ac:dyDescent="0.25">
      <c r="E5015" s="117">
        <v>46087</v>
      </c>
      <c r="F5015" s="78" t="s">
        <v>214</v>
      </c>
      <c r="G5015" s="155" t="s">
        <v>211</v>
      </c>
      <c r="H5015" s="156">
        <v>3000</v>
      </c>
      <c r="I5015" s="78"/>
      <c r="J5015" s="117">
        <v>46037</v>
      </c>
      <c r="K5015" s="149" t="s">
        <v>66</v>
      </c>
      <c r="L5015" s="78" t="s">
        <v>222</v>
      </c>
      <c r="M5015" s="119">
        <v>2120</v>
      </c>
    </row>
    <row r="5016" spans="5:13" ht="15.75" x14ac:dyDescent="0.25">
      <c r="E5016" s="78"/>
      <c r="F5016" s="201" t="s">
        <v>429</v>
      </c>
      <c r="G5016" s="201"/>
      <c r="H5016" s="183">
        <v>11607.49</v>
      </c>
      <c r="I5016" s="78"/>
      <c r="J5016" s="184">
        <v>46162</v>
      </c>
      <c r="K5016" s="78" t="s">
        <v>257</v>
      </c>
      <c r="L5016" s="185"/>
      <c r="M5016" s="140">
        <v>7100</v>
      </c>
    </row>
    <row r="5017" spans="5:13" ht="15.75" x14ac:dyDescent="0.25">
      <c r="E5017" s="117">
        <v>46156</v>
      </c>
      <c r="F5017" s="78" t="s">
        <v>353</v>
      </c>
      <c r="G5017" s="166"/>
      <c r="H5017" s="167">
        <v>580</v>
      </c>
      <c r="I5017" s="78"/>
      <c r="J5017" s="184"/>
      <c r="K5017" s="78" t="s">
        <v>1005</v>
      </c>
      <c r="L5017" s="185"/>
      <c r="M5017" s="140">
        <v>15765.08</v>
      </c>
    </row>
    <row r="5018" spans="5:13" ht="15.75" x14ac:dyDescent="0.25">
      <c r="E5018" s="117">
        <v>46156</v>
      </c>
      <c r="F5018" s="78" t="s">
        <v>471</v>
      </c>
      <c r="G5018" s="166"/>
      <c r="H5018" s="167">
        <v>3902</v>
      </c>
      <c r="I5018" s="119"/>
      <c r="J5018" s="184">
        <v>46163</v>
      </c>
      <c r="K5018" s="78" t="s">
        <v>281</v>
      </c>
      <c r="L5018" s="185"/>
      <c r="M5018" s="140">
        <v>8400</v>
      </c>
    </row>
    <row r="5019" spans="5:13" x14ac:dyDescent="0.25">
      <c r="E5019" s="117">
        <v>46156</v>
      </c>
      <c r="F5019" s="78" t="s">
        <v>923</v>
      </c>
      <c r="G5019" s="166"/>
      <c r="H5019" s="167">
        <v>3100</v>
      </c>
      <c r="I5019" s="119"/>
      <c r="J5019" s="78"/>
      <c r="K5019" s="78"/>
      <c r="L5019" s="78"/>
      <c r="M5019" s="119"/>
    </row>
    <row r="5020" spans="5:13" ht="18.75" x14ac:dyDescent="0.3">
      <c r="E5020" s="117">
        <v>46156</v>
      </c>
      <c r="F5020" s="78" t="s">
        <v>834</v>
      </c>
      <c r="G5020" s="166"/>
      <c r="H5020" s="167">
        <v>6465</v>
      </c>
      <c r="I5020" s="78"/>
      <c r="J5020" s="78"/>
      <c r="K5020" s="126" t="s">
        <v>226</v>
      </c>
      <c r="L5020" s="126"/>
      <c r="M5020" s="127">
        <f>SUM(M5014:M5019)</f>
        <v>33385.08</v>
      </c>
    </row>
    <row r="5021" spans="5:13" x14ac:dyDescent="0.25">
      <c r="E5021" s="117">
        <v>46161</v>
      </c>
      <c r="F5021" s="78" t="s">
        <v>995</v>
      </c>
      <c r="G5021" s="166"/>
      <c r="H5021" s="167">
        <v>4750</v>
      </c>
      <c r="I5021" s="78"/>
    </row>
    <row r="5022" spans="5:13" ht="15" customHeight="1" x14ac:dyDescent="0.25">
      <c r="E5022" s="117">
        <v>46163</v>
      </c>
      <c r="F5022" s="78" t="s">
        <v>999</v>
      </c>
      <c r="G5022" s="166"/>
      <c r="H5022" s="167">
        <v>4510</v>
      </c>
      <c r="I5022" s="78"/>
      <c r="M5022" s="121"/>
    </row>
    <row r="5023" spans="5:13" x14ac:dyDescent="0.25">
      <c r="E5023" s="117">
        <v>46163</v>
      </c>
      <c r="F5023" s="78" t="s">
        <v>1002</v>
      </c>
      <c r="G5023" s="166"/>
      <c r="H5023" s="167">
        <v>13000</v>
      </c>
      <c r="I5023" s="78"/>
      <c r="L5023" s="121"/>
    </row>
    <row r="5024" spans="5:13" x14ac:dyDescent="0.25">
      <c r="E5024" s="117"/>
      <c r="F5024" s="177" t="s">
        <v>1042</v>
      </c>
      <c r="G5024" s="178"/>
      <c r="H5024" s="179">
        <v>25760</v>
      </c>
      <c r="I5024" s="78"/>
      <c r="L5024" s="121"/>
    </row>
    <row r="5025" spans="5:13" x14ac:dyDescent="0.25">
      <c r="E5025" s="253">
        <v>46168</v>
      </c>
      <c r="F5025" s="256" t="s">
        <v>337</v>
      </c>
      <c r="G5025" s="254"/>
      <c r="H5025" s="255">
        <v>210</v>
      </c>
    </row>
    <row r="5026" spans="5:13" ht="15.75" x14ac:dyDescent="0.25">
      <c r="E5026" s="117"/>
      <c r="F5026" s="78"/>
      <c r="G5026" s="166"/>
      <c r="H5026" s="167"/>
      <c r="J5026" s="316" t="s">
        <v>227</v>
      </c>
      <c r="K5026" s="317"/>
      <c r="L5026" s="140">
        <f>H5032-M5020</f>
        <v>101343.18999999999</v>
      </c>
    </row>
    <row r="5027" spans="5:13" ht="15.75" x14ac:dyDescent="0.25">
      <c r="E5027" s="78"/>
      <c r="F5027" s="78"/>
      <c r="G5027" s="78"/>
      <c r="H5027" s="122">
        <f>SUM(H5014:H5026)</f>
        <v>89259.489999999991</v>
      </c>
      <c r="L5027" s="89"/>
    </row>
    <row r="5028" spans="5:13" ht="15.75" x14ac:dyDescent="0.25">
      <c r="H5028" s="157"/>
      <c r="J5028" s="128" t="s">
        <v>285</v>
      </c>
      <c r="L5028" s="124">
        <f>G5049</f>
        <v>4713.76</v>
      </c>
    </row>
    <row r="5029" spans="5:13" x14ac:dyDescent="0.25">
      <c r="G5029" s="101" t="s">
        <v>224</v>
      </c>
      <c r="H5029" s="101">
        <v>45468.78</v>
      </c>
    </row>
    <row r="5030" spans="5:13" x14ac:dyDescent="0.25">
      <c r="E5030" s="121"/>
    </row>
    <row r="5032" spans="5:13" ht="21" x14ac:dyDescent="0.35">
      <c r="E5032" s="121"/>
      <c r="G5032" s="99" t="s">
        <v>225</v>
      </c>
      <c r="H5032" s="125">
        <f>SUM(H5027+H5029)</f>
        <v>134728.26999999999</v>
      </c>
      <c r="K5032" s="198" t="s">
        <v>286</v>
      </c>
      <c r="L5032" s="137">
        <f>SUM(L5026:L5028)</f>
        <v>106056.94999999998</v>
      </c>
    </row>
    <row r="5033" spans="5:13" x14ac:dyDescent="0.25">
      <c r="E5033" s="121"/>
      <c r="I5033" s="121"/>
      <c r="L5033" s="157">
        <v>104977.95</v>
      </c>
      <c r="M5033" s="39" t="s">
        <v>76</v>
      </c>
    </row>
    <row r="5035" spans="5:13" ht="18.75" x14ac:dyDescent="0.3">
      <c r="L5035" s="154">
        <f>L5032-L5033</f>
        <v>1078.9999999999854</v>
      </c>
    </row>
    <row r="5039" spans="5:13" x14ac:dyDescent="0.25">
      <c r="E5039" s="91"/>
    </row>
    <row r="5041" spans="5:11" ht="15.75" x14ac:dyDescent="0.25">
      <c r="F5041" s="132" t="s">
        <v>235</v>
      </c>
      <c r="G5041" s="133">
        <v>14731.76</v>
      </c>
      <c r="J5041" s="319" t="s">
        <v>570</v>
      </c>
      <c r="K5041" s="320"/>
    </row>
    <row r="5042" spans="5:11" x14ac:dyDescent="0.25">
      <c r="E5042" s="91">
        <v>46167</v>
      </c>
      <c r="F5042" t="s">
        <v>1027</v>
      </c>
      <c r="G5042">
        <v>10</v>
      </c>
      <c r="J5042" s="150" t="s">
        <v>985</v>
      </c>
      <c r="K5042" s="151">
        <v>23745</v>
      </c>
    </row>
    <row r="5043" spans="5:11" x14ac:dyDescent="0.25">
      <c r="F5043" s="139" t="s">
        <v>1028</v>
      </c>
      <c r="G5043" s="139">
        <v>-170</v>
      </c>
      <c r="J5043" s="150" t="s">
        <v>1034</v>
      </c>
      <c r="K5043" s="151">
        <v>-100</v>
      </c>
    </row>
    <row r="5044" spans="5:11" x14ac:dyDescent="0.25">
      <c r="F5044" s="139" t="s">
        <v>1032</v>
      </c>
      <c r="G5044" s="139">
        <v>-14000</v>
      </c>
      <c r="J5044" s="250" t="s">
        <v>1036</v>
      </c>
      <c r="K5044" s="250">
        <v>-7879.92</v>
      </c>
    </row>
    <row r="5045" spans="5:11" x14ac:dyDescent="0.25">
      <c r="F5045" s="139" t="s">
        <v>1033</v>
      </c>
      <c r="G5045" s="139">
        <v>-100</v>
      </c>
    </row>
    <row r="5046" spans="5:11" x14ac:dyDescent="0.25">
      <c r="E5046" s="187">
        <v>46168</v>
      </c>
      <c r="F5046" s="139" t="s">
        <v>1040</v>
      </c>
      <c r="G5046" s="139">
        <v>-10</v>
      </c>
      <c r="K5046" s="157">
        <f>SUM(K5042:K5044)</f>
        <v>15765.08</v>
      </c>
    </row>
    <row r="5047" spans="5:11" x14ac:dyDescent="0.25">
      <c r="F5047" s="139" t="s">
        <v>93</v>
      </c>
      <c r="G5047" s="139">
        <v>4252</v>
      </c>
    </row>
    <row r="5049" spans="5:11" ht="15.75" x14ac:dyDescent="0.25">
      <c r="F5049" s="132" t="s">
        <v>236</v>
      </c>
      <c r="G5049" s="133">
        <f>SUM(G5041:G5048)</f>
        <v>4713.76</v>
      </c>
    </row>
    <row r="5052" spans="5:11" x14ac:dyDescent="0.25">
      <c r="G5052">
        <v>-11.9</v>
      </c>
    </row>
    <row r="5053" spans="5:11" x14ac:dyDescent="0.25">
      <c r="I5053" s="121"/>
    </row>
    <row r="5054" spans="5:11" x14ac:dyDescent="0.25">
      <c r="F5054" s="39"/>
      <c r="G5054" s="157">
        <f>SUM(G5049:G5053)</f>
        <v>4701.8600000000006</v>
      </c>
    </row>
    <row r="5061" spans="5:7" ht="15.75" x14ac:dyDescent="0.25">
      <c r="F5061" s="166" t="s">
        <v>429</v>
      </c>
      <c r="G5061" s="140">
        <v>27537.91</v>
      </c>
    </row>
    <row r="5062" spans="5:7" ht="15.75" x14ac:dyDescent="0.25">
      <c r="E5062" s="91">
        <v>46167</v>
      </c>
      <c r="F5062" s="178" t="s">
        <v>1027</v>
      </c>
      <c r="G5062" s="212">
        <v>-10</v>
      </c>
    </row>
    <row r="5063" spans="5:7" ht="15.75" x14ac:dyDescent="0.25">
      <c r="F5063" s="178" t="s">
        <v>1029</v>
      </c>
      <c r="G5063" s="212">
        <v>-415</v>
      </c>
    </row>
    <row r="5064" spans="5:7" ht="15.75" x14ac:dyDescent="0.25">
      <c r="F5064" s="178" t="s">
        <v>1030</v>
      </c>
      <c r="G5064" s="212">
        <v>-10</v>
      </c>
    </row>
    <row r="5065" spans="5:7" ht="15.75" x14ac:dyDescent="0.25">
      <c r="F5065" s="178" t="s">
        <v>1035</v>
      </c>
      <c r="G5065" s="212">
        <v>8000</v>
      </c>
    </row>
    <row r="5066" spans="5:7" ht="15.75" x14ac:dyDescent="0.25">
      <c r="F5066" s="178" t="s">
        <v>1035</v>
      </c>
      <c r="G5066" s="212">
        <v>6000</v>
      </c>
    </row>
    <row r="5067" spans="5:7" ht="15.75" x14ac:dyDescent="0.25">
      <c r="F5067" s="251" t="s">
        <v>1037</v>
      </c>
      <c r="G5067" s="252">
        <v>-7879.92</v>
      </c>
    </row>
    <row r="5068" spans="5:7" ht="15.75" x14ac:dyDescent="0.25">
      <c r="F5068" s="166" t="s">
        <v>357</v>
      </c>
      <c r="G5068" s="140">
        <v>4144.5</v>
      </c>
    </row>
    <row r="5069" spans="5:7" ht="15.75" x14ac:dyDescent="0.25">
      <c r="F5069" s="166" t="s">
        <v>1041</v>
      </c>
      <c r="G5069" s="140">
        <v>-25760</v>
      </c>
    </row>
    <row r="5070" spans="5:7" ht="15.75" x14ac:dyDescent="0.25">
      <c r="F5070" s="166"/>
      <c r="G5070" s="140"/>
    </row>
    <row r="5071" spans="5:7" x14ac:dyDescent="0.25">
      <c r="F5071" s="78"/>
      <c r="G5071" s="78"/>
    </row>
    <row r="5072" spans="5:7" ht="15.75" x14ac:dyDescent="0.25">
      <c r="F5072" s="78" t="s">
        <v>596</v>
      </c>
      <c r="G5072" s="189">
        <f>SUM(G5061:G5071)</f>
        <v>11607.490000000005</v>
      </c>
    </row>
    <row r="5074" spans="5:13" x14ac:dyDescent="0.25">
      <c r="F5074" t="s">
        <v>361</v>
      </c>
      <c r="G5074" s="121">
        <v>1342</v>
      </c>
    </row>
    <row r="5076" spans="5:13" x14ac:dyDescent="0.25">
      <c r="G5076" s="239">
        <f>G5072+G5074</f>
        <v>12949.490000000005</v>
      </c>
    </row>
    <row r="5088" spans="5:13" ht="18.75" x14ac:dyDescent="0.3">
      <c r="E5088" s="314" t="s">
        <v>1043</v>
      </c>
      <c r="F5088" s="315"/>
      <c r="G5088" s="315"/>
      <c r="H5088" s="315"/>
      <c r="I5088" s="315"/>
      <c r="J5088" s="315"/>
      <c r="K5088" s="315"/>
      <c r="L5088" s="315"/>
      <c r="M5088" s="315"/>
    </row>
    <row r="5089" spans="5:13" x14ac:dyDescent="0.25">
      <c r="E5089" s="78"/>
      <c r="F5089" s="78"/>
      <c r="G5089" s="78"/>
      <c r="H5089" s="78"/>
      <c r="I5089" s="78"/>
      <c r="J5089" s="78"/>
      <c r="K5089" s="78"/>
      <c r="L5089" s="78"/>
      <c r="M5089" s="78"/>
    </row>
    <row r="5090" spans="5:13" ht="15.75" x14ac:dyDescent="0.25">
      <c r="E5090" s="118" t="s">
        <v>223</v>
      </c>
      <c r="F5090" s="118" t="s">
        <v>206</v>
      </c>
      <c r="G5090" s="118" t="s">
        <v>207</v>
      </c>
      <c r="H5090" s="118" t="s">
        <v>218</v>
      </c>
      <c r="I5090" s="78"/>
      <c r="J5090" s="120" t="s">
        <v>6</v>
      </c>
      <c r="K5090" s="120" t="s">
        <v>217</v>
      </c>
      <c r="L5090" s="120" t="s">
        <v>207</v>
      </c>
      <c r="M5090" s="120" t="s">
        <v>218</v>
      </c>
    </row>
    <row r="5091" spans="5:13" x14ac:dyDescent="0.25">
      <c r="E5091" s="118"/>
      <c r="F5091" s="247" t="s">
        <v>980</v>
      </c>
      <c r="G5091" s="247" t="s">
        <v>1044</v>
      </c>
      <c r="H5091" s="248">
        <v>9375</v>
      </c>
      <c r="I5091" s="78">
        <v>12500</v>
      </c>
      <c r="J5091" s="117"/>
      <c r="K5091" s="78"/>
      <c r="L5091" s="78"/>
      <c r="M5091" s="119"/>
    </row>
    <row r="5092" spans="5:13" x14ac:dyDescent="0.25">
      <c r="E5092" s="117">
        <v>46087</v>
      </c>
      <c r="F5092" s="78" t="s">
        <v>214</v>
      </c>
      <c r="G5092" s="155" t="s">
        <v>211</v>
      </c>
      <c r="H5092" s="156">
        <v>3000</v>
      </c>
      <c r="I5092" s="78"/>
      <c r="J5092" s="117">
        <v>46037</v>
      </c>
      <c r="K5092" s="149" t="s">
        <v>66</v>
      </c>
      <c r="L5092" s="78" t="s">
        <v>222</v>
      </c>
      <c r="M5092" s="119">
        <v>2120</v>
      </c>
    </row>
    <row r="5093" spans="5:13" ht="15.75" x14ac:dyDescent="0.25">
      <c r="E5093" s="78"/>
      <c r="F5093" s="201" t="s">
        <v>429</v>
      </c>
      <c r="G5093" s="201"/>
      <c r="H5093" s="183">
        <v>10454.94</v>
      </c>
      <c r="I5093" s="78"/>
      <c r="J5093" s="184">
        <v>46162</v>
      </c>
      <c r="K5093" s="78" t="s">
        <v>257</v>
      </c>
      <c r="L5093" s="185"/>
      <c r="M5093" s="140">
        <v>9400</v>
      </c>
    </row>
    <row r="5094" spans="5:13" ht="15.75" x14ac:dyDescent="0.25">
      <c r="E5094" s="117">
        <v>46156</v>
      </c>
      <c r="F5094" s="78" t="s">
        <v>353</v>
      </c>
      <c r="G5094" s="166"/>
      <c r="H5094" s="167">
        <v>580</v>
      </c>
      <c r="I5094" s="78"/>
      <c r="J5094" s="184"/>
      <c r="K5094" s="78" t="s">
        <v>1005</v>
      </c>
      <c r="L5094" s="185"/>
      <c r="M5094" s="140">
        <v>15765.08</v>
      </c>
    </row>
    <row r="5095" spans="5:13" ht="15.75" x14ac:dyDescent="0.25">
      <c r="E5095" s="117">
        <v>46156</v>
      </c>
      <c r="F5095" s="78" t="s">
        <v>471</v>
      </c>
      <c r="G5095" s="166"/>
      <c r="H5095" s="167">
        <v>3902</v>
      </c>
      <c r="I5095" s="119"/>
      <c r="J5095" s="184">
        <v>46163</v>
      </c>
      <c r="K5095" s="78" t="s">
        <v>281</v>
      </c>
      <c r="L5095" s="185"/>
      <c r="M5095" s="140">
        <v>8400</v>
      </c>
    </row>
    <row r="5096" spans="5:13" x14ac:dyDescent="0.25">
      <c r="E5096" s="117">
        <v>46156</v>
      </c>
      <c r="F5096" s="78" t="s">
        <v>923</v>
      </c>
      <c r="G5096" s="166"/>
      <c r="H5096" s="167">
        <v>3100</v>
      </c>
      <c r="I5096" s="119"/>
      <c r="J5096" s="78"/>
      <c r="K5096" s="78"/>
      <c r="L5096" s="78"/>
      <c r="M5096" s="119"/>
    </row>
    <row r="5097" spans="5:13" ht="18.75" x14ac:dyDescent="0.3">
      <c r="E5097" s="117">
        <v>46156</v>
      </c>
      <c r="F5097" s="78" t="s">
        <v>834</v>
      </c>
      <c r="G5097" s="166"/>
      <c r="H5097" s="167">
        <v>6465</v>
      </c>
      <c r="I5097" s="78"/>
      <c r="J5097" s="78"/>
      <c r="K5097" s="126" t="s">
        <v>226</v>
      </c>
      <c r="L5097" s="126"/>
      <c r="M5097" s="127">
        <f>SUM(M5091:M5096)</f>
        <v>35685.08</v>
      </c>
    </row>
    <row r="5098" spans="5:13" x14ac:dyDescent="0.25">
      <c r="E5098" s="117">
        <v>46161</v>
      </c>
      <c r="F5098" s="78" t="s">
        <v>995</v>
      </c>
      <c r="G5098" s="166"/>
      <c r="H5098" s="167">
        <v>4750</v>
      </c>
      <c r="I5098" s="78"/>
    </row>
    <row r="5099" spans="5:13" x14ac:dyDescent="0.25">
      <c r="E5099" s="117">
        <v>46163</v>
      </c>
      <c r="F5099" s="78" t="s">
        <v>999</v>
      </c>
      <c r="G5099" s="166"/>
      <c r="H5099" s="167">
        <v>4510</v>
      </c>
      <c r="I5099" s="78"/>
      <c r="M5099" s="121"/>
    </row>
    <row r="5100" spans="5:13" x14ac:dyDescent="0.25">
      <c r="E5100" s="117">
        <v>46163</v>
      </c>
      <c r="F5100" s="78" t="s">
        <v>1002</v>
      </c>
      <c r="G5100" s="166"/>
      <c r="H5100" s="167">
        <v>6000</v>
      </c>
      <c r="I5100" s="78"/>
      <c r="L5100" s="121"/>
    </row>
    <row r="5101" spans="5:13" x14ac:dyDescent="0.25">
      <c r="E5101" s="117"/>
      <c r="F5101" s="177" t="s">
        <v>1042</v>
      </c>
      <c r="G5101" s="178"/>
      <c r="H5101" s="179">
        <v>25760</v>
      </c>
      <c r="I5101" s="78"/>
      <c r="L5101" s="121"/>
    </row>
    <row r="5102" spans="5:13" x14ac:dyDescent="0.25">
      <c r="E5102" s="253">
        <v>46168</v>
      </c>
      <c r="F5102" s="256" t="s">
        <v>337</v>
      </c>
      <c r="G5102" s="254"/>
      <c r="H5102" s="255">
        <v>210</v>
      </c>
    </row>
    <row r="5103" spans="5:13" ht="15.75" x14ac:dyDescent="0.25">
      <c r="E5103" s="257"/>
      <c r="F5103" s="258"/>
      <c r="G5103" s="214"/>
      <c r="H5103" s="219"/>
      <c r="J5103" s="316" t="s">
        <v>227</v>
      </c>
      <c r="K5103" s="317"/>
      <c r="L5103" s="140">
        <f>H5111-M5097</f>
        <v>89256.639999999999</v>
      </c>
    </row>
    <row r="5104" spans="5:13" ht="15.75" x14ac:dyDescent="0.25">
      <c r="E5104" s="257"/>
      <c r="F5104" s="258"/>
      <c r="G5104" s="214"/>
      <c r="H5104" s="219"/>
      <c r="L5104" s="89"/>
    </row>
    <row r="5105" spans="5:13" ht="15.75" x14ac:dyDescent="0.25">
      <c r="E5105" s="117"/>
      <c r="F5105" s="78"/>
      <c r="G5105" s="166"/>
      <c r="H5105" s="167"/>
      <c r="J5105" s="128" t="s">
        <v>285</v>
      </c>
      <c r="L5105" s="124">
        <f>G5131</f>
        <v>16794.760000000002</v>
      </c>
    </row>
    <row r="5106" spans="5:13" x14ac:dyDescent="0.25">
      <c r="E5106" s="78"/>
      <c r="F5106" s="78"/>
      <c r="G5106" s="78"/>
      <c r="H5106" s="122">
        <f>SUM(H5091:H5105)</f>
        <v>78106.94</v>
      </c>
    </row>
    <row r="5107" spans="5:13" x14ac:dyDescent="0.25">
      <c r="H5107" s="157"/>
    </row>
    <row r="5108" spans="5:13" x14ac:dyDescent="0.25">
      <c r="G5108" s="101" t="s">
        <v>224</v>
      </c>
      <c r="H5108" s="101">
        <v>46834.78</v>
      </c>
    </row>
    <row r="5109" spans="5:13" ht="21" x14ac:dyDescent="0.35">
      <c r="E5109" s="121"/>
      <c r="K5109" s="198" t="s">
        <v>286</v>
      </c>
      <c r="L5109" s="137">
        <f>SUM(L5103:L5105)</f>
        <v>106051.4</v>
      </c>
    </row>
    <row r="5110" spans="5:13" x14ac:dyDescent="0.25">
      <c r="I5110" s="121"/>
      <c r="L5110" s="157">
        <v>106056.95</v>
      </c>
      <c r="M5110" s="39" t="s">
        <v>76</v>
      </c>
    </row>
    <row r="5111" spans="5:13" ht="18.75" x14ac:dyDescent="0.3">
      <c r="E5111" s="121"/>
      <c r="G5111" s="99" t="s">
        <v>225</v>
      </c>
      <c r="H5111" s="125">
        <f>SUM(H5106+H5108)</f>
        <v>124941.72</v>
      </c>
    </row>
    <row r="5112" spans="5:13" ht="18.75" x14ac:dyDescent="0.3">
      <c r="E5112" s="121"/>
      <c r="L5112" s="260">
        <f>L5109-L5110</f>
        <v>-5.5500000000029104</v>
      </c>
    </row>
    <row r="5118" spans="5:13" ht="15.75" x14ac:dyDescent="0.25">
      <c r="E5118" s="91"/>
      <c r="J5118" s="319" t="s">
        <v>570</v>
      </c>
      <c r="K5118" s="320"/>
    </row>
    <row r="5119" spans="5:13" x14ac:dyDescent="0.25">
      <c r="J5119" s="150" t="s">
        <v>985</v>
      </c>
      <c r="K5119" s="151">
        <v>23745</v>
      </c>
    </row>
    <row r="5120" spans="5:13" ht="15.75" x14ac:dyDescent="0.25">
      <c r="F5120" s="132" t="s">
        <v>235</v>
      </c>
      <c r="G5120" s="133">
        <v>14731.76</v>
      </c>
      <c r="J5120" s="150" t="s">
        <v>1034</v>
      </c>
      <c r="K5120" s="151">
        <v>-100</v>
      </c>
    </row>
    <row r="5121" spans="5:11" x14ac:dyDescent="0.25">
      <c r="E5121" s="91">
        <v>46167</v>
      </c>
      <c r="F5121" t="s">
        <v>1027</v>
      </c>
      <c r="G5121">
        <v>10</v>
      </c>
      <c r="J5121" s="250" t="s">
        <v>1036</v>
      </c>
      <c r="K5121" s="250">
        <v>-7879.92</v>
      </c>
    </row>
    <row r="5122" spans="5:11" x14ac:dyDescent="0.25">
      <c r="F5122" s="139" t="s">
        <v>1028</v>
      </c>
      <c r="G5122" s="139">
        <v>-170</v>
      </c>
    </row>
    <row r="5123" spans="5:11" x14ac:dyDescent="0.25">
      <c r="F5123" s="139" t="s">
        <v>1032</v>
      </c>
      <c r="G5123" s="139">
        <v>-14000</v>
      </c>
      <c r="K5123" s="157">
        <f>SUM(K5119:K5121)</f>
        <v>15765.08</v>
      </c>
    </row>
    <row r="5124" spans="5:11" x14ac:dyDescent="0.25">
      <c r="F5124" s="139" t="s">
        <v>1033</v>
      </c>
      <c r="G5124" s="139">
        <v>-100</v>
      </c>
    </row>
    <row r="5125" spans="5:11" x14ac:dyDescent="0.25">
      <c r="E5125" s="187">
        <v>46168</v>
      </c>
      <c r="F5125" s="139" t="s">
        <v>1040</v>
      </c>
      <c r="G5125" s="139">
        <v>-10</v>
      </c>
    </row>
    <row r="5126" spans="5:11" x14ac:dyDescent="0.25">
      <c r="F5126" s="139" t="s">
        <v>93</v>
      </c>
      <c r="G5126" s="139">
        <v>4252</v>
      </c>
    </row>
    <row r="5127" spans="5:11" x14ac:dyDescent="0.25">
      <c r="E5127" s="91">
        <v>46169</v>
      </c>
      <c r="F5127" s="71" t="s">
        <v>1050</v>
      </c>
      <c r="G5127" s="71">
        <v>7000</v>
      </c>
    </row>
    <row r="5128" spans="5:11" x14ac:dyDescent="0.25">
      <c r="F5128" s="71" t="s">
        <v>1049</v>
      </c>
      <c r="G5128" s="71">
        <v>5081</v>
      </c>
    </row>
    <row r="5129" spans="5:11" x14ac:dyDescent="0.25">
      <c r="F5129" s="139"/>
      <c r="G5129" s="139"/>
    </row>
    <row r="5130" spans="5:11" x14ac:dyDescent="0.25">
      <c r="I5130" s="121"/>
    </row>
    <row r="5131" spans="5:11" ht="15.75" x14ac:dyDescent="0.25">
      <c r="F5131" s="132" t="s">
        <v>236</v>
      </c>
      <c r="G5131" s="133">
        <f>SUM(G5120:G5130)</f>
        <v>16794.760000000002</v>
      </c>
    </row>
    <row r="5134" spans="5:11" x14ac:dyDescent="0.25">
      <c r="G5134">
        <v>-11.9</v>
      </c>
    </row>
    <row r="5136" spans="5:11" x14ac:dyDescent="0.25">
      <c r="F5136" s="39"/>
      <c r="G5136" s="157">
        <f>SUM(G5131:G5135)</f>
        <v>16782.86</v>
      </c>
    </row>
    <row r="5140" spans="5:7" ht="15.75" x14ac:dyDescent="0.25">
      <c r="F5140" s="166" t="s">
        <v>429</v>
      </c>
      <c r="G5140" s="140">
        <v>27537.91</v>
      </c>
    </row>
    <row r="5141" spans="5:7" ht="15.75" x14ac:dyDescent="0.25">
      <c r="E5141" s="91">
        <v>46167</v>
      </c>
      <c r="F5141" s="178" t="s">
        <v>1027</v>
      </c>
      <c r="G5141" s="212">
        <v>-10</v>
      </c>
    </row>
    <row r="5142" spans="5:7" ht="15.75" x14ac:dyDescent="0.25">
      <c r="F5142" s="178" t="s">
        <v>1029</v>
      </c>
      <c r="G5142" s="212">
        <v>-415</v>
      </c>
    </row>
    <row r="5143" spans="5:7" ht="15.75" x14ac:dyDescent="0.25">
      <c r="F5143" s="178" t="s">
        <v>1030</v>
      </c>
      <c r="G5143" s="212">
        <v>-10</v>
      </c>
    </row>
    <row r="5144" spans="5:7" ht="15.75" x14ac:dyDescent="0.25">
      <c r="F5144" s="178" t="s">
        <v>1035</v>
      </c>
      <c r="G5144" s="212">
        <v>8000</v>
      </c>
    </row>
    <row r="5145" spans="5:7" ht="15.75" x14ac:dyDescent="0.25">
      <c r="F5145" s="178" t="s">
        <v>1035</v>
      </c>
      <c r="G5145" s="212">
        <v>6000</v>
      </c>
    </row>
    <row r="5146" spans="5:7" ht="15.75" x14ac:dyDescent="0.25">
      <c r="F5146" s="251" t="s">
        <v>1037</v>
      </c>
      <c r="G5146" s="252">
        <v>-7879.92</v>
      </c>
    </row>
    <row r="5147" spans="5:7" ht="15.75" x14ac:dyDescent="0.25">
      <c r="E5147" s="91"/>
      <c r="F5147" s="166" t="s">
        <v>357</v>
      </c>
      <c r="G5147" s="140">
        <v>4144.5</v>
      </c>
    </row>
    <row r="5148" spans="5:7" ht="15.75" x14ac:dyDescent="0.25">
      <c r="F5148" s="223" t="s">
        <v>1041</v>
      </c>
      <c r="G5148" s="259">
        <v>-25760</v>
      </c>
    </row>
    <row r="5149" spans="5:7" ht="15.75" x14ac:dyDescent="0.25">
      <c r="E5149" s="91">
        <v>46169</v>
      </c>
      <c r="F5149" s="178" t="s">
        <v>1048</v>
      </c>
      <c r="G5149" s="212">
        <v>-1150</v>
      </c>
    </row>
    <row r="5150" spans="5:7" ht="15.75" x14ac:dyDescent="0.25">
      <c r="F5150" s="166" t="s">
        <v>535</v>
      </c>
      <c r="G5150" s="140">
        <v>-2.5499999999999998</v>
      </c>
    </row>
    <row r="5151" spans="5:7" ht="15.75" x14ac:dyDescent="0.25">
      <c r="F5151" s="166"/>
      <c r="G5151" s="140"/>
    </row>
    <row r="5152" spans="5:7" x14ac:dyDescent="0.25">
      <c r="F5152" s="78"/>
      <c r="G5152" s="78"/>
    </row>
    <row r="5153" spans="6:7" ht="15.75" x14ac:dyDescent="0.25">
      <c r="F5153" s="78" t="s">
        <v>596</v>
      </c>
      <c r="G5153" s="189">
        <f>SUM(G5140:G5152)</f>
        <v>10454.940000000006</v>
      </c>
    </row>
    <row r="5155" spans="6:7" x14ac:dyDescent="0.25">
      <c r="F5155" t="s">
        <v>361</v>
      </c>
      <c r="G5155" s="121">
        <v>1342</v>
      </c>
    </row>
    <row r="5157" spans="6:7" x14ac:dyDescent="0.25">
      <c r="G5157" s="239">
        <f>G5153+G5155</f>
        <v>11796.940000000006</v>
      </c>
    </row>
    <row r="5169" spans="5:13" ht="18.75" x14ac:dyDescent="0.3">
      <c r="E5169" s="314" t="s">
        <v>1055</v>
      </c>
      <c r="F5169" s="315"/>
      <c r="G5169" s="315"/>
      <c r="H5169" s="315"/>
      <c r="I5169" s="315"/>
      <c r="J5169" s="315"/>
      <c r="K5169" s="315"/>
      <c r="L5169" s="315"/>
      <c r="M5169" s="315"/>
    </row>
    <row r="5170" spans="5:13" x14ac:dyDescent="0.25">
      <c r="E5170" s="78"/>
      <c r="F5170" s="78"/>
      <c r="G5170" s="78"/>
      <c r="H5170" s="78"/>
      <c r="I5170" s="78"/>
      <c r="J5170" s="78"/>
      <c r="K5170" s="78"/>
      <c r="L5170" s="78"/>
      <c r="M5170" s="78"/>
    </row>
    <row r="5171" spans="5:13" ht="15.75" x14ac:dyDescent="0.25">
      <c r="E5171" s="118" t="s">
        <v>223</v>
      </c>
      <c r="F5171" s="118" t="s">
        <v>206</v>
      </c>
      <c r="G5171" s="118" t="s">
        <v>207</v>
      </c>
      <c r="H5171" s="118" t="s">
        <v>218</v>
      </c>
      <c r="I5171" s="78"/>
      <c r="J5171" s="120" t="s">
        <v>6</v>
      </c>
      <c r="K5171" s="120" t="s">
        <v>217</v>
      </c>
      <c r="L5171" s="120" t="s">
        <v>207</v>
      </c>
      <c r="M5171" s="120" t="s">
        <v>218</v>
      </c>
    </row>
    <row r="5172" spans="5:13" x14ac:dyDescent="0.25">
      <c r="E5172" s="118"/>
      <c r="F5172" s="247" t="s">
        <v>980</v>
      </c>
      <c r="G5172" s="247" t="s">
        <v>1044</v>
      </c>
      <c r="H5172" s="248">
        <v>9375</v>
      </c>
      <c r="I5172" s="78">
        <v>12500</v>
      </c>
      <c r="J5172" s="117"/>
      <c r="K5172" s="78"/>
      <c r="L5172" s="78"/>
      <c r="M5172" s="119"/>
    </row>
    <row r="5173" spans="5:13" x14ac:dyDescent="0.25">
      <c r="E5173" s="117">
        <v>46087</v>
      </c>
      <c r="F5173" s="78" t="s">
        <v>214</v>
      </c>
      <c r="G5173" s="155" t="s">
        <v>211</v>
      </c>
      <c r="H5173" s="156">
        <v>3000</v>
      </c>
      <c r="I5173" s="78"/>
      <c r="J5173" s="117">
        <v>46037</v>
      </c>
      <c r="K5173" s="149" t="s">
        <v>66</v>
      </c>
      <c r="L5173" s="78" t="s">
        <v>222</v>
      </c>
      <c r="M5173" s="119">
        <v>2120</v>
      </c>
    </row>
    <row r="5174" spans="5:13" ht="15.75" x14ac:dyDescent="0.25">
      <c r="E5174" s="78"/>
      <c r="F5174" s="201" t="s">
        <v>429</v>
      </c>
      <c r="G5174" s="201"/>
      <c r="H5174" s="183">
        <v>2854.44</v>
      </c>
      <c r="I5174" s="78"/>
      <c r="J5174" s="184">
        <v>46163</v>
      </c>
      <c r="K5174" s="78" t="s">
        <v>281</v>
      </c>
      <c r="L5174" s="185"/>
      <c r="M5174" s="140">
        <v>10400</v>
      </c>
    </row>
    <row r="5175" spans="5:13" ht="15.75" x14ac:dyDescent="0.25">
      <c r="E5175" s="117">
        <v>46156</v>
      </c>
      <c r="F5175" s="78" t="s">
        <v>353</v>
      </c>
      <c r="G5175" s="166"/>
      <c r="H5175" s="167">
        <v>580</v>
      </c>
      <c r="I5175" s="78"/>
      <c r="J5175" s="184">
        <v>46170</v>
      </c>
      <c r="K5175" s="78" t="s">
        <v>1060</v>
      </c>
      <c r="L5175" s="185"/>
      <c r="M5175" s="140">
        <v>1400</v>
      </c>
    </row>
    <row r="5176" spans="5:13" x14ac:dyDescent="0.25">
      <c r="E5176" s="117">
        <v>46156</v>
      </c>
      <c r="F5176" s="78" t="s">
        <v>471</v>
      </c>
      <c r="G5176" s="166"/>
      <c r="H5176" s="167">
        <v>3902</v>
      </c>
      <c r="I5176" s="119"/>
      <c r="J5176" s="117"/>
      <c r="K5176" s="78"/>
      <c r="L5176" s="78"/>
      <c r="M5176" s="119"/>
    </row>
    <row r="5177" spans="5:13" ht="18.75" x14ac:dyDescent="0.3">
      <c r="E5177" s="117">
        <v>46156</v>
      </c>
      <c r="F5177" s="78" t="s">
        <v>923</v>
      </c>
      <c r="G5177" s="166"/>
      <c r="H5177" s="167">
        <v>2000</v>
      </c>
      <c r="I5177" s="119"/>
      <c r="J5177" s="78"/>
      <c r="K5177" s="126" t="s">
        <v>226</v>
      </c>
      <c r="L5177" s="126"/>
      <c r="M5177" s="127">
        <f>SUM(M5172:M5176)</f>
        <v>13920</v>
      </c>
    </row>
    <row r="5178" spans="5:13" x14ac:dyDescent="0.25">
      <c r="E5178" s="117">
        <v>46156</v>
      </c>
      <c r="F5178" s="78" t="s">
        <v>834</v>
      </c>
      <c r="G5178" s="166"/>
      <c r="H5178" s="167">
        <v>6465</v>
      </c>
      <c r="I5178" s="78"/>
    </row>
    <row r="5179" spans="5:13" x14ac:dyDescent="0.25">
      <c r="E5179" s="117">
        <v>46161</v>
      </c>
      <c r="F5179" s="78" t="s">
        <v>995</v>
      </c>
      <c r="G5179" s="166"/>
      <c r="H5179" s="167">
        <v>2950</v>
      </c>
      <c r="I5179" s="78"/>
      <c r="M5179" s="121"/>
    </row>
    <row r="5180" spans="5:13" x14ac:dyDescent="0.25">
      <c r="E5180" s="117">
        <v>46163</v>
      </c>
      <c r="F5180" s="78" t="s">
        <v>999</v>
      </c>
      <c r="G5180" s="166"/>
      <c r="H5180" s="167">
        <v>4510</v>
      </c>
      <c r="I5180" s="78"/>
      <c r="L5180" s="121"/>
    </row>
    <row r="5181" spans="5:13" x14ac:dyDescent="0.25">
      <c r="E5181" s="117">
        <v>46163</v>
      </c>
      <c r="F5181" s="78" t="s">
        <v>1002</v>
      </c>
      <c r="G5181" s="166"/>
      <c r="H5181" s="167">
        <v>6000</v>
      </c>
      <c r="I5181" s="78"/>
      <c r="L5181" s="121"/>
    </row>
    <row r="5182" spans="5:13" x14ac:dyDescent="0.25">
      <c r="E5182" s="117"/>
      <c r="F5182" s="177" t="s">
        <v>1042</v>
      </c>
      <c r="G5182" s="178"/>
      <c r="H5182" s="179">
        <v>25760</v>
      </c>
      <c r="I5182" s="78"/>
    </row>
    <row r="5183" spans="5:13" ht="15.75" x14ac:dyDescent="0.25">
      <c r="E5183" s="257"/>
      <c r="F5183" s="258"/>
      <c r="G5183" s="214"/>
      <c r="H5183" s="219"/>
      <c r="J5183" s="316" t="s">
        <v>227</v>
      </c>
      <c r="K5183" s="317"/>
      <c r="L5183" s="140">
        <f>H5191-M5177</f>
        <v>100646.22</v>
      </c>
    </row>
    <row r="5184" spans="5:13" ht="15.75" x14ac:dyDescent="0.25">
      <c r="E5184" s="257"/>
      <c r="F5184" s="258"/>
      <c r="G5184" s="214"/>
      <c r="H5184" s="219"/>
      <c r="L5184" s="89"/>
    </row>
    <row r="5185" spans="5:13" ht="15.75" x14ac:dyDescent="0.25">
      <c r="E5185" s="117"/>
      <c r="F5185" s="78"/>
      <c r="G5185" s="166"/>
      <c r="H5185" s="167"/>
      <c r="J5185" s="128" t="s">
        <v>285</v>
      </c>
      <c r="L5185" s="124">
        <f>G5217</f>
        <v>5829.6800000000021</v>
      </c>
    </row>
    <row r="5186" spans="5:13" x14ac:dyDescent="0.25">
      <c r="E5186" s="78"/>
      <c r="F5186" s="78"/>
      <c r="G5186" s="78"/>
      <c r="H5186" s="122">
        <f>SUM(H5172:H5185)</f>
        <v>67396.44</v>
      </c>
    </row>
    <row r="5187" spans="5:13" x14ac:dyDescent="0.25">
      <c r="H5187" s="157"/>
    </row>
    <row r="5188" spans="5:13" x14ac:dyDescent="0.25">
      <c r="G5188" s="101" t="s">
        <v>224</v>
      </c>
      <c r="H5188" s="101">
        <v>47169.78</v>
      </c>
    </row>
    <row r="5189" spans="5:13" ht="21" x14ac:dyDescent="0.35">
      <c r="E5189" s="121"/>
      <c r="K5189" s="198" t="s">
        <v>286</v>
      </c>
      <c r="L5189" s="137">
        <f>SUM(L5183:L5185)</f>
        <v>106475.90000000001</v>
      </c>
    </row>
    <row r="5190" spans="5:13" x14ac:dyDescent="0.25">
      <c r="L5190" s="157">
        <v>106051.4</v>
      </c>
      <c r="M5190" s="39" t="s">
        <v>76</v>
      </c>
    </row>
    <row r="5191" spans="5:13" ht="18.75" x14ac:dyDescent="0.3">
      <c r="E5191" s="121"/>
      <c r="G5191" s="99" t="s">
        <v>225</v>
      </c>
      <c r="H5191" s="125">
        <f>SUM(H5186+H5188)</f>
        <v>114566.22</v>
      </c>
      <c r="I5191" s="121"/>
    </row>
    <row r="5192" spans="5:13" ht="18.75" x14ac:dyDescent="0.3">
      <c r="E5192" s="121"/>
      <c r="L5192" s="260">
        <f>L5189-L5190</f>
        <v>424.50000000001455</v>
      </c>
    </row>
    <row r="5198" spans="5:13" ht="15.75" x14ac:dyDescent="0.25">
      <c r="E5198" s="91"/>
      <c r="J5198" s="319" t="s">
        <v>570</v>
      </c>
      <c r="K5198" s="320"/>
    </row>
    <row r="5199" spans="5:13" x14ac:dyDescent="0.25">
      <c r="J5199" s="150" t="s">
        <v>985</v>
      </c>
      <c r="K5199" s="151">
        <v>23745</v>
      </c>
    </row>
    <row r="5200" spans="5:13" ht="15.75" x14ac:dyDescent="0.25">
      <c r="F5200" s="132" t="s">
        <v>235</v>
      </c>
      <c r="G5200" s="133">
        <v>14731.76</v>
      </c>
      <c r="J5200" s="150" t="s">
        <v>1034</v>
      </c>
      <c r="K5200" s="151">
        <v>-100</v>
      </c>
    </row>
    <row r="5201" spans="5:12" x14ac:dyDescent="0.25">
      <c r="E5201" s="91">
        <v>46167</v>
      </c>
      <c r="F5201" t="s">
        <v>1027</v>
      </c>
      <c r="G5201">
        <v>10</v>
      </c>
      <c r="J5201" s="250" t="s">
        <v>1036</v>
      </c>
      <c r="K5201" s="250">
        <v>-7879.92</v>
      </c>
    </row>
    <row r="5202" spans="5:12" x14ac:dyDescent="0.25">
      <c r="F5202" s="139" t="s">
        <v>1028</v>
      </c>
      <c r="G5202" s="139">
        <v>-170</v>
      </c>
      <c r="J5202" s="163" t="s">
        <v>1051</v>
      </c>
      <c r="K5202" s="163">
        <v>-1100</v>
      </c>
    </row>
    <row r="5203" spans="5:12" x14ac:dyDescent="0.25">
      <c r="F5203" s="139" t="s">
        <v>1032</v>
      </c>
      <c r="G5203" s="139">
        <v>-14000</v>
      </c>
      <c r="J5203" s="163" t="s">
        <v>1052</v>
      </c>
      <c r="K5203" s="163">
        <v>-560</v>
      </c>
    </row>
    <row r="5204" spans="5:12" x14ac:dyDescent="0.25">
      <c r="F5204" s="139" t="s">
        <v>1033</v>
      </c>
      <c r="G5204" s="139">
        <v>-100</v>
      </c>
      <c r="J5204" s="163"/>
      <c r="K5204" s="163"/>
    </row>
    <row r="5205" spans="5:12" x14ac:dyDescent="0.25">
      <c r="E5205" s="187">
        <v>46168</v>
      </c>
      <c r="F5205" s="139" t="s">
        <v>1040</v>
      </c>
      <c r="G5205" s="139">
        <v>-10</v>
      </c>
    </row>
    <row r="5206" spans="5:12" ht="21" x14ac:dyDescent="0.35">
      <c r="F5206" s="139" t="s">
        <v>93</v>
      </c>
      <c r="G5206" s="139">
        <v>4252</v>
      </c>
      <c r="K5206" s="261">
        <f>SUM(K5199:K5205)</f>
        <v>14105.08</v>
      </c>
      <c r="L5206" s="198" t="s">
        <v>495</v>
      </c>
    </row>
    <row r="5207" spans="5:12" x14ac:dyDescent="0.25">
      <c r="E5207" s="91">
        <v>46169</v>
      </c>
      <c r="F5207" s="71" t="s">
        <v>1050</v>
      </c>
      <c r="G5207" s="71">
        <v>7000</v>
      </c>
    </row>
    <row r="5208" spans="5:12" x14ac:dyDescent="0.25">
      <c r="F5208" s="71" t="s">
        <v>1049</v>
      </c>
      <c r="G5208" s="71">
        <v>5081</v>
      </c>
    </row>
    <row r="5209" spans="5:12" x14ac:dyDescent="0.25">
      <c r="E5209" s="91">
        <v>46170</v>
      </c>
      <c r="F5209" s="139" t="s">
        <v>1053</v>
      </c>
      <c r="G5209" s="139">
        <v>-350</v>
      </c>
    </row>
    <row r="5210" spans="5:12" x14ac:dyDescent="0.25">
      <c r="F5210" s="139" t="s">
        <v>1054</v>
      </c>
      <c r="G5210" s="139">
        <v>-250</v>
      </c>
    </row>
    <row r="5211" spans="5:12" x14ac:dyDescent="0.25">
      <c r="F5211" s="139" t="s">
        <v>519</v>
      </c>
      <c r="G5211" s="139">
        <v>-14105.08</v>
      </c>
      <c r="I5211" s="121"/>
    </row>
    <row r="5212" spans="5:12" x14ac:dyDescent="0.25">
      <c r="F5212" s="71" t="s">
        <v>1058</v>
      </c>
      <c r="G5212" s="71">
        <v>2580</v>
      </c>
    </row>
    <row r="5213" spans="5:12" x14ac:dyDescent="0.25">
      <c r="F5213" s="71" t="s">
        <v>954</v>
      </c>
      <c r="G5213" s="71">
        <v>-100</v>
      </c>
    </row>
    <row r="5214" spans="5:12" x14ac:dyDescent="0.25">
      <c r="F5214" s="71" t="s">
        <v>93</v>
      </c>
      <c r="G5214" s="71">
        <v>1260</v>
      </c>
    </row>
    <row r="5215" spans="5:12" x14ac:dyDescent="0.25">
      <c r="F5215" s="139"/>
      <c r="G5215" s="139"/>
    </row>
    <row r="5217" spans="5:9" ht="15.75" x14ac:dyDescent="0.25">
      <c r="F5217" s="132" t="s">
        <v>236</v>
      </c>
      <c r="G5217" s="133">
        <f>SUM(G5200:G5216)</f>
        <v>5829.6800000000021</v>
      </c>
    </row>
    <row r="5220" spans="5:9" x14ac:dyDescent="0.25">
      <c r="G5220">
        <v>-11.9</v>
      </c>
    </row>
    <row r="5222" spans="5:9" x14ac:dyDescent="0.25">
      <c r="F5222" s="39"/>
      <c r="G5222" s="157">
        <f>SUM(G5217:G5221)</f>
        <v>5817.7800000000025</v>
      </c>
    </row>
    <row r="5226" spans="5:9" ht="15.75" x14ac:dyDescent="0.25">
      <c r="F5226" s="166" t="s">
        <v>429</v>
      </c>
      <c r="G5226" s="140">
        <v>27537.91</v>
      </c>
    </row>
    <row r="5227" spans="5:9" ht="15.75" x14ac:dyDescent="0.25">
      <c r="E5227" s="91">
        <v>46167</v>
      </c>
      <c r="F5227" s="178" t="s">
        <v>1027</v>
      </c>
      <c r="G5227" s="212">
        <v>-10</v>
      </c>
    </row>
    <row r="5228" spans="5:9" ht="15.75" x14ac:dyDescent="0.25">
      <c r="F5228" s="178" t="s">
        <v>1029</v>
      </c>
      <c r="G5228" s="212">
        <v>-415</v>
      </c>
    </row>
    <row r="5229" spans="5:9" ht="15.75" x14ac:dyDescent="0.25">
      <c r="F5229" s="178" t="s">
        <v>1030</v>
      </c>
      <c r="G5229" s="212">
        <v>-10</v>
      </c>
    </row>
    <row r="5230" spans="5:9" ht="15.75" x14ac:dyDescent="0.25">
      <c r="F5230" s="178" t="s">
        <v>1035</v>
      </c>
      <c r="G5230" s="212">
        <v>8000</v>
      </c>
    </row>
    <row r="5231" spans="5:9" ht="15.75" x14ac:dyDescent="0.25">
      <c r="F5231" s="178" t="s">
        <v>1035</v>
      </c>
      <c r="G5231" s="212">
        <v>6000</v>
      </c>
      <c r="I5231">
        <f>2580/4</f>
        <v>645</v>
      </c>
    </row>
    <row r="5232" spans="5:9" ht="15.75" x14ac:dyDescent="0.25">
      <c r="F5232" s="251" t="s">
        <v>1037</v>
      </c>
      <c r="G5232" s="252">
        <v>-7879.92</v>
      </c>
    </row>
    <row r="5233" spans="5:7" ht="15.75" x14ac:dyDescent="0.25">
      <c r="E5233" s="91"/>
      <c r="F5233" s="166" t="s">
        <v>357</v>
      </c>
      <c r="G5233" s="140">
        <v>4144.5</v>
      </c>
    </row>
    <row r="5234" spans="5:7" ht="15.75" x14ac:dyDescent="0.25">
      <c r="F5234" s="223" t="s">
        <v>1041</v>
      </c>
      <c r="G5234" s="259">
        <v>-25760</v>
      </c>
    </row>
    <row r="5235" spans="5:7" ht="15.75" x14ac:dyDescent="0.25">
      <c r="E5235" s="91">
        <v>46169</v>
      </c>
      <c r="F5235" s="178" t="s">
        <v>1048</v>
      </c>
      <c r="G5235" s="212">
        <v>-1150</v>
      </c>
    </row>
    <row r="5236" spans="5:7" ht="15.75" x14ac:dyDescent="0.25">
      <c r="F5236" s="166" t="s">
        <v>535</v>
      </c>
      <c r="G5236" s="140">
        <v>-2.5499999999999998</v>
      </c>
    </row>
    <row r="5237" spans="5:7" ht="15.75" x14ac:dyDescent="0.25">
      <c r="E5237" s="91">
        <v>46170</v>
      </c>
      <c r="F5237" s="166" t="s">
        <v>1056</v>
      </c>
      <c r="G5237" s="140">
        <v>1800</v>
      </c>
    </row>
    <row r="5238" spans="5:7" ht="15.75" x14ac:dyDescent="0.25">
      <c r="F5238" s="166" t="s">
        <v>1057</v>
      </c>
      <c r="G5238" s="140">
        <v>-9400</v>
      </c>
    </row>
    <row r="5239" spans="5:7" ht="15.75" x14ac:dyDescent="0.25">
      <c r="F5239" s="178" t="s">
        <v>535</v>
      </c>
      <c r="G5239" s="212">
        <v>-0.5</v>
      </c>
    </row>
    <row r="5240" spans="5:7" x14ac:dyDescent="0.25">
      <c r="F5240" s="78"/>
      <c r="G5240" s="78"/>
    </row>
    <row r="5241" spans="5:7" ht="15.75" x14ac:dyDescent="0.25">
      <c r="F5241" s="78" t="s">
        <v>596</v>
      </c>
      <c r="G5241" s="189">
        <f>SUM(G5226:G5240)</f>
        <v>2854.440000000006</v>
      </c>
    </row>
    <row r="5243" spans="5:7" x14ac:dyDescent="0.25">
      <c r="F5243" t="s">
        <v>361</v>
      </c>
      <c r="G5243" s="121">
        <v>1342</v>
      </c>
    </row>
    <row r="5245" spans="5:7" x14ac:dyDescent="0.25">
      <c r="G5245" s="239">
        <f>G5241+G5243</f>
        <v>4196.440000000006</v>
      </c>
    </row>
    <row r="5256" spans="5:13" x14ac:dyDescent="0.25">
      <c r="I5256">
        <f>5500*0.75</f>
        <v>4125</v>
      </c>
    </row>
    <row r="5259" spans="5:13" ht="18.75" x14ac:dyDescent="0.3">
      <c r="E5259" s="314" t="s">
        <v>1062</v>
      </c>
      <c r="F5259" s="315"/>
      <c r="G5259" s="315"/>
      <c r="H5259" s="315"/>
      <c r="I5259" s="315"/>
      <c r="J5259" s="315"/>
      <c r="K5259" s="315"/>
      <c r="L5259" s="315"/>
      <c r="M5259" s="315"/>
    </row>
    <row r="5260" spans="5:13" x14ac:dyDescent="0.25">
      <c r="E5260" s="78"/>
      <c r="F5260" s="78"/>
      <c r="G5260" s="78"/>
      <c r="H5260" s="78"/>
      <c r="I5260" s="78"/>
      <c r="J5260" s="78"/>
      <c r="K5260" s="78"/>
      <c r="L5260" s="78"/>
      <c r="M5260" s="78"/>
    </row>
    <row r="5261" spans="5:13" ht="15.75" x14ac:dyDescent="0.25">
      <c r="E5261" s="118" t="s">
        <v>223</v>
      </c>
      <c r="F5261" s="118" t="s">
        <v>206</v>
      </c>
      <c r="G5261" s="118" t="s">
        <v>207</v>
      </c>
      <c r="H5261" s="118" t="s">
        <v>218</v>
      </c>
      <c r="I5261" s="78"/>
      <c r="J5261" s="120" t="s">
        <v>6</v>
      </c>
      <c r="K5261" s="120" t="s">
        <v>217</v>
      </c>
      <c r="L5261" s="120" t="s">
        <v>207</v>
      </c>
      <c r="M5261" s="120" t="s">
        <v>218</v>
      </c>
    </row>
    <row r="5262" spans="5:13" x14ac:dyDescent="0.25">
      <c r="E5262" s="118"/>
      <c r="F5262" s="247" t="s">
        <v>980</v>
      </c>
      <c r="G5262" s="247" t="s">
        <v>1064</v>
      </c>
      <c r="H5262" s="248">
        <v>4125</v>
      </c>
      <c r="I5262" s="78">
        <v>5500</v>
      </c>
      <c r="J5262" s="117"/>
      <c r="K5262" s="78"/>
      <c r="L5262" s="78"/>
      <c r="M5262" s="119"/>
    </row>
    <row r="5263" spans="5:13" x14ac:dyDescent="0.25">
      <c r="E5263" s="117">
        <v>46087</v>
      </c>
      <c r="F5263" s="78" t="s">
        <v>214</v>
      </c>
      <c r="G5263" s="155" t="s">
        <v>211</v>
      </c>
      <c r="H5263" s="156">
        <v>3000</v>
      </c>
      <c r="I5263" s="78"/>
      <c r="J5263" s="117">
        <v>46037</v>
      </c>
      <c r="K5263" s="149" t="s">
        <v>66</v>
      </c>
      <c r="L5263" s="78" t="s">
        <v>222</v>
      </c>
      <c r="M5263" s="119">
        <v>2120</v>
      </c>
    </row>
    <row r="5264" spans="5:13" ht="15.75" x14ac:dyDescent="0.25">
      <c r="E5264" s="78"/>
      <c r="F5264" s="201" t="s">
        <v>429</v>
      </c>
      <c r="G5264" s="201"/>
      <c r="H5264" s="183">
        <v>10238.39</v>
      </c>
      <c r="I5264" s="78"/>
      <c r="J5264" s="184">
        <v>46163</v>
      </c>
      <c r="K5264" s="78" t="s">
        <v>281</v>
      </c>
      <c r="L5264" s="185"/>
      <c r="M5264" s="140">
        <v>10400</v>
      </c>
    </row>
    <row r="5265" spans="5:13" ht="15.75" x14ac:dyDescent="0.25">
      <c r="E5265" s="117">
        <v>46156</v>
      </c>
      <c r="F5265" s="78" t="s">
        <v>353</v>
      </c>
      <c r="G5265" s="166"/>
      <c r="H5265" s="167">
        <v>580</v>
      </c>
      <c r="I5265" s="78"/>
      <c r="J5265" s="184">
        <v>46170</v>
      </c>
      <c r="K5265" s="78" t="s">
        <v>1060</v>
      </c>
      <c r="L5265" s="185"/>
      <c r="M5265" s="140">
        <v>1400</v>
      </c>
    </row>
    <row r="5266" spans="5:13" x14ac:dyDescent="0.25">
      <c r="E5266" s="117">
        <v>46156</v>
      </c>
      <c r="F5266" s="78" t="s">
        <v>471</v>
      </c>
      <c r="G5266" s="166"/>
      <c r="H5266" s="167">
        <v>3902</v>
      </c>
      <c r="I5266" s="119"/>
      <c r="J5266" s="117"/>
      <c r="K5266" s="78"/>
      <c r="L5266" s="78"/>
      <c r="M5266" s="119"/>
    </row>
    <row r="5267" spans="5:13" ht="18.75" x14ac:dyDescent="0.3">
      <c r="E5267" s="117">
        <v>46156</v>
      </c>
      <c r="F5267" s="78" t="s">
        <v>834</v>
      </c>
      <c r="G5267" s="166"/>
      <c r="H5267" s="167">
        <v>6465</v>
      </c>
      <c r="I5267" s="119"/>
      <c r="J5267" s="78"/>
      <c r="K5267" s="126" t="s">
        <v>226</v>
      </c>
      <c r="L5267" s="126"/>
      <c r="M5267" s="127">
        <f>SUM(M5262:M5266)</f>
        <v>13920</v>
      </c>
    </row>
    <row r="5268" spans="5:13" x14ac:dyDescent="0.25">
      <c r="E5268" s="117">
        <v>46161</v>
      </c>
      <c r="F5268" s="78" t="s">
        <v>995</v>
      </c>
      <c r="G5268" s="166"/>
      <c r="H5268" s="167">
        <v>2950</v>
      </c>
      <c r="I5268" s="78"/>
    </row>
    <row r="5269" spans="5:13" x14ac:dyDescent="0.25">
      <c r="E5269" s="117">
        <v>46163</v>
      </c>
      <c r="F5269" s="78" t="s">
        <v>999</v>
      </c>
      <c r="G5269" s="166"/>
      <c r="H5269" s="167">
        <v>4510</v>
      </c>
      <c r="I5269" s="78"/>
      <c r="M5269" s="121"/>
    </row>
    <row r="5270" spans="5:13" x14ac:dyDescent="0.25">
      <c r="E5270" s="117">
        <v>46163</v>
      </c>
      <c r="F5270" s="78" t="s">
        <v>1002</v>
      </c>
      <c r="G5270" s="166"/>
      <c r="H5270" s="167">
        <v>6000</v>
      </c>
      <c r="I5270" s="78"/>
      <c r="L5270" s="121"/>
    </row>
    <row r="5271" spans="5:13" x14ac:dyDescent="0.25">
      <c r="E5271" s="117"/>
      <c r="F5271" s="177" t="s">
        <v>1042</v>
      </c>
      <c r="G5271" s="178"/>
      <c r="H5271" s="179">
        <v>25760</v>
      </c>
      <c r="I5271" s="78"/>
      <c r="L5271" s="121"/>
    </row>
    <row r="5272" spans="5:13" x14ac:dyDescent="0.25">
      <c r="E5272" s="257"/>
      <c r="F5272" s="258" t="s">
        <v>1063</v>
      </c>
      <c r="G5272" s="214"/>
      <c r="H5272" s="219">
        <v>2580</v>
      </c>
      <c r="I5272" s="78"/>
    </row>
    <row r="5273" spans="5:13" ht="15.75" x14ac:dyDescent="0.25">
      <c r="E5273" s="257"/>
      <c r="F5273" s="258"/>
      <c r="G5273" s="214"/>
      <c r="H5273" s="219"/>
      <c r="J5273" s="316" t="s">
        <v>227</v>
      </c>
      <c r="K5273" s="317"/>
      <c r="L5273" s="140">
        <f>H5282-M5267</f>
        <v>101113.07</v>
      </c>
    </row>
    <row r="5274" spans="5:13" ht="15.75" x14ac:dyDescent="0.25">
      <c r="E5274" s="257"/>
      <c r="F5274" s="258"/>
      <c r="G5274" s="214"/>
      <c r="H5274" s="219"/>
      <c r="L5274" s="89"/>
    </row>
    <row r="5275" spans="5:13" ht="15.75" x14ac:dyDescent="0.25">
      <c r="E5275" s="257"/>
      <c r="F5275" s="258"/>
      <c r="G5275" s="214"/>
      <c r="H5275" s="219"/>
      <c r="J5275" s="128" t="s">
        <v>285</v>
      </c>
      <c r="L5275" s="124">
        <f>G5313</f>
        <v>6149.1800000000021</v>
      </c>
    </row>
    <row r="5276" spans="5:13" x14ac:dyDescent="0.25">
      <c r="E5276" s="117"/>
      <c r="F5276" s="78"/>
      <c r="G5276" s="166"/>
      <c r="H5276" s="167"/>
    </row>
    <row r="5277" spans="5:13" x14ac:dyDescent="0.25">
      <c r="E5277" s="78"/>
      <c r="F5277" s="78"/>
      <c r="G5277" s="78"/>
      <c r="H5277" s="122">
        <f>SUM(H5262:H5276)</f>
        <v>70110.39</v>
      </c>
    </row>
    <row r="5278" spans="5:13" x14ac:dyDescent="0.25">
      <c r="H5278" s="157"/>
    </row>
    <row r="5279" spans="5:13" ht="21" x14ac:dyDescent="0.35">
      <c r="G5279" s="101" t="s">
        <v>224</v>
      </c>
      <c r="H5279" s="101">
        <v>44922.68</v>
      </c>
      <c r="K5279" s="198" t="s">
        <v>286</v>
      </c>
      <c r="L5279" s="137">
        <f>SUM(L5273:L5275)</f>
        <v>107262.25000000001</v>
      </c>
    </row>
    <row r="5280" spans="5:13" x14ac:dyDescent="0.25">
      <c r="E5280" s="121"/>
      <c r="L5280" s="157">
        <v>106475.9</v>
      </c>
      <c r="M5280" s="39" t="s">
        <v>76</v>
      </c>
    </row>
    <row r="5281" spans="5:12" x14ac:dyDescent="0.25">
      <c r="I5281" s="121"/>
    </row>
    <row r="5282" spans="5:12" ht="18.75" x14ac:dyDescent="0.3">
      <c r="E5282" s="121"/>
      <c r="G5282" s="99" t="s">
        <v>225</v>
      </c>
      <c r="H5282" s="125">
        <f>SUM(H5277+H5279)</f>
        <v>115033.07</v>
      </c>
      <c r="L5282" s="260">
        <f>L5279-L5280</f>
        <v>786.35000000002037</v>
      </c>
    </row>
    <row r="5283" spans="5:12" x14ac:dyDescent="0.25">
      <c r="E5283" s="121"/>
    </row>
    <row r="5288" spans="5:12" ht="15.75" x14ac:dyDescent="0.25">
      <c r="J5288" s="318"/>
      <c r="K5288" s="318"/>
    </row>
    <row r="5289" spans="5:12" x14ac:dyDescent="0.25">
      <c r="E5289" s="91"/>
      <c r="J5289" s="150"/>
      <c r="K5289" s="151"/>
    </row>
    <row r="5290" spans="5:12" x14ac:dyDescent="0.25">
      <c r="J5290" s="150"/>
      <c r="K5290" s="151"/>
    </row>
    <row r="5291" spans="5:12" ht="15.75" x14ac:dyDescent="0.25">
      <c r="F5291" s="132" t="s">
        <v>235</v>
      </c>
      <c r="G5291" s="133">
        <v>14731.76</v>
      </c>
      <c r="J5291" s="163"/>
      <c r="K5291" s="163"/>
    </row>
    <row r="5292" spans="5:12" x14ac:dyDescent="0.25">
      <c r="E5292" s="91">
        <v>46167</v>
      </c>
      <c r="F5292" t="s">
        <v>1027</v>
      </c>
      <c r="G5292">
        <v>10</v>
      </c>
      <c r="J5292" s="163"/>
      <c r="K5292" s="163"/>
    </row>
    <row r="5293" spans="5:12" x14ac:dyDescent="0.25">
      <c r="F5293" s="139" t="s">
        <v>1028</v>
      </c>
      <c r="G5293" s="139">
        <v>-170</v>
      </c>
      <c r="J5293" s="163"/>
      <c r="K5293" s="163"/>
    </row>
    <row r="5294" spans="5:12" x14ac:dyDescent="0.25">
      <c r="F5294" s="139" t="s">
        <v>1032</v>
      </c>
      <c r="G5294" s="139">
        <v>-14000</v>
      </c>
      <c r="J5294" s="163"/>
      <c r="K5294" s="163"/>
    </row>
    <row r="5295" spans="5:12" x14ac:dyDescent="0.25">
      <c r="F5295" s="139" t="s">
        <v>1033</v>
      </c>
      <c r="G5295" s="139">
        <v>-100</v>
      </c>
    </row>
    <row r="5296" spans="5:12" ht="21" x14ac:dyDescent="0.35">
      <c r="E5296" s="187">
        <v>46168</v>
      </c>
      <c r="F5296" s="139" t="s">
        <v>1040</v>
      </c>
      <c r="G5296" s="139">
        <v>-10</v>
      </c>
      <c r="K5296" s="262"/>
      <c r="L5296" s="263"/>
    </row>
    <row r="5297" spans="5:9" x14ac:dyDescent="0.25">
      <c r="F5297" s="139" t="s">
        <v>93</v>
      </c>
      <c r="G5297" s="139">
        <v>4252</v>
      </c>
    </row>
    <row r="5298" spans="5:9" x14ac:dyDescent="0.25">
      <c r="E5298" s="91">
        <v>46169</v>
      </c>
      <c r="F5298" s="71" t="s">
        <v>1050</v>
      </c>
      <c r="G5298" s="71">
        <v>7000</v>
      </c>
    </row>
    <row r="5299" spans="5:9" x14ac:dyDescent="0.25">
      <c r="F5299" s="71" t="s">
        <v>1049</v>
      </c>
      <c r="G5299" s="71">
        <v>5081</v>
      </c>
    </row>
    <row r="5300" spans="5:9" x14ac:dyDescent="0.25">
      <c r="E5300" s="91">
        <v>46170</v>
      </c>
      <c r="F5300" s="139" t="s">
        <v>1053</v>
      </c>
      <c r="G5300" s="139">
        <v>-350</v>
      </c>
    </row>
    <row r="5301" spans="5:9" x14ac:dyDescent="0.25">
      <c r="F5301" s="139" t="s">
        <v>1054</v>
      </c>
      <c r="G5301" s="139">
        <v>-250</v>
      </c>
      <c r="I5301" s="121"/>
    </row>
    <row r="5302" spans="5:9" x14ac:dyDescent="0.25">
      <c r="F5302" s="139" t="s">
        <v>519</v>
      </c>
      <c r="G5302" s="139">
        <v>-14105.08</v>
      </c>
    </row>
    <row r="5303" spans="5:9" x14ac:dyDescent="0.25">
      <c r="F5303" s="71" t="s">
        <v>1058</v>
      </c>
      <c r="G5303" s="71">
        <v>2580</v>
      </c>
    </row>
    <row r="5304" spans="5:9" x14ac:dyDescent="0.25">
      <c r="F5304" s="71" t="s">
        <v>954</v>
      </c>
      <c r="G5304" s="71">
        <v>-100</v>
      </c>
    </row>
    <row r="5305" spans="5:9" x14ac:dyDescent="0.25">
      <c r="F5305" s="71" t="s">
        <v>93</v>
      </c>
      <c r="G5305" s="71">
        <v>1260</v>
      </c>
    </row>
    <row r="5306" spans="5:9" x14ac:dyDescent="0.25">
      <c r="E5306" s="91">
        <v>46171</v>
      </c>
      <c r="F5306" s="71" t="s">
        <v>1070</v>
      </c>
      <c r="G5306" s="71">
        <v>44.5</v>
      </c>
    </row>
    <row r="5307" spans="5:9" x14ac:dyDescent="0.25">
      <c r="F5307" s="71" t="s">
        <v>1072</v>
      </c>
      <c r="G5307" s="71">
        <v>275</v>
      </c>
    </row>
    <row r="5308" spans="5:9" x14ac:dyDescent="0.25">
      <c r="F5308" s="71"/>
      <c r="G5308" s="71"/>
    </row>
    <row r="5309" spans="5:9" x14ac:dyDescent="0.25">
      <c r="F5309" s="71"/>
      <c r="G5309" s="71"/>
    </row>
    <row r="5310" spans="5:9" x14ac:dyDescent="0.25">
      <c r="F5310" s="71"/>
      <c r="G5310" s="71"/>
    </row>
    <row r="5311" spans="5:9" x14ac:dyDescent="0.25">
      <c r="F5311" s="139"/>
      <c r="G5311" s="139"/>
    </row>
    <row r="5313" spans="5:9" ht="15.75" x14ac:dyDescent="0.25">
      <c r="F5313" s="132" t="s">
        <v>236</v>
      </c>
      <c r="G5313" s="133">
        <f>SUM(G5291:G5312)</f>
        <v>6149.1800000000021</v>
      </c>
    </row>
    <row r="5316" spans="5:9" x14ac:dyDescent="0.25">
      <c r="G5316">
        <v>-11.9</v>
      </c>
    </row>
    <row r="5318" spans="5:9" x14ac:dyDescent="0.25">
      <c r="F5318" s="39"/>
      <c r="G5318" s="157">
        <f>SUM(G5313:G5317)</f>
        <v>6137.2800000000025</v>
      </c>
    </row>
    <row r="5321" spans="5:9" x14ac:dyDescent="0.25">
      <c r="I5321">
        <f>2580/4</f>
        <v>645</v>
      </c>
    </row>
    <row r="5322" spans="5:9" ht="15.75" x14ac:dyDescent="0.25">
      <c r="F5322" s="166" t="s">
        <v>429</v>
      </c>
      <c r="G5322" s="140">
        <v>27537.91</v>
      </c>
    </row>
    <row r="5323" spans="5:9" ht="15.75" x14ac:dyDescent="0.25">
      <c r="E5323" s="91">
        <v>46167</v>
      </c>
      <c r="F5323" s="178" t="s">
        <v>1027</v>
      </c>
      <c r="G5323" s="212">
        <v>-10</v>
      </c>
    </row>
    <row r="5324" spans="5:9" ht="15.75" x14ac:dyDescent="0.25">
      <c r="F5324" s="178" t="s">
        <v>1029</v>
      </c>
      <c r="G5324" s="212">
        <v>-415</v>
      </c>
    </row>
    <row r="5325" spans="5:9" ht="15.75" x14ac:dyDescent="0.25">
      <c r="F5325" s="178" t="s">
        <v>1030</v>
      </c>
      <c r="G5325" s="212">
        <v>-10</v>
      </c>
    </row>
    <row r="5326" spans="5:9" ht="15.75" x14ac:dyDescent="0.25">
      <c r="F5326" s="178" t="s">
        <v>1035</v>
      </c>
      <c r="G5326" s="212">
        <v>8000</v>
      </c>
    </row>
    <row r="5327" spans="5:9" ht="15.75" x14ac:dyDescent="0.25">
      <c r="F5327" s="178" t="s">
        <v>1035</v>
      </c>
      <c r="G5327" s="212">
        <v>6000</v>
      </c>
    </row>
    <row r="5328" spans="5:9" ht="15.75" x14ac:dyDescent="0.25">
      <c r="F5328" s="251" t="s">
        <v>1037</v>
      </c>
      <c r="G5328" s="252">
        <v>-7879.92</v>
      </c>
    </row>
    <row r="5329" spans="5:7" ht="15.75" x14ac:dyDescent="0.25">
      <c r="E5329" s="91"/>
      <c r="F5329" s="166" t="s">
        <v>357</v>
      </c>
      <c r="G5329" s="140">
        <v>4144.5</v>
      </c>
    </row>
    <row r="5330" spans="5:7" ht="15.75" x14ac:dyDescent="0.25">
      <c r="F5330" s="223" t="s">
        <v>1041</v>
      </c>
      <c r="G5330" s="259">
        <v>-25760</v>
      </c>
    </row>
    <row r="5331" spans="5:7" ht="15.75" x14ac:dyDescent="0.25">
      <c r="E5331" s="91">
        <v>46169</v>
      </c>
      <c r="F5331" s="178" t="s">
        <v>1048</v>
      </c>
      <c r="G5331" s="212">
        <v>-1150</v>
      </c>
    </row>
    <row r="5332" spans="5:7" ht="15.75" x14ac:dyDescent="0.25">
      <c r="F5332" s="166" t="s">
        <v>535</v>
      </c>
      <c r="G5332" s="140">
        <v>-2.5499999999999998</v>
      </c>
    </row>
    <row r="5333" spans="5:7" ht="15.75" x14ac:dyDescent="0.25">
      <c r="E5333" s="91">
        <v>46170</v>
      </c>
      <c r="F5333" s="166" t="s">
        <v>1056</v>
      </c>
      <c r="G5333" s="140">
        <v>1800</v>
      </c>
    </row>
    <row r="5334" spans="5:7" ht="15.75" x14ac:dyDescent="0.25">
      <c r="F5334" s="166" t="s">
        <v>1057</v>
      </c>
      <c r="G5334" s="140">
        <v>-9400</v>
      </c>
    </row>
    <row r="5335" spans="5:7" ht="15.75" x14ac:dyDescent="0.25">
      <c r="F5335" s="178" t="s">
        <v>535</v>
      </c>
      <c r="G5335" s="212">
        <v>-0.5</v>
      </c>
    </row>
    <row r="5336" spans="5:7" ht="15.75" x14ac:dyDescent="0.25">
      <c r="E5336" s="91">
        <v>46171</v>
      </c>
      <c r="F5336" s="149" t="s">
        <v>1066</v>
      </c>
      <c r="G5336" s="140">
        <v>2340</v>
      </c>
    </row>
    <row r="5337" spans="5:7" ht="15.75" x14ac:dyDescent="0.25">
      <c r="F5337" s="149" t="s">
        <v>1067</v>
      </c>
      <c r="G5337" s="140">
        <v>1360</v>
      </c>
    </row>
    <row r="5338" spans="5:7" ht="15.75" x14ac:dyDescent="0.25">
      <c r="F5338" s="149" t="s">
        <v>1067</v>
      </c>
      <c r="G5338" s="140">
        <v>3182.7</v>
      </c>
    </row>
    <row r="5339" spans="5:7" ht="15.75" x14ac:dyDescent="0.25">
      <c r="F5339" s="178" t="s">
        <v>1068</v>
      </c>
      <c r="G5339" s="212">
        <v>-4542.7</v>
      </c>
    </row>
    <row r="5340" spans="5:7" ht="15.75" x14ac:dyDescent="0.25">
      <c r="F5340" s="149" t="s">
        <v>923</v>
      </c>
      <c r="G5340" s="140">
        <v>2000</v>
      </c>
    </row>
    <row r="5341" spans="5:7" ht="15.75" x14ac:dyDescent="0.25">
      <c r="F5341" s="178" t="s">
        <v>1069</v>
      </c>
      <c r="G5341" s="212">
        <v>-44.5</v>
      </c>
    </row>
    <row r="5342" spans="5:7" ht="15.75" x14ac:dyDescent="0.25">
      <c r="F5342" s="178" t="s">
        <v>93</v>
      </c>
      <c r="G5342" s="212">
        <v>3089.2</v>
      </c>
    </row>
    <row r="5343" spans="5:7" ht="15.75" x14ac:dyDescent="0.25">
      <c r="F5343" s="178" t="s">
        <v>535</v>
      </c>
      <c r="G5343" s="212">
        <v>-0.75</v>
      </c>
    </row>
    <row r="5344" spans="5:7" x14ac:dyDescent="0.25">
      <c r="F5344" s="78"/>
      <c r="G5344" s="78"/>
    </row>
    <row r="5345" spans="5:13" ht="15.75" x14ac:dyDescent="0.25">
      <c r="F5345" s="78" t="s">
        <v>596</v>
      </c>
      <c r="G5345" s="189">
        <f>SUM(G5322:G5344)</f>
        <v>10238.390000000007</v>
      </c>
    </row>
    <row r="5347" spans="5:13" x14ac:dyDescent="0.25">
      <c r="F5347" t="s">
        <v>361</v>
      </c>
      <c r="G5347" s="121">
        <v>1342</v>
      </c>
    </row>
    <row r="5349" spans="5:13" x14ac:dyDescent="0.25">
      <c r="G5349" s="239">
        <f>G5345+G5347</f>
        <v>11580.390000000007</v>
      </c>
    </row>
    <row r="5358" spans="5:13" ht="18.75" x14ac:dyDescent="0.3">
      <c r="E5358" s="314" t="s">
        <v>1073</v>
      </c>
      <c r="F5358" s="315"/>
      <c r="G5358" s="315"/>
      <c r="H5358" s="315"/>
      <c r="I5358" s="315"/>
      <c r="J5358" s="315"/>
      <c r="K5358" s="315"/>
      <c r="L5358" s="315"/>
      <c r="M5358" s="315"/>
    </row>
    <row r="5359" spans="5:13" x14ac:dyDescent="0.25">
      <c r="E5359" s="78"/>
      <c r="F5359" s="78"/>
      <c r="G5359" s="78"/>
      <c r="H5359" s="78"/>
      <c r="I5359" s="78"/>
      <c r="J5359" s="78"/>
      <c r="K5359" s="78"/>
      <c r="L5359" s="78"/>
      <c r="M5359" s="78"/>
    </row>
    <row r="5360" spans="5:13" ht="15.75" x14ac:dyDescent="0.25">
      <c r="E5360" s="118" t="s">
        <v>223</v>
      </c>
      <c r="F5360" s="118" t="s">
        <v>206</v>
      </c>
      <c r="G5360" s="118" t="s">
        <v>207</v>
      </c>
      <c r="H5360" s="118" t="s">
        <v>218</v>
      </c>
      <c r="I5360" s="78"/>
      <c r="J5360" s="120" t="s">
        <v>6</v>
      </c>
      <c r="K5360" s="120" t="s">
        <v>217</v>
      </c>
      <c r="L5360" s="120" t="s">
        <v>207</v>
      </c>
      <c r="M5360" s="120" t="s">
        <v>218</v>
      </c>
    </row>
    <row r="5361" spans="5:13" x14ac:dyDescent="0.25">
      <c r="E5361" s="118"/>
      <c r="F5361" s="247" t="s">
        <v>980</v>
      </c>
      <c r="G5361" s="247" t="s">
        <v>1064</v>
      </c>
      <c r="H5361" s="248">
        <v>4125</v>
      </c>
      <c r="I5361" s="78">
        <v>5500</v>
      </c>
      <c r="J5361" s="117"/>
      <c r="K5361" s="78"/>
      <c r="L5361" s="78"/>
      <c r="M5361" s="119"/>
    </row>
    <row r="5362" spans="5:13" x14ac:dyDescent="0.25">
      <c r="E5362" s="117">
        <v>46087</v>
      </c>
      <c r="F5362" s="78" t="s">
        <v>214</v>
      </c>
      <c r="G5362" s="155" t="s">
        <v>211</v>
      </c>
      <c r="H5362" s="156">
        <v>2900</v>
      </c>
      <c r="I5362" s="78"/>
      <c r="J5362" s="117">
        <v>46037</v>
      </c>
      <c r="K5362" s="149" t="s">
        <v>66</v>
      </c>
      <c r="L5362" s="78" t="s">
        <v>222</v>
      </c>
      <c r="M5362" s="119">
        <v>2120</v>
      </c>
    </row>
    <row r="5363" spans="5:13" ht="15.75" x14ac:dyDescent="0.25">
      <c r="E5363" s="78"/>
      <c r="F5363" s="201" t="s">
        <v>429</v>
      </c>
      <c r="G5363" s="201"/>
      <c r="H5363" s="183">
        <v>186728.39</v>
      </c>
      <c r="I5363" s="78"/>
      <c r="J5363" s="184">
        <v>46170</v>
      </c>
      <c r="K5363" s="78" t="s">
        <v>1060</v>
      </c>
      <c r="L5363" s="185"/>
      <c r="M5363" s="140">
        <v>1400</v>
      </c>
    </row>
    <row r="5364" spans="5:13" ht="15.75" x14ac:dyDescent="0.25">
      <c r="E5364" s="117">
        <v>46156</v>
      </c>
      <c r="F5364" s="78" t="s">
        <v>353</v>
      </c>
      <c r="G5364" s="166"/>
      <c r="H5364" s="167">
        <v>580</v>
      </c>
      <c r="I5364" s="78"/>
      <c r="J5364" s="184">
        <v>46172</v>
      </c>
      <c r="K5364" s="78" t="s">
        <v>257</v>
      </c>
      <c r="L5364" s="185"/>
      <c r="M5364" s="140">
        <v>5960</v>
      </c>
    </row>
    <row r="5365" spans="5:13" ht="15.75" x14ac:dyDescent="0.25">
      <c r="E5365" s="117">
        <v>46156</v>
      </c>
      <c r="F5365" s="78" t="s">
        <v>471</v>
      </c>
      <c r="G5365" s="166"/>
      <c r="H5365" s="167">
        <v>3902</v>
      </c>
      <c r="I5365" s="119"/>
      <c r="J5365" s="184"/>
      <c r="K5365" s="78" t="s">
        <v>1084</v>
      </c>
      <c r="L5365" s="185"/>
      <c r="M5365" s="140">
        <v>189000</v>
      </c>
    </row>
    <row r="5366" spans="5:13" x14ac:dyDescent="0.25">
      <c r="E5366" s="117">
        <v>46156</v>
      </c>
      <c r="F5366" s="78" t="s">
        <v>834</v>
      </c>
      <c r="G5366" s="166"/>
      <c r="H5366" s="167">
        <v>4385</v>
      </c>
      <c r="I5366" s="119"/>
      <c r="J5366" s="117"/>
      <c r="K5366" s="78"/>
      <c r="L5366" s="78"/>
      <c r="M5366" s="119"/>
    </row>
    <row r="5367" spans="5:13" ht="18.75" x14ac:dyDescent="0.3">
      <c r="E5367" s="117">
        <v>46161</v>
      </c>
      <c r="F5367" s="78" t="s">
        <v>995</v>
      </c>
      <c r="G5367" s="166"/>
      <c r="H5367" s="167">
        <v>2950</v>
      </c>
      <c r="I5367" s="78"/>
      <c r="J5367" s="78"/>
      <c r="K5367" s="126" t="s">
        <v>226</v>
      </c>
      <c r="L5367" s="126"/>
      <c r="M5367" s="127">
        <f>SUM(M5361:M5366)</f>
        <v>198480</v>
      </c>
    </row>
    <row r="5368" spans="5:13" x14ac:dyDescent="0.25">
      <c r="E5368" s="117">
        <v>46163</v>
      </c>
      <c r="F5368" s="78" t="s">
        <v>999</v>
      </c>
      <c r="G5368" s="166"/>
      <c r="H5368" s="167">
        <v>4510</v>
      </c>
      <c r="I5368" s="78"/>
    </row>
    <row r="5369" spans="5:13" x14ac:dyDescent="0.25">
      <c r="E5369" s="257"/>
      <c r="F5369" s="258" t="s">
        <v>1079</v>
      </c>
      <c r="G5369" s="214"/>
      <c r="H5369" s="219">
        <v>2580</v>
      </c>
      <c r="I5369" s="78"/>
      <c r="M5369" s="121"/>
    </row>
    <row r="5370" spans="5:13" x14ac:dyDescent="0.25">
      <c r="E5370" s="257"/>
      <c r="F5370" s="258" t="s">
        <v>1080</v>
      </c>
      <c r="G5370" s="214"/>
      <c r="H5370" s="219">
        <v>2080</v>
      </c>
      <c r="I5370" s="78"/>
      <c r="L5370" s="121"/>
    </row>
    <row r="5371" spans="5:13" x14ac:dyDescent="0.25">
      <c r="E5371" s="257"/>
      <c r="F5371" s="258"/>
      <c r="G5371" s="214"/>
      <c r="H5371" s="219"/>
      <c r="I5371" s="78"/>
      <c r="L5371" s="121"/>
    </row>
    <row r="5372" spans="5:13" x14ac:dyDescent="0.25">
      <c r="E5372" s="257"/>
      <c r="F5372" s="258"/>
      <c r="G5372" s="214"/>
      <c r="H5372" s="219"/>
    </row>
    <row r="5373" spans="5:13" ht="15.75" x14ac:dyDescent="0.25">
      <c r="E5373" s="117"/>
      <c r="F5373" s="78"/>
      <c r="G5373" s="166"/>
      <c r="H5373" s="167"/>
      <c r="J5373" s="316" t="s">
        <v>227</v>
      </c>
      <c r="K5373" s="317"/>
      <c r="L5373" s="140">
        <f>H5379-M5367</f>
        <v>64698.070000000007</v>
      </c>
    </row>
    <row r="5374" spans="5:13" ht="15.75" x14ac:dyDescent="0.25">
      <c r="E5374" s="78"/>
      <c r="F5374" s="78"/>
      <c r="G5374" s="78"/>
      <c r="H5374" s="122">
        <f>SUM(H5361:H5373)</f>
        <v>214740.39</v>
      </c>
      <c r="L5374" s="89"/>
    </row>
    <row r="5375" spans="5:13" ht="15.75" x14ac:dyDescent="0.25">
      <c r="H5375" s="157"/>
      <c r="J5375" s="128" t="s">
        <v>285</v>
      </c>
      <c r="L5375" s="124">
        <f>G5420</f>
        <v>42237.18</v>
      </c>
    </row>
    <row r="5376" spans="5:13" x14ac:dyDescent="0.25">
      <c r="G5376" s="101" t="s">
        <v>224</v>
      </c>
      <c r="H5376" s="101">
        <v>48437.68</v>
      </c>
    </row>
    <row r="5377" spans="5:13" x14ac:dyDescent="0.25">
      <c r="E5377" s="121"/>
    </row>
    <row r="5379" spans="5:13" ht="21" x14ac:dyDescent="0.35">
      <c r="E5379" s="121"/>
      <c r="G5379" s="99" t="s">
        <v>225</v>
      </c>
      <c r="H5379" s="125">
        <f>SUM(H5374+H5376)</f>
        <v>263178.07</v>
      </c>
      <c r="K5379" s="198" t="s">
        <v>286</v>
      </c>
      <c r="L5379" s="137">
        <f>SUM(L5373:L5375)</f>
        <v>106935.25</v>
      </c>
    </row>
    <row r="5380" spans="5:13" x14ac:dyDescent="0.25">
      <c r="E5380" s="121"/>
      <c r="I5380" s="121"/>
      <c r="L5380" s="157">
        <v>107262.25</v>
      </c>
      <c r="M5380" s="39" t="s">
        <v>76</v>
      </c>
    </row>
    <row r="5382" spans="5:13" ht="18.75" x14ac:dyDescent="0.3">
      <c r="L5382" s="260">
        <f>L5379-L5380</f>
        <v>-327</v>
      </c>
    </row>
    <row r="5386" spans="5:13" x14ac:dyDescent="0.25">
      <c r="E5386" s="91"/>
    </row>
    <row r="5388" spans="5:13" ht="15.75" x14ac:dyDescent="0.25">
      <c r="F5388" s="132" t="s">
        <v>235</v>
      </c>
      <c r="G5388" s="133">
        <v>14731.76</v>
      </c>
      <c r="J5388" s="318"/>
      <c r="K5388" s="318"/>
    </row>
    <row r="5389" spans="5:13" x14ac:dyDescent="0.25">
      <c r="E5389" s="91">
        <v>46167</v>
      </c>
      <c r="F5389" t="s">
        <v>1027</v>
      </c>
      <c r="G5389" s="121">
        <v>10</v>
      </c>
      <c r="J5389" s="150"/>
      <c r="K5389" s="151"/>
    </row>
    <row r="5390" spans="5:13" x14ac:dyDescent="0.25">
      <c r="F5390" s="139" t="s">
        <v>1028</v>
      </c>
      <c r="G5390" s="138">
        <v>-170</v>
      </c>
      <c r="J5390" s="150"/>
      <c r="K5390" s="151"/>
    </row>
    <row r="5391" spans="5:13" x14ac:dyDescent="0.25">
      <c r="F5391" s="139" t="s">
        <v>1032</v>
      </c>
      <c r="G5391" s="138">
        <v>-14000</v>
      </c>
      <c r="J5391" s="163"/>
      <c r="K5391" s="163"/>
    </row>
    <row r="5392" spans="5:13" x14ac:dyDescent="0.25">
      <c r="F5392" s="139" t="s">
        <v>1033</v>
      </c>
      <c r="G5392" s="138">
        <v>-100</v>
      </c>
      <c r="J5392" s="163"/>
      <c r="K5392" s="163"/>
    </row>
    <row r="5393" spans="5:12" x14ac:dyDescent="0.25">
      <c r="E5393" s="187">
        <v>46168</v>
      </c>
      <c r="F5393" s="139" t="s">
        <v>1040</v>
      </c>
      <c r="G5393" s="138">
        <v>-10</v>
      </c>
      <c r="J5393" s="163"/>
      <c r="K5393" s="163"/>
    </row>
    <row r="5394" spans="5:12" x14ac:dyDescent="0.25">
      <c r="F5394" s="139" t="s">
        <v>93</v>
      </c>
      <c r="G5394" s="138">
        <v>4252</v>
      </c>
      <c r="J5394" s="163"/>
      <c r="K5394" s="163"/>
    </row>
    <row r="5395" spans="5:12" x14ac:dyDescent="0.25">
      <c r="E5395" s="91">
        <v>46169</v>
      </c>
      <c r="F5395" s="71" t="s">
        <v>1050</v>
      </c>
      <c r="G5395" s="186">
        <v>7000</v>
      </c>
    </row>
    <row r="5396" spans="5:12" ht="21" x14ac:dyDescent="0.35">
      <c r="F5396" s="71" t="s">
        <v>1049</v>
      </c>
      <c r="G5396" s="186">
        <v>5081</v>
      </c>
      <c r="K5396" s="262"/>
      <c r="L5396" s="263"/>
    </row>
    <row r="5397" spans="5:12" x14ac:dyDescent="0.25">
      <c r="E5397" s="91">
        <v>46170</v>
      </c>
      <c r="F5397" s="139" t="s">
        <v>1053</v>
      </c>
      <c r="G5397" s="138">
        <v>-350</v>
      </c>
    </row>
    <row r="5398" spans="5:12" x14ac:dyDescent="0.25">
      <c r="F5398" s="139" t="s">
        <v>1054</v>
      </c>
      <c r="G5398" s="138">
        <v>-250</v>
      </c>
    </row>
    <row r="5399" spans="5:12" x14ac:dyDescent="0.25">
      <c r="F5399" s="139" t="s">
        <v>519</v>
      </c>
      <c r="G5399" s="138">
        <v>-14105.08</v>
      </c>
    </row>
    <row r="5400" spans="5:12" x14ac:dyDescent="0.25">
      <c r="F5400" s="71" t="s">
        <v>1058</v>
      </c>
      <c r="G5400" s="186">
        <v>2580</v>
      </c>
      <c r="I5400" s="121"/>
    </row>
    <row r="5401" spans="5:12" x14ac:dyDescent="0.25">
      <c r="F5401" s="71" t="s">
        <v>954</v>
      </c>
      <c r="G5401" s="186">
        <v>-100</v>
      </c>
    </row>
    <row r="5402" spans="5:12" x14ac:dyDescent="0.25">
      <c r="F5402" s="71" t="s">
        <v>93</v>
      </c>
      <c r="G5402" s="186">
        <v>1260</v>
      </c>
    </row>
    <row r="5403" spans="5:12" x14ac:dyDescent="0.25">
      <c r="E5403" s="91">
        <v>46171</v>
      </c>
      <c r="F5403" s="71" t="s">
        <v>1070</v>
      </c>
      <c r="G5403" s="186">
        <v>44.5</v>
      </c>
    </row>
    <row r="5404" spans="5:12" x14ac:dyDescent="0.25">
      <c r="F5404" s="71" t="s">
        <v>1072</v>
      </c>
      <c r="G5404" s="186">
        <v>275</v>
      </c>
    </row>
    <row r="5405" spans="5:12" x14ac:dyDescent="0.25">
      <c r="E5405" s="91">
        <v>46172</v>
      </c>
      <c r="F5405" s="71" t="s">
        <v>1074</v>
      </c>
      <c r="G5405" s="186">
        <v>6000</v>
      </c>
    </row>
    <row r="5406" spans="5:12" x14ac:dyDescent="0.25">
      <c r="F5406" s="163" t="s">
        <v>1075</v>
      </c>
      <c r="G5406" s="164">
        <v>6000</v>
      </c>
    </row>
    <row r="5407" spans="5:12" x14ac:dyDescent="0.25">
      <c r="F5407" s="71" t="s">
        <v>1077</v>
      </c>
      <c r="G5407" s="186">
        <v>100</v>
      </c>
    </row>
    <row r="5408" spans="5:12" x14ac:dyDescent="0.25">
      <c r="F5408" s="71" t="s">
        <v>1078</v>
      </c>
      <c r="G5408" s="186">
        <v>10</v>
      </c>
    </row>
    <row r="5409" spans="6:7" x14ac:dyDescent="0.25">
      <c r="F5409" s="71" t="s">
        <v>1081</v>
      </c>
      <c r="G5409" s="186">
        <v>2970</v>
      </c>
    </row>
    <row r="5410" spans="6:7" x14ac:dyDescent="0.25">
      <c r="F5410" s="71" t="s">
        <v>250</v>
      </c>
      <c r="G5410" s="186">
        <v>-100</v>
      </c>
    </row>
    <row r="5411" spans="6:7" x14ac:dyDescent="0.25">
      <c r="F5411" s="139" t="s">
        <v>284</v>
      </c>
      <c r="G5411" s="138">
        <v>-520</v>
      </c>
    </row>
    <row r="5412" spans="6:7" x14ac:dyDescent="0.25">
      <c r="F5412" s="71" t="s">
        <v>788</v>
      </c>
      <c r="G5412" s="186">
        <v>100</v>
      </c>
    </row>
    <row r="5413" spans="6:7" x14ac:dyDescent="0.25">
      <c r="F5413" s="139" t="s">
        <v>277</v>
      </c>
      <c r="G5413" s="138">
        <v>-520</v>
      </c>
    </row>
    <row r="5414" spans="6:7" x14ac:dyDescent="0.25">
      <c r="F5414" s="139" t="s">
        <v>1083</v>
      </c>
      <c r="G5414" s="138">
        <v>-393</v>
      </c>
    </row>
    <row r="5415" spans="6:7" x14ac:dyDescent="0.25">
      <c r="F5415" s="71" t="s">
        <v>93</v>
      </c>
      <c r="G5415" s="186">
        <v>2691</v>
      </c>
    </row>
    <row r="5416" spans="6:7" x14ac:dyDescent="0.25">
      <c r="F5416" s="71" t="s">
        <v>1085</v>
      </c>
      <c r="G5416" s="186">
        <v>19760</v>
      </c>
    </row>
    <row r="5417" spans="6:7" x14ac:dyDescent="0.25">
      <c r="F5417" s="139" t="s">
        <v>1086</v>
      </c>
      <c r="G5417" s="138">
        <v>-10</v>
      </c>
    </row>
    <row r="5418" spans="6:7" x14ac:dyDescent="0.25">
      <c r="F5418" s="71"/>
      <c r="G5418" s="186"/>
    </row>
    <row r="5419" spans="6:7" x14ac:dyDescent="0.25">
      <c r="G5419" s="121"/>
    </row>
    <row r="5420" spans="6:7" ht="15.75" x14ac:dyDescent="0.25">
      <c r="F5420" s="132" t="s">
        <v>236</v>
      </c>
      <c r="G5420" s="133">
        <f>SUM(G5388:G5419)</f>
        <v>42237.18</v>
      </c>
    </row>
    <row r="5423" spans="6:7" x14ac:dyDescent="0.25">
      <c r="G5423">
        <v>-11.9</v>
      </c>
    </row>
    <row r="5425" spans="5:7" x14ac:dyDescent="0.25">
      <c r="F5425" s="39"/>
      <c r="G5425" s="157">
        <f>SUM(G5420:G5424)</f>
        <v>42225.279999999999</v>
      </c>
    </row>
    <row r="5429" spans="5:7" ht="15.75" x14ac:dyDescent="0.25">
      <c r="F5429" s="166" t="s">
        <v>429</v>
      </c>
      <c r="G5429" s="140">
        <v>27537.91</v>
      </c>
    </row>
    <row r="5430" spans="5:7" ht="15.75" x14ac:dyDescent="0.25">
      <c r="E5430" s="91">
        <v>46167</v>
      </c>
      <c r="F5430" s="178" t="s">
        <v>1027</v>
      </c>
      <c r="G5430" s="212">
        <v>-10</v>
      </c>
    </row>
    <row r="5431" spans="5:7" ht="15.75" x14ac:dyDescent="0.25">
      <c r="F5431" s="178" t="s">
        <v>1029</v>
      </c>
      <c r="G5431" s="212">
        <v>-415</v>
      </c>
    </row>
    <row r="5432" spans="5:7" ht="15.75" x14ac:dyDescent="0.25">
      <c r="F5432" s="178" t="s">
        <v>1030</v>
      </c>
      <c r="G5432" s="212">
        <v>-10</v>
      </c>
    </row>
    <row r="5433" spans="5:7" ht="15.75" x14ac:dyDescent="0.25">
      <c r="F5433" s="178" t="s">
        <v>1035</v>
      </c>
      <c r="G5433" s="212">
        <v>8000</v>
      </c>
    </row>
    <row r="5434" spans="5:7" ht="15.75" x14ac:dyDescent="0.25">
      <c r="F5434" s="178" t="s">
        <v>1035</v>
      </c>
      <c r="G5434" s="212">
        <v>6000</v>
      </c>
    </row>
    <row r="5435" spans="5:7" ht="15.75" x14ac:dyDescent="0.25">
      <c r="F5435" s="251" t="s">
        <v>1037</v>
      </c>
      <c r="G5435" s="252">
        <v>-7879.92</v>
      </c>
    </row>
    <row r="5436" spans="5:7" ht="15.75" x14ac:dyDescent="0.25">
      <c r="E5436" s="91"/>
      <c r="F5436" s="166" t="s">
        <v>357</v>
      </c>
      <c r="G5436" s="140">
        <v>4144.5</v>
      </c>
    </row>
    <row r="5437" spans="5:7" ht="15.75" x14ac:dyDescent="0.25">
      <c r="F5437" s="223" t="s">
        <v>1041</v>
      </c>
      <c r="G5437" s="259">
        <v>-25760</v>
      </c>
    </row>
    <row r="5438" spans="5:7" ht="15.75" x14ac:dyDescent="0.25">
      <c r="E5438" s="91">
        <v>46169</v>
      </c>
      <c r="F5438" s="178" t="s">
        <v>1048</v>
      </c>
      <c r="G5438" s="212">
        <v>-1150</v>
      </c>
    </row>
    <row r="5439" spans="5:7" ht="15.75" x14ac:dyDescent="0.25">
      <c r="F5439" s="166" t="s">
        <v>535</v>
      </c>
      <c r="G5439" s="140">
        <v>-2.5499999999999998</v>
      </c>
    </row>
    <row r="5440" spans="5:7" ht="15.75" x14ac:dyDescent="0.25">
      <c r="E5440" s="91">
        <v>46170</v>
      </c>
      <c r="F5440" s="166" t="s">
        <v>1056</v>
      </c>
      <c r="G5440" s="140">
        <v>1800</v>
      </c>
    </row>
    <row r="5441" spans="5:7" ht="15.75" x14ac:dyDescent="0.25">
      <c r="F5441" s="166" t="s">
        <v>1057</v>
      </c>
      <c r="G5441" s="140">
        <v>-9400</v>
      </c>
    </row>
    <row r="5442" spans="5:7" ht="15.75" x14ac:dyDescent="0.25">
      <c r="F5442" s="178" t="s">
        <v>535</v>
      </c>
      <c r="G5442" s="212">
        <v>-0.5</v>
      </c>
    </row>
    <row r="5443" spans="5:7" ht="15.75" x14ac:dyDescent="0.25">
      <c r="E5443" s="91">
        <v>46171</v>
      </c>
      <c r="F5443" s="149" t="s">
        <v>1066</v>
      </c>
      <c r="G5443" s="140">
        <v>2340</v>
      </c>
    </row>
    <row r="5444" spans="5:7" ht="15.75" x14ac:dyDescent="0.25">
      <c r="F5444" s="149" t="s">
        <v>1067</v>
      </c>
      <c r="G5444" s="140">
        <v>1360</v>
      </c>
    </row>
    <row r="5445" spans="5:7" ht="15.75" x14ac:dyDescent="0.25">
      <c r="F5445" s="149" t="s">
        <v>1067</v>
      </c>
      <c r="G5445" s="140">
        <v>3182.7</v>
      </c>
    </row>
    <row r="5446" spans="5:7" ht="15.75" x14ac:dyDescent="0.25">
      <c r="F5446" s="178" t="s">
        <v>1068</v>
      </c>
      <c r="G5446" s="212">
        <v>-4542.7</v>
      </c>
    </row>
    <row r="5447" spans="5:7" ht="15.75" x14ac:dyDescent="0.25">
      <c r="F5447" s="149" t="s">
        <v>923</v>
      </c>
      <c r="G5447" s="140">
        <v>2000</v>
      </c>
    </row>
    <row r="5448" spans="5:7" ht="15.75" x14ac:dyDescent="0.25">
      <c r="F5448" s="178" t="s">
        <v>1069</v>
      </c>
      <c r="G5448" s="212">
        <v>-44.5</v>
      </c>
    </row>
    <row r="5449" spans="5:7" ht="15.75" x14ac:dyDescent="0.25">
      <c r="F5449" s="178" t="s">
        <v>93</v>
      </c>
      <c r="G5449" s="212">
        <v>3089.2</v>
      </c>
    </row>
    <row r="5450" spans="5:7" ht="15.75" x14ac:dyDescent="0.25">
      <c r="F5450" s="178" t="s">
        <v>535</v>
      </c>
      <c r="G5450" s="212">
        <v>-0.75</v>
      </c>
    </row>
    <row r="5451" spans="5:7" ht="15.75" x14ac:dyDescent="0.25">
      <c r="E5451" s="91">
        <v>46172</v>
      </c>
      <c r="F5451" s="178" t="s">
        <v>1076</v>
      </c>
      <c r="G5451" s="212">
        <v>-10</v>
      </c>
    </row>
    <row r="5452" spans="5:7" ht="15.75" x14ac:dyDescent="0.25">
      <c r="F5452" s="214" t="s">
        <v>326</v>
      </c>
      <c r="G5452" s="210">
        <v>189000</v>
      </c>
    </row>
    <row r="5453" spans="5:7" ht="15.75" x14ac:dyDescent="0.25">
      <c r="F5453" s="178" t="s">
        <v>216</v>
      </c>
      <c r="G5453" s="212">
        <v>-12500</v>
      </c>
    </row>
    <row r="5454" spans="5:7" x14ac:dyDescent="0.25">
      <c r="F5454" s="78"/>
      <c r="G5454" s="78"/>
    </row>
    <row r="5455" spans="5:7" ht="15.75" x14ac:dyDescent="0.25">
      <c r="F5455" s="78" t="s">
        <v>596</v>
      </c>
      <c r="G5455" s="189">
        <f>SUM(G5429:G5454)</f>
        <v>186728.39</v>
      </c>
    </row>
    <row r="5457" spans="6:7" x14ac:dyDescent="0.25">
      <c r="F5457" t="s">
        <v>361</v>
      </c>
      <c r="G5457" s="121">
        <v>1342</v>
      </c>
    </row>
    <row r="5459" spans="6:7" x14ac:dyDescent="0.25">
      <c r="G5459" s="239">
        <f>G5455+G5457</f>
        <v>188070.39</v>
      </c>
    </row>
  </sheetData>
  <mergeCells count="185">
    <mergeCell ref="E5358:M5358"/>
    <mergeCell ref="J5373:K5373"/>
    <mergeCell ref="J5388:K5388"/>
    <mergeCell ref="E2:O2"/>
    <mergeCell ref="J62:K62"/>
    <mergeCell ref="E44:M44"/>
    <mergeCell ref="E85:M85"/>
    <mergeCell ref="J105:K105"/>
    <mergeCell ref="E3389:M3389"/>
    <mergeCell ref="J3406:K3406"/>
    <mergeCell ref="J3425:K3425"/>
    <mergeCell ref="E3298:M3298"/>
    <mergeCell ref="J3312:K3312"/>
    <mergeCell ref="J3331:K3331"/>
    <mergeCell ref="E330:M330"/>
    <mergeCell ref="J352:K352"/>
    <mergeCell ref="E1624:M1624"/>
    <mergeCell ref="J1642:K1642"/>
    <mergeCell ref="K1657:L1657"/>
    <mergeCell ref="E1511:M1511"/>
    <mergeCell ref="J1527:K1527"/>
    <mergeCell ref="K1542:L1542"/>
    <mergeCell ref="E1400:M1400"/>
    <mergeCell ref="J1419:K1419"/>
    <mergeCell ref="E1306:M1306"/>
    <mergeCell ref="J1331:K1331"/>
    <mergeCell ref="E385:M385"/>
    <mergeCell ref="J1192:K1192"/>
    <mergeCell ref="L1208:M1208"/>
    <mergeCell ref="E926:M926"/>
    <mergeCell ref="J1091:K1091"/>
    <mergeCell ref="E1068:M1068"/>
    <mergeCell ref="J787:K787"/>
    <mergeCell ref="E515:M515"/>
    <mergeCell ref="J538:K538"/>
    <mergeCell ref="J633:K633"/>
    <mergeCell ref="J587:K587"/>
    <mergeCell ref="E612:M612"/>
    <mergeCell ref="E707:M707"/>
    <mergeCell ref="E829:M829"/>
    <mergeCell ref="J851:K851"/>
    <mergeCell ref="E765:M765"/>
    <mergeCell ref="E564:M564"/>
    <mergeCell ref="E878:M878"/>
    <mergeCell ref="J472:K472"/>
    <mergeCell ref="E657:M657"/>
    <mergeCell ref="J676:K676"/>
    <mergeCell ref="J727:K727"/>
    <mergeCell ref="J900:K900"/>
    <mergeCell ref="J947:K947"/>
    <mergeCell ref="E1164:M1164"/>
    <mergeCell ref="E127:M127"/>
    <mergeCell ref="J148:K148"/>
    <mergeCell ref="E279:M279"/>
    <mergeCell ref="J302:K302"/>
    <mergeCell ref="E233:M233"/>
    <mergeCell ref="J255:K255"/>
    <mergeCell ref="E187:M187"/>
    <mergeCell ref="J208:K208"/>
    <mergeCell ref="E450:M450"/>
    <mergeCell ref="J408:K408"/>
    <mergeCell ref="E983:M983"/>
    <mergeCell ref="J1004:K1004"/>
    <mergeCell ref="E2262:M2262"/>
    <mergeCell ref="E1991:M1991"/>
    <mergeCell ref="J2010:K2010"/>
    <mergeCell ref="K2029:L2029"/>
    <mergeCell ref="E1907:M1907"/>
    <mergeCell ref="J1926:K1926"/>
    <mergeCell ref="K1945:L1945"/>
    <mergeCell ref="J2102:K2102"/>
    <mergeCell ref="K2121:L2121"/>
    <mergeCell ref="J2206:K2206"/>
    <mergeCell ref="K2222:L2222"/>
    <mergeCell ref="E2190:M2190"/>
    <mergeCell ref="E1232:M1232"/>
    <mergeCell ref="E2614:M2614"/>
    <mergeCell ref="J2631:K2631"/>
    <mergeCell ref="K2647:L2647"/>
    <mergeCell ref="J2278:K2278"/>
    <mergeCell ref="K2294:L2294"/>
    <mergeCell ref="E2514:M2514"/>
    <mergeCell ref="J2531:K2531"/>
    <mergeCell ref="K2547:L2547"/>
    <mergeCell ref="E2334:M2334"/>
    <mergeCell ref="J2350:K2350"/>
    <mergeCell ref="K2366:L2366"/>
    <mergeCell ref="E2422:M2422"/>
    <mergeCell ref="J2437:K2437"/>
    <mergeCell ref="K2453:L2453"/>
    <mergeCell ref="J1852:K1852"/>
    <mergeCell ref="J1253:K1253"/>
    <mergeCell ref="E1831:M1831"/>
    <mergeCell ref="E1752:M1752"/>
    <mergeCell ref="E2082:M2082"/>
    <mergeCell ref="K1871:L1871"/>
    <mergeCell ref="J1774:K1774"/>
    <mergeCell ref="K1793:L1793"/>
    <mergeCell ref="K1434:L1434"/>
    <mergeCell ref="J2976:K2976"/>
    <mergeCell ref="J2994:K2994"/>
    <mergeCell ref="F2875:H2875"/>
    <mergeCell ref="E3150:M3150"/>
    <mergeCell ref="J3165:K3165"/>
    <mergeCell ref="J3184:K3184"/>
    <mergeCell ref="F2863:H2863"/>
    <mergeCell ref="E2724:M2724"/>
    <mergeCell ref="J2741:K2741"/>
    <mergeCell ref="J2757:K2757"/>
    <mergeCell ref="E2793:M2793"/>
    <mergeCell ref="J2809:K2809"/>
    <mergeCell ref="J2825:K2825"/>
    <mergeCell ref="E2961:M2961"/>
    <mergeCell ref="E2886:M2886"/>
    <mergeCell ref="J2902:K2902"/>
    <mergeCell ref="J2918:K2918"/>
    <mergeCell ref="E3218:M3218"/>
    <mergeCell ref="J3232:K3232"/>
    <mergeCell ref="J3251:K3251"/>
    <mergeCell ref="E3596:M3596"/>
    <mergeCell ref="J3612:K3612"/>
    <mergeCell ref="J3631:K3631"/>
    <mergeCell ref="E3053:M3053"/>
    <mergeCell ref="J3068:K3068"/>
    <mergeCell ref="J3086:K3086"/>
    <mergeCell ref="E3733:M3733"/>
    <mergeCell ref="J3750:K3750"/>
    <mergeCell ref="J3770:K3770"/>
    <mergeCell ref="E4007:M4007"/>
    <mergeCell ref="J4025:K4025"/>
    <mergeCell ref="J4045:K4045"/>
    <mergeCell ref="E3715:H3715"/>
    <mergeCell ref="E3488:M3488"/>
    <mergeCell ref="J3505:K3505"/>
    <mergeCell ref="J3524:K3524"/>
    <mergeCell ref="E3821:M3821"/>
    <mergeCell ref="J3839:K3839"/>
    <mergeCell ref="J3859:K3859"/>
    <mergeCell ref="E4217:M4217"/>
    <mergeCell ref="J4235:K4235"/>
    <mergeCell ref="J4255:K4255"/>
    <mergeCell ref="E4108:M4108"/>
    <mergeCell ref="J4126:K4126"/>
    <mergeCell ref="J4146:K4146"/>
    <mergeCell ref="E3908:M3908"/>
    <mergeCell ref="J3927:K3927"/>
    <mergeCell ref="J3947:K3947"/>
    <mergeCell ref="E4409:M4409"/>
    <mergeCell ref="J4425:K4425"/>
    <mergeCell ref="J4450:K4450"/>
    <mergeCell ref="H4464:H4465"/>
    <mergeCell ref="E4690:M4690"/>
    <mergeCell ref="J4706:K4706"/>
    <mergeCell ref="J4731:K4731"/>
    <mergeCell ref="H4748:H4749"/>
    <mergeCell ref="E4338:M4338"/>
    <mergeCell ref="J4355:K4355"/>
    <mergeCell ref="J4380:K4380"/>
    <mergeCell ref="E4492:M4492"/>
    <mergeCell ref="J4506:K4506"/>
    <mergeCell ref="J4531:K4531"/>
    <mergeCell ref="H4548:H4549"/>
    <mergeCell ref="E4807:M4807"/>
    <mergeCell ref="J4822:K4822"/>
    <mergeCell ref="J4847:K4847"/>
    <mergeCell ref="H4865:H4866"/>
    <mergeCell ref="E5088:M5088"/>
    <mergeCell ref="J5103:K5103"/>
    <mergeCell ref="J5118:K5118"/>
    <mergeCell ref="E4586:M4586"/>
    <mergeCell ref="J4603:K4603"/>
    <mergeCell ref="J4628:K4628"/>
    <mergeCell ref="H4643:H4644"/>
    <mergeCell ref="E4936:M4936"/>
    <mergeCell ref="J4951:K4951"/>
    <mergeCell ref="J4966:K4966"/>
    <mergeCell ref="E5259:M5259"/>
    <mergeCell ref="J5273:K5273"/>
    <mergeCell ref="J5288:K5288"/>
    <mergeCell ref="E5169:M5169"/>
    <mergeCell ref="J5183:K5183"/>
    <mergeCell ref="J5198:K5198"/>
    <mergeCell ref="E5011:M5011"/>
    <mergeCell ref="J5026:K5026"/>
    <mergeCell ref="J5041:K5041"/>
  </mergeCells>
  <phoneticPr fontId="9" type="noConversion"/>
  <pageMargins left="0.7" right="0.7" top="0.75" bottom="0.75" header="0.3" footer="0.3"/>
  <pageSetup paperSize="179" orientation="portrait" horizontalDpi="203" verticalDpi="203" r:id="rId1"/>
  <drawing r:id="rId2"/>
  <legacy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6B72-F13D-4FB2-9C64-D57A50F0C26E}">
  <dimension ref="A1:IF79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W43" sqref="W43"/>
    </sheetView>
  </sheetViews>
  <sheetFormatPr baseColWidth="10" defaultRowHeight="15" x14ac:dyDescent="0.25"/>
  <cols>
    <col min="1" max="1" width="14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14" customWidth="1"/>
    <col min="10" max="10" width="13.28515625" customWidth="1"/>
    <col min="11" max="11" width="16" customWidth="1"/>
    <col min="12" max="12" width="11.28515625" customWidth="1"/>
    <col min="13" max="13" width="10.140625" customWidth="1"/>
    <col min="14" max="15" width="12" customWidth="1"/>
    <col min="16" max="16" width="11.28515625" customWidth="1"/>
    <col min="17" max="17" width="10.42578125" bestFit="1" customWidth="1"/>
    <col min="18" max="18" width="8.7109375" bestFit="1" customWidth="1"/>
    <col min="19" max="19" width="10.5703125" customWidth="1"/>
    <col min="20" max="20" width="8.7109375" customWidth="1"/>
    <col min="21" max="21" width="11.28515625" customWidth="1"/>
    <col min="22" max="22" width="10.85546875" customWidth="1"/>
    <col min="23" max="25" width="10.7109375" customWidth="1"/>
    <col min="26" max="27" width="13.5703125" customWidth="1"/>
    <col min="28" max="28" width="22" customWidth="1"/>
    <col min="29" max="29" width="14.42578125" customWidth="1"/>
    <col min="30" max="30" width="9.85546875" customWidth="1"/>
    <col min="31" max="31" width="17.140625" customWidth="1"/>
    <col min="32" max="32" width="19" customWidth="1"/>
    <col min="35" max="35" width="15.140625" customWidth="1"/>
  </cols>
  <sheetData>
    <row r="1" spans="1:31" ht="33" customHeight="1" thickBot="1" x14ac:dyDescent="0.3"/>
    <row r="2" spans="1:31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13"/>
      <c r="J2" s="309"/>
      <c r="K2" s="308" t="s">
        <v>1</v>
      </c>
      <c r="L2" s="313"/>
      <c r="M2" s="313"/>
      <c r="N2" s="313"/>
      <c r="O2" s="313"/>
      <c r="P2" s="313"/>
      <c r="Q2" s="309"/>
      <c r="R2" s="308" t="s">
        <v>2</v>
      </c>
      <c r="S2" s="313"/>
      <c r="T2" s="313"/>
      <c r="U2" s="313"/>
      <c r="V2" s="309"/>
      <c r="W2" s="308" t="s">
        <v>3</v>
      </c>
      <c r="X2" s="313"/>
      <c r="Y2" s="313"/>
      <c r="Z2" s="313"/>
      <c r="AA2" s="313"/>
      <c r="AB2" s="225" t="s">
        <v>799</v>
      </c>
      <c r="AC2" s="308" t="s">
        <v>4</v>
      </c>
      <c r="AD2" s="309"/>
      <c r="AE2" s="46" t="s">
        <v>91</v>
      </c>
    </row>
    <row r="3" spans="1:31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7" t="s">
        <v>838</v>
      </c>
      <c r="J3" s="8" t="s">
        <v>11</v>
      </c>
      <c r="K3" s="9" t="s">
        <v>394</v>
      </c>
      <c r="L3" s="7" t="s">
        <v>11</v>
      </c>
      <c r="M3" s="7" t="s">
        <v>12</v>
      </c>
      <c r="N3" s="7" t="s">
        <v>13</v>
      </c>
      <c r="O3" s="7" t="s">
        <v>182</v>
      </c>
      <c r="P3" s="7" t="s">
        <v>15</v>
      </c>
      <c r="Q3" s="8" t="s">
        <v>136</v>
      </c>
      <c r="R3" s="6" t="s">
        <v>12</v>
      </c>
      <c r="S3" s="7" t="s">
        <v>69</v>
      </c>
      <c r="T3" s="7" t="s">
        <v>13</v>
      </c>
      <c r="U3" s="7" t="s">
        <v>16</v>
      </c>
      <c r="V3" s="8" t="s">
        <v>162</v>
      </c>
      <c r="W3" s="6" t="s">
        <v>16</v>
      </c>
      <c r="X3" s="7" t="s">
        <v>77</v>
      </c>
      <c r="Y3" s="7" t="s">
        <v>12</v>
      </c>
      <c r="Z3" s="7" t="s">
        <v>13</v>
      </c>
      <c r="AA3" s="7" t="s">
        <v>8</v>
      </c>
      <c r="AB3" s="226" t="s">
        <v>800</v>
      </c>
      <c r="AC3" s="6" t="s">
        <v>17</v>
      </c>
      <c r="AD3" s="8" t="s">
        <v>18</v>
      </c>
      <c r="AE3" s="10" t="s">
        <v>92</v>
      </c>
    </row>
    <row r="4" spans="1:31" x14ac:dyDescent="0.25">
      <c r="A4" s="310" t="s">
        <v>19</v>
      </c>
      <c r="B4" s="49"/>
      <c r="C4" s="2"/>
      <c r="D4" s="42">
        <v>6350</v>
      </c>
      <c r="E4" s="42">
        <v>2</v>
      </c>
      <c r="F4" s="42">
        <v>1261</v>
      </c>
      <c r="G4" s="42">
        <v>140</v>
      </c>
      <c r="H4" s="42">
        <v>52</v>
      </c>
      <c r="I4" s="42">
        <v>7908</v>
      </c>
      <c r="J4" s="42">
        <v>0</v>
      </c>
      <c r="K4" s="42">
        <v>10</v>
      </c>
      <c r="L4" s="42">
        <v>10746</v>
      </c>
      <c r="M4" s="42">
        <v>181</v>
      </c>
      <c r="N4" s="42">
        <v>2161</v>
      </c>
      <c r="O4" s="42">
        <v>47</v>
      </c>
      <c r="P4" s="42">
        <v>7586</v>
      </c>
      <c r="Q4" s="42">
        <v>3485</v>
      </c>
      <c r="R4" s="42">
        <v>402</v>
      </c>
      <c r="S4" s="42"/>
      <c r="T4" s="42">
        <v>670</v>
      </c>
      <c r="U4" s="42">
        <v>1530</v>
      </c>
      <c r="V4" s="42">
        <v>434</v>
      </c>
      <c r="W4" s="42">
        <v>1303</v>
      </c>
      <c r="X4" s="42">
        <v>0</v>
      </c>
      <c r="Y4" s="42">
        <v>0</v>
      </c>
      <c r="Z4" s="42">
        <v>0</v>
      </c>
      <c r="AA4" s="42">
        <v>500</v>
      </c>
      <c r="AB4" s="227">
        <v>530</v>
      </c>
      <c r="AC4" s="42">
        <v>1758</v>
      </c>
      <c r="AD4" s="42">
        <v>1870</v>
      </c>
      <c r="AE4" s="42">
        <v>250</v>
      </c>
    </row>
    <row r="5" spans="1:31" x14ac:dyDescent="0.25">
      <c r="A5" s="311"/>
      <c r="B5" s="20">
        <v>46174</v>
      </c>
      <c r="C5" s="82" t="s">
        <v>1095</v>
      </c>
      <c r="D5" s="27"/>
      <c r="F5" s="35"/>
      <c r="J5" s="31"/>
      <c r="K5" s="13"/>
      <c r="L5" s="35"/>
      <c r="N5" s="35"/>
      <c r="O5" s="35"/>
      <c r="P5" s="35"/>
      <c r="Q5" s="14"/>
      <c r="R5" s="27"/>
      <c r="V5" s="31"/>
      <c r="W5" s="13">
        <v>1100</v>
      </c>
      <c r="AB5" s="228"/>
      <c r="AC5" s="13"/>
      <c r="AD5" s="31"/>
      <c r="AE5" s="15"/>
    </row>
    <row r="6" spans="1:31" x14ac:dyDescent="0.25">
      <c r="A6" s="311"/>
      <c r="B6" s="20">
        <v>46175</v>
      </c>
      <c r="C6" s="82" t="s">
        <v>46</v>
      </c>
      <c r="D6" s="27"/>
      <c r="F6" s="35"/>
      <c r="J6" s="31"/>
      <c r="K6" s="13"/>
      <c r="L6" s="35"/>
      <c r="N6" s="35"/>
      <c r="O6" s="35"/>
      <c r="P6" s="35"/>
      <c r="Q6" s="14"/>
      <c r="R6" s="27"/>
      <c r="U6">
        <v>600</v>
      </c>
      <c r="V6" s="31"/>
      <c r="W6" s="13"/>
      <c r="AB6" s="228"/>
      <c r="AC6" s="13"/>
      <c r="AD6" s="31"/>
      <c r="AE6" s="15"/>
    </row>
    <row r="7" spans="1:31" x14ac:dyDescent="0.25">
      <c r="A7" s="311"/>
      <c r="B7" s="20">
        <v>46175</v>
      </c>
      <c r="C7" s="82" t="s">
        <v>46</v>
      </c>
      <c r="D7" s="27">
        <v>1000</v>
      </c>
      <c r="F7" s="35"/>
      <c r="J7" s="31"/>
      <c r="K7" s="13"/>
      <c r="L7" s="35"/>
      <c r="N7" s="35"/>
      <c r="O7" s="35"/>
      <c r="P7" s="35"/>
      <c r="Q7" s="14"/>
      <c r="R7" s="27"/>
      <c r="V7" s="31"/>
      <c r="W7" s="13"/>
      <c r="AB7" s="228"/>
      <c r="AC7" s="13"/>
      <c r="AD7" s="31"/>
      <c r="AE7" s="15"/>
    </row>
    <row r="8" spans="1:31" x14ac:dyDescent="0.25">
      <c r="A8" s="311"/>
      <c r="B8" s="20">
        <v>46177</v>
      </c>
      <c r="C8" s="82" t="s">
        <v>46</v>
      </c>
      <c r="D8" s="27">
        <v>1000</v>
      </c>
      <c r="F8" s="35"/>
      <c r="J8" s="31"/>
      <c r="K8" s="13"/>
      <c r="L8" s="35"/>
      <c r="N8" s="35"/>
      <c r="O8" s="35"/>
      <c r="P8" s="35"/>
      <c r="Q8" s="14"/>
      <c r="R8" s="27"/>
      <c r="V8" s="31"/>
      <c r="W8" s="13"/>
      <c r="AB8" s="228"/>
      <c r="AC8" s="13"/>
      <c r="AD8" s="31"/>
      <c r="AE8" s="15"/>
    </row>
    <row r="9" spans="1:31" x14ac:dyDescent="0.25">
      <c r="A9" s="311"/>
      <c r="B9" s="20">
        <v>46177</v>
      </c>
      <c r="C9" s="82" t="s">
        <v>27</v>
      </c>
      <c r="D9" s="27"/>
      <c r="F9" s="35"/>
      <c r="J9" s="31"/>
      <c r="K9" s="13"/>
      <c r="L9" s="35"/>
      <c r="N9" s="35"/>
      <c r="O9" s="35"/>
      <c r="P9" s="35"/>
      <c r="Q9" s="14"/>
      <c r="R9" s="27"/>
      <c r="U9">
        <v>20</v>
      </c>
      <c r="V9" s="31"/>
      <c r="W9" s="13"/>
      <c r="AB9" s="228"/>
      <c r="AC9" s="13"/>
      <c r="AD9" s="31"/>
      <c r="AE9" s="15"/>
    </row>
    <row r="10" spans="1:31" x14ac:dyDescent="0.25">
      <c r="A10" s="311"/>
      <c r="B10" s="20">
        <v>46178</v>
      </c>
      <c r="C10" s="82" t="s">
        <v>46</v>
      </c>
      <c r="D10" s="27"/>
      <c r="F10" s="35"/>
      <c r="J10" s="31">
        <v>5000</v>
      </c>
      <c r="K10" s="13"/>
      <c r="L10" s="35"/>
      <c r="N10" s="35"/>
      <c r="O10" s="35"/>
      <c r="P10" s="35"/>
      <c r="Q10" s="14"/>
      <c r="R10" s="27"/>
      <c r="V10" s="31"/>
      <c r="W10" s="13"/>
      <c r="AB10" s="228"/>
      <c r="AC10" s="13"/>
      <c r="AD10" s="31"/>
      <c r="AE10" s="15"/>
    </row>
    <row r="11" spans="1:31" x14ac:dyDescent="0.25">
      <c r="A11" s="311"/>
      <c r="B11" s="20">
        <v>46178</v>
      </c>
      <c r="C11" s="82" t="s">
        <v>27</v>
      </c>
      <c r="D11" s="27"/>
      <c r="F11" s="35"/>
      <c r="J11" s="31">
        <v>4000</v>
      </c>
      <c r="K11" s="13"/>
      <c r="L11" s="35"/>
      <c r="N11" s="35"/>
      <c r="O11" s="35"/>
      <c r="P11" s="35"/>
      <c r="Q11" s="14"/>
      <c r="R11" s="27"/>
      <c r="V11" s="31"/>
      <c r="W11" s="13"/>
      <c r="AB11" s="228"/>
      <c r="AC11" s="13"/>
      <c r="AD11" s="31"/>
      <c r="AE11" s="15"/>
    </row>
    <row r="12" spans="1:31" x14ac:dyDescent="0.25">
      <c r="A12" s="311"/>
      <c r="B12" s="20">
        <v>46179</v>
      </c>
      <c r="C12" s="82" t="s">
        <v>46</v>
      </c>
      <c r="D12" s="27"/>
      <c r="F12" s="35"/>
      <c r="J12" s="31"/>
      <c r="K12" s="13"/>
      <c r="L12" s="35"/>
      <c r="N12" s="35"/>
      <c r="O12" s="35"/>
      <c r="P12" s="35"/>
      <c r="Q12" s="14">
        <v>2000</v>
      </c>
      <c r="R12" s="27"/>
      <c r="V12" s="31"/>
      <c r="W12" s="13"/>
      <c r="AB12" s="228"/>
      <c r="AC12" s="13"/>
      <c r="AD12" s="31"/>
      <c r="AE12" s="15"/>
    </row>
    <row r="13" spans="1:31" x14ac:dyDescent="0.25">
      <c r="A13" s="311"/>
      <c r="B13" s="160"/>
      <c r="C13" s="82"/>
      <c r="D13" s="27"/>
      <c r="F13" s="35"/>
      <c r="J13" s="31"/>
      <c r="K13" s="13"/>
      <c r="L13" s="35"/>
      <c r="N13" s="35"/>
      <c r="O13" s="35"/>
      <c r="P13" s="35"/>
      <c r="Q13" s="14"/>
      <c r="R13" s="27"/>
      <c r="V13" s="31"/>
      <c r="W13" s="13"/>
      <c r="AB13" s="228"/>
      <c r="AC13" s="13"/>
      <c r="AD13" s="31"/>
      <c r="AE13" s="15"/>
    </row>
    <row r="14" spans="1:31" ht="13.5" customHeight="1" thickBot="1" x14ac:dyDescent="0.3">
      <c r="A14" s="311"/>
      <c r="B14" s="72"/>
      <c r="C14" s="231"/>
      <c r="D14" s="28"/>
      <c r="E14" s="18"/>
      <c r="F14" s="36"/>
      <c r="G14" s="18"/>
      <c r="H14" s="18"/>
      <c r="I14" s="18"/>
      <c r="J14" s="32"/>
      <c r="K14" s="16"/>
      <c r="L14" s="36"/>
      <c r="M14" s="18"/>
      <c r="N14" s="36"/>
      <c r="O14" s="36"/>
      <c r="P14" s="36"/>
      <c r="Q14" s="17"/>
      <c r="R14" s="28"/>
      <c r="S14" s="18"/>
      <c r="T14" s="18"/>
      <c r="U14" s="18"/>
      <c r="V14" s="32"/>
      <c r="W14" s="16"/>
      <c r="X14" s="18"/>
      <c r="Y14" s="18"/>
      <c r="Z14" s="18"/>
      <c r="AA14" s="18"/>
      <c r="AB14" s="232"/>
      <c r="AC14" s="16"/>
      <c r="AD14" s="32"/>
      <c r="AE14" s="19"/>
    </row>
    <row r="15" spans="1:31" x14ac:dyDescent="0.25">
      <c r="A15" s="310" t="s">
        <v>62</v>
      </c>
      <c r="B15" s="160"/>
      <c r="C15" s="14"/>
      <c r="D15" s="27"/>
      <c r="F15" s="35"/>
      <c r="J15" s="31"/>
      <c r="K15" s="13"/>
      <c r="L15" s="35"/>
      <c r="N15" s="35"/>
      <c r="O15" s="35"/>
      <c r="P15" s="35"/>
      <c r="Q15" s="14"/>
      <c r="R15" s="27"/>
      <c r="V15" s="31"/>
      <c r="W15" s="13"/>
      <c r="AB15" s="228"/>
      <c r="AC15" s="13"/>
      <c r="AD15" s="31"/>
      <c r="AE15" s="15"/>
    </row>
    <row r="16" spans="1:31" x14ac:dyDescent="0.25">
      <c r="A16" s="311"/>
      <c r="B16" s="20">
        <v>46174</v>
      </c>
      <c r="C16" s="14" t="s">
        <v>1090</v>
      </c>
      <c r="D16" s="27"/>
      <c r="F16" s="35"/>
      <c r="J16" s="31"/>
      <c r="K16" s="13"/>
      <c r="L16" s="35"/>
      <c r="N16" s="35"/>
      <c r="O16" s="35"/>
      <c r="P16" s="35"/>
      <c r="Q16" s="14">
        <v>3000</v>
      </c>
      <c r="R16" s="27"/>
      <c r="V16" s="31"/>
      <c r="W16" s="13"/>
      <c r="AB16" s="228"/>
      <c r="AC16" s="13"/>
      <c r="AD16" s="31"/>
      <c r="AE16" s="15"/>
    </row>
    <row r="17" spans="1:31" ht="16.5" customHeight="1" x14ac:dyDescent="0.25">
      <c r="A17" s="311"/>
      <c r="B17" s="20">
        <v>46174</v>
      </c>
      <c r="C17" s="14" t="s">
        <v>203</v>
      </c>
      <c r="D17" s="27"/>
      <c r="F17" s="35"/>
      <c r="J17" s="31"/>
      <c r="K17" s="13"/>
      <c r="L17" s="35"/>
      <c r="N17" s="35"/>
      <c r="O17" s="35"/>
      <c r="P17" s="35"/>
      <c r="Q17" s="14"/>
      <c r="R17" s="27"/>
      <c r="V17" s="31"/>
      <c r="W17" s="13">
        <v>150</v>
      </c>
      <c r="AB17" s="228"/>
      <c r="AC17" s="13"/>
      <c r="AD17" s="31"/>
      <c r="AE17" s="15"/>
    </row>
    <row r="18" spans="1:31" ht="16.5" customHeight="1" x14ac:dyDescent="0.25">
      <c r="A18" s="311"/>
      <c r="B18" s="20">
        <v>46174</v>
      </c>
      <c r="C18" s="14" t="s">
        <v>1092</v>
      </c>
      <c r="D18" s="27"/>
      <c r="F18" s="35"/>
      <c r="J18" s="31"/>
      <c r="K18" s="13"/>
      <c r="L18" s="35"/>
      <c r="N18" s="35"/>
      <c r="O18" s="35"/>
      <c r="P18" s="35"/>
      <c r="Q18" s="14"/>
      <c r="R18" s="27"/>
      <c r="V18" s="31"/>
      <c r="W18" s="13"/>
      <c r="AB18" s="228"/>
      <c r="AC18" s="13">
        <v>100</v>
      </c>
      <c r="AD18" s="31"/>
      <c r="AE18" s="15"/>
    </row>
    <row r="19" spans="1:31" ht="16.5" customHeight="1" x14ac:dyDescent="0.25">
      <c r="A19" s="311"/>
      <c r="B19" s="20">
        <v>46174</v>
      </c>
      <c r="C19" s="14" t="s">
        <v>203</v>
      </c>
      <c r="D19" s="27"/>
      <c r="F19" s="35"/>
      <c r="J19" s="31"/>
      <c r="K19" s="13"/>
      <c r="L19" s="35"/>
      <c r="N19" s="35"/>
      <c r="O19" s="35"/>
      <c r="P19" s="35"/>
      <c r="Q19" s="14"/>
      <c r="R19" s="27"/>
      <c r="V19" s="31"/>
      <c r="W19" s="13">
        <v>34</v>
      </c>
      <c r="AB19" s="228"/>
      <c r="AC19" s="13"/>
      <c r="AD19" s="31"/>
      <c r="AE19" s="15"/>
    </row>
    <row r="20" spans="1:31" ht="16.5" customHeight="1" x14ac:dyDescent="0.25">
      <c r="A20" s="311"/>
      <c r="B20" s="20">
        <v>46175</v>
      </c>
      <c r="C20" s="14" t="s">
        <v>1108</v>
      </c>
      <c r="D20" s="27"/>
      <c r="F20" s="35"/>
      <c r="J20" s="31"/>
      <c r="K20" s="13"/>
      <c r="L20" s="35"/>
      <c r="N20" s="35"/>
      <c r="O20" s="35"/>
      <c r="P20" s="35"/>
      <c r="Q20" s="14">
        <v>100</v>
      </c>
      <c r="R20" s="27"/>
      <c r="V20" s="31"/>
      <c r="W20" s="13">
        <v>100</v>
      </c>
      <c r="AB20" s="228"/>
      <c r="AC20" s="13"/>
      <c r="AD20" s="31"/>
      <c r="AE20" s="15"/>
    </row>
    <row r="21" spans="1:31" ht="16.5" customHeight="1" x14ac:dyDescent="0.25">
      <c r="A21" s="311"/>
      <c r="B21" s="20">
        <v>46175</v>
      </c>
      <c r="C21" s="14" t="s">
        <v>726</v>
      </c>
      <c r="D21" s="27"/>
      <c r="F21" s="35"/>
      <c r="J21" s="31"/>
      <c r="K21" s="13"/>
      <c r="L21" s="35"/>
      <c r="N21" s="35"/>
      <c r="O21" s="35"/>
      <c r="P21" s="35"/>
      <c r="Q21" s="14"/>
      <c r="R21" s="27"/>
      <c r="V21" s="31"/>
      <c r="W21" s="13"/>
      <c r="AB21" s="228"/>
      <c r="AC21" s="13"/>
      <c r="AD21" s="31">
        <v>500</v>
      </c>
      <c r="AE21" s="15"/>
    </row>
    <row r="22" spans="1:31" ht="16.5" customHeight="1" x14ac:dyDescent="0.25">
      <c r="A22" s="311"/>
      <c r="B22" s="20">
        <v>46175</v>
      </c>
      <c r="C22" s="14" t="s">
        <v>1109</v>
      </c>
      <c r="D22" s="27"/>
      <c r="F22" s="35"/>
      <c r="J22" s="31"/>
      <c r="K22" s="13"/>
      <c r="L22" s="35">
        <v>1000</v>
      </c>
      <c r="N22" s="35"/>
      <c r="O22" s="35"/>
      <c r="P22" s="35"/>
      <c r="Q22" s="14"/>
      <c r="R22" s="27"/>
      <c r="V22" s="31"/>
      <c r="W22" s="13"/>
      <c r="AB22" s="228"/>
      <c r="AC22" s="13"/>
      <c r="AD22" s="31"/>
      <c r="AE22" s="15"/>
    </row>
    <row r="23" spans="1:31" ht="16.5" customHeight="1" x14ac:dyDescent="0.25">
      <c r="A23" s="311"/>
      <c r="B23" s="20">
        <v>46175</v>
      </c>
      <c r="C23" s="14" t="s">
        <v>1110</v>
      </c>
      <c r="D23" s="27"/>
      <c r="F23" s="35"/>
      <c r="J23" s="31"/>
      <c r="K23" s="13"/>
      <c r="L23" s="35">
        <v>1000</v>
      </c>
      <c r="N23" s="35"/>
      <c r="O23" s="35"/>
      <c r="P23" s="35"/>
      <c r="Q23" s="14"/>
      <c r="R23" s="27"/>
      <c r="V23" s="31"/>
      <c r="W23" s="13"/>
      <c r="AB23" s="228"/>
      <c r="AC23" s="13"/>
      <c r="AD23" s="31"/>
      <c r="AE23" s="15"/>
    </row>
    <row r="24" spans="1:31" ht="16.5" customHeight="1" x14ac:dyDescent="0.25">
      <c r="A24" s="311"/>
      <c r="B24" s="20">
        <v>46176</v>
      </c>
      <c r="C24" s="14" t="s">
        <v>1129</v>
      </c>
      <c r="D24" s="27"/>
      <c r="F24" s="35"/>
      <c r="J24" s="31"/>
      <c r="K24" s="13"/>
      <c r="L24" s="35">
        <v>2000</v>
      </c>
      <c r="N24" s="35"/>
      <c r="O24" s="35"/>
      <c r="P24" s="35"/>
      <c r="Q24" s="14"/>
      <c r="R24" s="27"/>
      <c r="V24" s="31"/>
      <c r="W24" s="13"/>
      <c r="AB24" s="228"/>
      <c r="AC24" s="13"/>
      <c r="AD24" s="31"/>
      <c r="AE24" s="15"/>
    </row>
    <row r="25" spans="1:31" ht="16.5" customHeight="1" x14ac:dyDescent="0.25">
      <c r="A25" s="311"/>
      <c r="B25" s="20">
        <v>46177</v>
      </c>
      <c r="C25" s="14" t="s">
        <v>1137</v>
      </c>
      <c r="D25" s="27"/>
      <c r="F25" s="35"/>
      <c r="J25" s="31"/>
      <c r="K25" s="13"/>
      <c r="L25" s="35">
        <v>500</v>
      </c>
      <c r="N25" s="35"/>
      <c r="O25" s="35"/>
      <c r="P25" s="35"/>
      <c r="Q25" s="14"/>
      <c r="R25" s="27"/>
      <c r="V25" s="31"/>
      <c r="W25" s="13">
        <v>80</v>
      </c>
      <c r="AB25" s="228"/>
      <c r="AC25" s="13"/>
      <c r="AD25" s="31"/>
      <c r="AE25" s="15"/>
    </row>
    <row r="26" spans="1:31" ht="16.5" customHeight="1" x14ac:dyDescent="0.25">
      <c r="A26" s="311"/>
      <c r="B26" s="20">
        <v>46177</v>
      </c>
      <c r="C26" s="14" t="s">
        <v>1138</v>
      </c>
      <c r="D26" s="27">
        <v>250</v>
      </c>
      <c r="F26" s="35"/>
      <c r="J26" s="31"/>
      <c r="K26" s="13"/>
      <c r="L26" s="35"/>
      <c r="N26" s="35"/>
      <c r="O26" s="35"/>
      <c r="P26" s="35"/>
      <c r="Q26" s="14"/>
      <c r="R26" s="27"/>
      <c r="V26" s="31"/>
      <c r="W26" s="13"/>
      <c r="AB26" s="228"/>
      <c r="AC26" s="13"/>
      <c r="AD26" s="31"/>
      <c r="AE26" s="15"/>
    </row>
    <row r="27" spans="1:31" ht="16.5" customHeight="1" x14ac:dyDescent="0.25">
      <c r="A27" s="311"/>
      <c r="B27" s="20">
        <v>46177</v>
      </c>
      <c r="C27" s="14" t="s">
        <v>1139</v>
      </c>
      <c r="D27" s="27"/>
      <c r="F27" s="35"/>
      <c r="J27" s="31"/>
      <c r="K27" s="13"/>
      <c r="L27" s="35"/>
      <c r="N27" s="35"/>
      <c r="O27" s="35"/>
      <c r="P27" s="35"/>
      <c r="Q27" s="14"/>
      <c r="R27" s="27"/>
      <c r="V27" s="31"/>
      <c r="W27" s="13">
        <v>180</v>
      </c>
      <c r="AB27" s="228"/>
      <c r="AC27" s="13"/>
      <c r="AD27" s="31"/>
      <c r="AE27" s="15"/>
    </row>
    <row r="28" spans="1:31" ht="16.5" customHeight="1" x14ac:dyDescent="0.25">
      <c r="A28" s="311"/>
      <c r="B28" s="20">
        <v>46178</v>
      </c>
      <c r="C28" s="14" t="s">
        <v>1046</v>
      </c>
      <c r="D28" s="27"/>
      <c r="F28" s="35"/>
      <c r="J28" s="31"/>
      <c r="K28" s="13"/>
      <c r="L28" s="35">
        <v>1000</v>
      </c>
      <c r="N28" s="35"/>
      <c r="O28" s="35"/>
      <c r="P28" s="35"/>
      <c r="Q28" s="14"/>
      <c r="R28" s="27"/>
      <c r="V28" s="31"/>
      <c r="W28" s="13"/>
      <c r="AB28" s="228"/>
      <c r="AC28" s="13"/>
      <c r="AD28" s="31"/>
      <c r="AE28" s="15"/>
    </row>
    <row r="29" spans="1:31" ht="16.5" customHeight="1" x14ac:dyDescent="0.25">
      <c r="A29" s="311"/>
      <c r="B29" s="20">
        <v>46178</v>
      </c>
      <c r="C29" s="14" t="s">
        <v>842</v>
      </c>
      <c r="D29" s="27"/>
      <c r="F29" s="35"/>
      <c r="J29" s="31"/>
      <c r="K29" s="13"/>
      <c r="L29" s="35"/>
      <c r="N29" s="35"/>
      <c r="O29" s="35"/>
      <c r="P29" s="35"/>
      <c r="Q29" s="14"/>
      <c r="R29" s="27"/>
      <c r="V29" s="31"/>
      <c r="W29" s="13"/>
      <c r="AB29" s="228"/>
      <c r="AC29" s="13">
        <v>70</v>
      </c>
      <c r="AD29" s="31"/>
      <c r="AE29" s="15"/>
    </row>
    <row r="30" spans="1:31" ht="16.5" customHeight="1" x14ac:dyDescent="0.25">
      <c r="A30" s="311"/>
      <c r="B30" s="20">
        <v>46178</v>
      </c>
      <c r="C30" s="14" t="s">
        <v>1154</v>
      </c>
      <c r="D30" s="27">
        <v>1000</v>
      </c>
      <c r="F30" s="35"/>
      <c r="J30" s="31"/>
      <c r="K30" s="13"/>
      <c r="L30" s="35"/>
      <c r="N30" s="35"/>
      <c r="O30" s="35"/>
      <c r="P30" s="35"/>
      <c r="Q30" s="14"/>
      <c r="R30" s="27"/>
      <c r="V30" s="31"/>
      <c r="W30" s="13"/>
      <c r="AB30" s="228"/>
      <c r="AC30" s="13"/>
      <c r="AD30" s="31"/>
      <c r="AE30" s="15"/>
    </row>
    <row r="31" spans="1:31" ht="16.5" customHeight="1" x14ac:dyDescent="0.25">
      <c r="A31" s="311"/>
      <c r="B31" s="20"/>
      <c r="C31" s="14"/>
      <c r="D31" s="27"/>
      <c r="F31" s="35"/>
      <c r="J31" s="31"/>
      <c r="K31" s="13"/>
      <c r="L31" s="35"/>
      <c r="N31" s="35"/>
      <c r="O31" s="35"/>
      <c r="P31" s="35"/>
      <c r="Q31" s="14"/>
      <c r="R31" s="27"/>
      <c r="V31" s="31"/>
      <c r="W31" s="13"/>
      <c r="AB31" s="228"/>
      <c r="AC31" s="13"/>
      <c r="AD31" s="31"/>
      <c r="AE31" s="15"/>
    </row>
    <row r="32" spans="1:31" x14ac:dyDescent="0.25">
      <c r="A32" s="311"/>
      <c r="B32" s="20"/>
      <c r="C32" s="14"/>
      <c r="D32" s="27"/>
      <c r="F32" s="35"/>
      <c r="J32" s="31"/>
      <c r="K32" s="13"/>
      <c r="L32" s="35"/>
      <c r="N32" s="35"/>
      <c r="O32" s="35"/>
      <c r="P32" s="35"/>
      <c r="Q32" s="14"/>
      <c r="R32" s="27"/>
      <c r="V32" s="31"/>
      <c r="W32" s="13"/>
      <c r="AB32" s="228"/>
      <c r="AC32" s="13"/>
      <c r="AD32" s="31"/>
      <c r="AE32" s="15"/>
    </row>
    <row r="33" spans="1:240" s="52" customFormat="1" x14ac:dyDescent="0.25">
      <c r="A33" s="311"/>
      <c r="B33" s="20"/>
      <c r="C33" s="105" t="s">
        <v>137</v>
      </c>
      <c r="D33" s="83"/>
      <c r="J33" s="105"/>
      <c r="K33" s="83"/>
      <c r="Q33" s="105"/>
      <c r="R33" s="83"/>
      <c r="V33" s="105"/>
      <c r="W33" s="83"/>
      <c r="AB33" s="229"/>
      <c r="AC33" s="83"/>
      <c r="AD33" s="105"/>
      <c r="AE33" s="115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</row>
    <row r="34" spans="1:240" x14ac:dyDescent="0.25">
      <c r="A34" s="311"/>
      <c r="B34" s="20"/>
      <c r="C34" s="14"/>
      <c r="D34" s="27"/>
      <c r="F34" s="35"/>
      <c r="J34" s="31"/>
      <c r="K34" s="13"/>
      <c r="L34" s="35"/>
      <c r="N34" s="35"/>
      <c r="O34" s="35"/>
      <c r="P34" s="35"/>
      <c r="Q34" s="14"/>
      <c r="R34" s="27"/>
      <c r="V34" s="31"/>
      <c r="W34" s="13"/>
      <c r="AB34" s="228"/>
      <c r="AC34" s="13"/>
      <c r="AD34" s="31"/>
      <c r="AE34" s="15"/>
    </row>
    <row r="35" spans="1:240" ht="15.75" thickBot="1" x14ac:dyDescent="0.3">
      <c r="A35" s="312"/>
      <c r="B35" s="20"/>
      <c r="C35" s="14"/>
      <c r="D35" s="27"/>
      <c r="F35" s="35"/>
      <c r="J35" s="31"/>
      <c r="K35" s="13"/>
      <c r="L35" s="35"/>
      <c r="N35" s="35"/>
      <c r="O35" s="35"/>
      <c r="P35" s="35"/>
      <c r="Q35" s="14"/>
      <c r="R35" s="27"/>
      <c r="V35" s="31"/>
      <c r="W35" s="13"/>
      <c r="AB35" s="228"/>
      <c r="AC35" s="13"/>
      <c r="AD35" s="31"/>
      <c r="AE35" s="15"/>
      <c r="AI35">
        <f>0.3*400</f>
        <v>120</v>
      </c>
    </row>
    <row r="36" spans="1:240" ht="21.75" thickBot="1" x14ac:dyDescent="0.3">
      <c r="A36" s="21" t="s">
        <v>23</v>
      </c>
      <c r="B36" s="329"/>
      <c r="C36" s="330"/>
      <c r="D36" s="29">
        <f t="shared" ref="D36:AE36" si="0">SUM(D4:D14)-SUM(D15:D35)</f>
        <v>7100</v>
      </c>
      <c r="E36" s="22">
        <f t="shared" si="0"/>
        <v>2</v>
      </c>
      <c r="F36" s="37">
        <f t="shared" si="0"/>
        <v>1261</v>
      </c>
      <c r="G36" s="24">
        <f t="shared" si="0"/>
        <v>140</v>
      </c>
      <c r="H36" s="24">
        <f t="shared" si="0"/>
        <v>52</v>
      </c>
      <c r="I36" s="24">
        <f t="shared" si="0"/>
        <v>7908</v>
      </c>
      <c r="J36" s="33">
        <f t="shared" si="0"/>
        <v>9000</v>
      </c>
      <c r="K36" s="22">
        <f t="shared" si="0"/>
        <v>10</v>
      </c>
      <c r="L36" s="37">
        <f t="shared" si="0"/>
        <v>5246</v>
      </c>
      <c r="M36" s="24">
        <f t="shared" si="0"/>
        <v>181</v>
      </c>
      <c r="N36" s="37">
        <f t="shared" si="0"/>
        <v>2161</v>
      </c>
      <c r="O36" s="37">
        <f t="shared" si="0"/>
        <v>47</v>
      </c>
      <c r="P36" s="37">
        <f t="shared" si="0"/>
        <v>7586</v>
      </c>
      <c r="Q36" s="23">
        <f t="shared" si="0"/>
        <v>2385</v>
      </c>
      <c r="R36" s="29">
        <f t="shared" si="0"/>
        <v>402</v>
      </c>
      <c r="S36" s="29">
        <f t="shared" si="0"/>
        <v>0</v>
      </c>
      <c r="T36" s="29">
        <f t="shared" si="0"/>
        <v>670</v>
      </c>
      <c r="U36" s="107">
        <f t="shared" si="0"/>
        <v>2150</v>
      </c>
      <c r="V36" s="33">
        <f t="shared" si="0"/>
        <v>434</v>
      </c>
      <c r="W36" s="22">
        <f t="shared" si="0"/>
        <v>1859</v>
      </c>
      <c r="X36" s="22">
        <f t="shared" si="0"/>
        <v>0</v>
      </c>
      <c r="Y36" s="22">
        <f t="shared" si="0"/>
        <v>0</v>
      </c>
      <c r="Z36" s="22">
        <f t="shared" si="0"/>
        <v>0</v>
      </c>
      <c r="AA36" s="22">
        <f t="shared" si="0"/>
        <v>500</v>
      </c>
      <c r="AB36" s="230">
        <f t="shared" si="0"/>
        <v>530</v>
      </c>
      <c r="AC36" s="22">
        <f t="shared" si="0"/>
        <v>1588</v>
      </c>
      <c r="AD36" s="33">
        <f t="shared" si="0"/>
        <v>1370</v>
      </c>
      <c r="AE36" s="33">
        <f t="shared" si="0"/>
        <v>250</v>
      </c>
    </row>
    <row r="38" spans="1:240" x14ac:dyDescent="0.25">
      <c r="C38" t="s">
        <v>176</v>
      </c>
      <c r="D38">
        <v>0.63</v>
      </c>
      <c r="E38">
        <v>0.55000000000000004</v>
      </c>
      <c r="F38">
        <v>0.71</v>
      </c>
      <c r="G38">
        <v>0.65</v>
      </c>
      <c r="H38">
        <v>0.65</v>
      </c>
      <c r="I38">
        <v>0.66</v>
      </c>
      <c r="J38">
        <v>0.66</v>
      </c>
      <c r="K38">
        <v>0.84</v>
      </c>
      <c r="L38">
        <v>0.84</v>
      </c>
      <c r="M38" s="50">
        <f>0.95+0.1</f>
        <v>1.05</v>
      </c>
      <c r="N38">
        <v>1.02</v>
      </c>
      <c r="O38">
        <v>0.82</v>
      </c>
      <c r="P38">
        <v>0.92</v>
      </c>
      <c r="Q38">
        <v>0.85</v>
      </c>
      <c r="R38">
        <v>2.75</v>
      </c>
      <c r="S38">
        <v>2.6</v>
      </c>
      <c r="T38">
        <v>2.8</v>
      </c>
      <c r="U38">
        <v>2.7</v>
      </c>
      <c r="V38">
        <v>2.4500000000000002</v>
      </c>
      <c r="W38">
        <v>2.8</v>
      </c>
      <c r="X38">
        <v>2.5499999999999998</v>
      </c>
      <c r="Y38">
        <v>2.9</v>
      </c>
      <c r="Z38">
        <v>2.85</v>
      </c>
      <c r="AA38">
        <v>2.5499999999999998</v>
      </c>
      <c r="AB38">
        <v>3.1</v>
      </c>
      <c r="AC38">
        <v>0.6</v>
      </c>
      <c r="AD38">
        <v>0.47</v>
      </c>
      <c r="AE38" s="109">
        <v>1.9</v>
      </c>
    </row>
    <row r="39" spans="1:240" x14ac:dyDescent="0.25">
      <c r="D39">
        <f>+D36*D38</f>
        <v>4473</v>
      </c>
      <c r="E39">
        <f>+E36*E38</f>
        <v>1.1000000000000001</v>
      </c>
      <c r="F39">
        <f t="shared" ref="F39:AE39" si="1">+F36*F38</f>
        <v>895.31</v>
      </c>
      <c r="G39">
        <f t="shared" si="1"/>
        <v>91</v>
      </c>
      <c r="H39">
        <f t="shared" si="1"/>
        <v>33.800000000000004</v>
      </c>
      <c r="I39">
        <f t="shared" si="1"/>
        <v>5219.2800000000007</v>
      </c>
      <c r="J39">
        <f t="shared" si="1"/>
        <v>5940</v>
      </c>
      <c r="K39">
        <f t="shared" si="1"/>
        <v>8.4</v>
      </c>
      <c r="L39">
        <f t="shared" si="1"/>
        <v>4406.6399999999994</v>
      </c>
      <c r="M39">
        <f t="shared" si="1"/>
        <v>190.05</v>
      </c>
      <c r="N39">
        <f t="shared" si="1"/>
        <v>2204.2200000000003</v>
      </c>
      <c r="O39">
        <f>O36*O38</f>
        <v>38.54</v>
      </c>
      <c r="P39">
        <f t="shared" si="1"/>
        <v>6979.12</v>
      </c>
      <c r="Q39">
        <f>+Q36*Q38</f>
        <v>2027.25</v>
      </c>
      <c r="R39">
        <f t="shared" si="1"/>
        <v>1105.5</v>
      </c>
      <c r="S39">
        <f t="shared" si="1"/>
        <v>0</v>
      </c>
      <c r="T39">
        <f t="shared" si="1"/>
        <v>1875.9999999999998</v>
      </c>
      <c r="U39">
        <f t="shared" si="1"/>
        <v>5805</v>
      </c>
      <c r="V39">
        <f t="shared" si="1"/>
        <v>1063.3000000000002</v>
      </c>
      <c r="W39">
        <f t="shared" si="1"/>
        <v>5205.2</v>
      </c>
      <c r="X39">
        <f t="shared" si="1"/>
        <v>0</v>
      </c>
      <c r="Y39">
        <f>+Y36*Y38</f>
        <v>0</v>
      </c>
      <c r="Z39">
        <f>Z36*Z38</f>
        <v>0</v>
      </c>
      <c r="AA39">
        <f>AA36*AA38</f>
        <v>1275</v>
      </c>
      <c r="AB39">
        <f t="shared" si="1"/>
        <v>1643</v>
      </c>
      <c r="AC39">
        <f t="shared" si="1"/>
        <v>952.8</v>
      </c>
      <c r="AD39">
        <f t="shared" si="1"/>
        <v>643.9</v>
      </c>
      <c r="AE39">
        <f t="shared" si="1"/>
        <v>475</v>
      </c>
      <c r="AF39" s="52">
        <f>SUM(D39:AE39)</f>
        <v>52552.410000000011</v>
      </c>
    </row>
    <row r="40" spans="1:240" x14ac:dyDescent="0.25"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103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spans="1:240" x14ac:dyDescent="0.25"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103"/>
      <c r="V41" s="39"/>
      <c r="W41" s="39"/>
      <c r="X41" s="39"/>
      <c r="Z41" s="39"/>
      <c r="AA41" s="39"/>
      <c r="AB41" s="39"/>
      <c r="AC41" s="39"/>
      <c r="AD41" s="39"/>
      <c r="AE41" s="39"/>
    </row>
    <row r="42" spans="1:240" x14ac:dyDescent="0.25">
      <c r="C42" s="39"/>
      <c r="D42" s="39"/>
      <c r="E42" s="39"/>
      <c r="F42" s="39"/>
      <c r="G42" s="39"/>
      <c r="H42" s="39"/>
      <c r="I42" s="39"/>
    </row>
    <row r="43" spans="1:240" x14ac:dyDescent="0.25">
      <c r="C43" s="39"/>
      <c r="D43" s="39"/>
      <c r="E43" s="39"/>
      <c r="F43" s="39"/>
      <c r="G43" s="39"/>
      <c r="H43" s="39"/>
      <c r="I43" s="39"/>
    </row>
    <row r="44" spans="1:240" x14ac:dyDescent="0.25">
      <c r="C44" s="39"/>
      <c r="D44" s="39"/>
      <c r="E44" s="39"/>
      <c r="F44" s="39"/>
      <c r="G44" s="39"/>
      <c r="H44" s="39"/>
      <c r="I44" s="39"/>
    </row>
    <row r="45" spans="1:240" x14ac:dyDescent="0.25">
      <c r="C45" s="39"/>
      <c r="D45" s="39"/>
      <c r="E45" s="39"/>
      <c r="F45" s="39"/>
      <c r="G45" s="39"/>
      <c r="H45" s="39"/>
      <c r="I45" s="39"/>
      <c r="L45">
        <v>5281</v>
      </c>
    </row>
    <row r="46" spans="1:240" x14ac:dyDescent="0.25">
      <c r="C46" s="105" t="s">
        <v>137</v>
      </c>
    </row>
    <row r="47" spans="1:240" x14ac:dyDescent="0.25">
      <c r="C47" t="s">
        <v>915</v>
      </c>
      <c r="D47">
        <v>10</v>
      </c>
      <c r="AC47">
        <f>470+150</f>
        <v>620</v>
      </c>
    </row>
    <row r="51" spans="10:27" x14ac:dyDescent="0.25">
      <c r="Y51">
        <f>5000*0.59</f>
        <v>2950</v>
      </c>
    </row>
    <row r="54" spans="10:27" x14ac:dyDescent="0.25">
      <c r="K54" t="s">
        <v>1159</v>
      </c>
      <c r="L54" t="s">
        <v>1155</v>
      </c>
      <c r="M54" t="s">
        <v>1156</v>
      </c>
      <c r="N54" t="s">
        <v>223</v>
      </c>
    </row>
    <row r="55" spans="10:27" x14ac:dyDescent="0.25">
      <c r="J55" t="s">
        <v>1157</v>
      </c>
      <c r="K55">
        <v>5281</v>
      </c>
      <c r="L55">
        <v>2546</v>
      </c>
      <c r="M55">
        <v>35</v>
      </c>
      <c r="N55" s="91">
        <v>46178</v>
      </c>
    </row>
    <row r="56" spans="10:27" x14ac:dyDescent="0.25">
      <c r="J56" t="s">
        <v>1158</v>
      </c>
      <c r="K56">
        <v>385</v>
      </c>
      <c r="L56">
        <v>300</v>
      </c>
      <c r="M56">
        <v>-85</v>
      </c>
      <c r="Z56">
        <v>2</v>
      </c>
      <c r="AA56" t="s">
        <v>958</v>
      </c>
    </row>
    <row r="57" spans="10:27" x14ac:dyDescent="0.25">
      <c r="Z57">
        <v>2</v>
      </c>
      <c r="AA57" t="s">
        <v>959</v>
      </c>
    </row>
    <row r="65" spans="3:38" ht="30" customHeight="1" x14ac:dyDescent="0.25"/>
    <row r="68" spans="3:38" x14ac:dyDescent="0.25">
      <c r="C68" s="98" t="s">
        <v>118</v>
      </c>
      <c r="D68">
        <f>5050+180</f>
        <v>5230</v>
      </c>
      <c r="E68">
        <v>140</v>
      </c>
      <c r="F68">
        <f>-310+70+80</f>
        <v>-160</v>
      </c>
      <c r="G68">
        <f>8000+1340-200</f>
        <v>9140</v>
      </c>
    </row>
    <row r="69" spans="3:38" x14ac:dyDescent="0.25">
      <c r="C69" t="s">
        <v>119</v>
      </c>
      <c r="D69">
        <v>6500</v>
      </c>
      <c r="E69">
        <v>6500</v>
      </c>
      <c r="F69">
        <v>6500</v>
      </c>
      <c r="G69">
        <v>6500</v>
      </c>
    </row>
    <row r="70" spans="3:38" x14ac:dyDescent="0.25">
      <c r="C70" t="s">
        <v>120</v>
      </c>
      <c r="D70">
        <v>33280</v>
      </c>
      <c r="E70">
        <v>33280</v>
      </c>
      <c r="F70">
        <f>38060-1480</f>
        <v>36580</v>
      </c>
      <c r="G70">
        <v>27560</v>
      </c>
    </row>
    <row r="71" spans="3:38" x14ac:dyDescent="0.25">
      <c r="C71" t="s">
        <v>123</v>
      </c>
      <c r="D71">
        <v>2960</v>
      </c>
      <c r="E71">
        <v>2960</v>
      </c>
      <c r="F71">
        <f>1150</f>
        <v>1150</v>
      </c>
      <c r="G71">
        <v>1980</v>
      </c>
      <c r="AK71" t="s">
        <v>150</v>
      </c>
      <c r="AL71" t="s">
        <v>151</v>
      </c>
    </row>
    <row r="72" spans="3:38" x14ac:dyDescent="0.25">
      <c r="C72" t="s">
        <v>122</v>
      </c>
      <c r="D72">
        <v>1300</v>
      </c>
      <c r="E72">
        <v>1300</v>
      </c>
      <c r="F72">
        <v>1300</v>
      </c>
      <c r="G72">
        <v>1300</v>
      </c>
      <c r="AK72" t="s">
        <v>152</v>
      </c>
    </row>
    <row r="73" spans="3:38" x14ac:dyDescent="0.25">
      <c r="C73" t="s">
        <v>127</v>
      </c>
      <c r="D73">
        <v>-9815</v>
      </c>
      <c r="E73">
        <v>-4815</v>
      </c>
      <c r="F73">
        <v>-4815</v>
      </c>
      <c r="G73">
        <v>-4815</v>
      </c>
    </row>
    <row r="74" spans="3:38" x14ac:dyDescent="0.25">
      <c r="C74" t="s">
        <v>128</v>
      </c>
      <c r="AK74" t="s">
        <v>153</v>
      </c>
    </row>
    <row r="76" spans="3:38" x14ac:dyDescent="0.25">
      <c r="D76">
        <f>SUM(D68:D75)</f>
        <v>39455</v>
      </c>
      <c r="E76">
        <f>SUM(E68:E73)</f>
        <v>39365</v>
      </c>
      <c r="F76">
        <f>SUM(F68:F73)</f>
        <v>40555</v>
      </c>
      <c r="G76">
        <f>SUM(G68:G73)</f>
        <v>41665</v>
      </c>
    </row>
    <row r="77" spans="3:38" x14ac:dyDescent="0.25">
      <c r="C77" t="s">
        <v>124</v>
      </c>
      <c r="D77">
        <v>100</v>
      </c>
      <c r="E77">
        <v>100</v>
      </c>
      <c r="F77">
        <v>100</v>
      </c>
      <c r="G77">
        <v>100</v>
      </c>
      <c r="AK77">
        <v>24005</v>
      </c>
    </row>
    <row r="78" spans="3:38" x14ac:dyDescent="0.25">
      <c r="C78" t="s">
        <v>125</v>
      </c>
      <c r="D78">
        <f>+D76-D77</f>
        <v>39355</v>
      </c>
      <c r="E78">
        <f>+E76-E77</f>
        <v>39265</v>
      </c>
      <c r="F78">
        <f>+F76-F77</f>
        <v>40455</v>
      </c>
      <c r="G78">
        <f>+G76-G77</f>
        <v>41565</v>
      </c>
      <c r="AK78">
        <v>-24080</v>
      </c>
    </row>
    <row r="79" spans="3:38" x14ac:dyDescent="0.25">
      <c r="G79">
        <f>+G78-F78</f>
        <v>1110</v>
      </c>
      <c r="AK79">
        <f>SUM(AK77:AK78)</f>
        <v>-75</v>
      </c>
    </row>
  </sheetData>
  <mergeCells count="8">
    <mergeCell ref="B36:C36"/>
    <mergeCell ref="AC2:AD2"/>
    <mergeCell ref="A4:A14"/>
    <mergeCell ref="A15:A35"/>
    <mergeCell ref="D2:J2"/>
    <mergeCell ref="K2:Q2"/>
    <mergeCell ref="R2:V2"/>
    <mergeCell ref="W2:AA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14EA-3920-4034-BF12-F754D56A81C2}">
  <dimension ref="A1:IF83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26" sqref="J26"/>
    </sheetView>
  </sheetViews>
  <sheetFormatPr baseColWidth="10" defaultRowHeight="15" x14ac:dyDescent="0.25"/>
  <cols>
    <col min="1" max="1" width="14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14" customWidth="1"/>
    <col min="10" max="10" width="13.28515625" customWidth="1"/>
    <col min="11" max="11" width="16" customWidth="1"/>
    <col min="12" max="12" width="11.28515625" customWidth="1"/>
    <col min="13" max="13" width="10.140625" customWidth="1"/>
    <col min="14" max="15" width="12" customWidth="1"/>
    <col min="16" max="16" width="11.28515625" customWidth="1"/>
    <col min="17" max="17" width="10.42578125" bestFit="1" customWidth="1"/>
    <col min="18" max="18" width="8.7109375" bestFit="1" customWidth="1"/>
    <col min="19" max="19" width="10.5703125" customWidth="1"/>
    <col min="20" max="20" width="8.7109375" customWidth="1"/>
    <col min="21" max="21" width="11.28515625" customWidth="1"/>
    <col min="22" max="22" width="10.85546875" customWidth="1"/>
    <col min="23" max="25" width="10.7109375" customWidth="1"/>
    <col min="26" max="27" width="13.5703125" customWidth="1"/>
    <col min="28" max="28" width="22" customWidth="1"/>
    <col min="29" max="29" width="14.42578125" customWidth="1"/>
    <col min="30" max="30" width="9.85546875" customWidth="1"/>
    <col min="31" max="31" width="17.140625" customWidth="1"/>
    <col min="32" max="32" width="19" customWidth="1"/>
    <col min="35" max="35" width="15.140625" customWidth="1"/>
  </cols>
  <sheetData>
    <row r="1" spans="1:31" ht="33" customHeight="1" thickBot="1" x14ac:dyDescent="0.3"/>
    <row r="2" spans="1:31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13"/>
      <c r="J2" s="309"/>
      <c r="K2" s="308" t="s">
        <v>1</v>
      </c>
      <c r="L2" s="313"/>
      <c r="M2" s="313"/>
      <c r="N2" s="313"/>
      <c r="O2" s="313"/>
      <c r="P2" s="313"/>
      <c r="Q2" s="309"/>
      <c r="R2" s="308" t="s">
        <v>2</v>
      </c>
      <c r="S2" s="313"/>
      <c r="T2" s="313"/>
      <c r="U2" s="313"/>
      <c r="V2" s="309"/>
      <c r="W2" s="308" t="s">
        <v>3</v>
      </c>
      <c r="X2" s="313"/>
      <c r="Y2" s="313"/>
      <c r="Z2" s="313"/>
      <c r="AA2" s="313"/>
      <c r="AB2" s="225" t="s">
        <v>799</v>
      </c>
      <c r="AC2" s="308" t="s">
        <v>4</v>
      </c>
      <c r="AD2" s="309"/>
      <c r="AE2" s="46" t="s">
        <v>91</v>
      </c>
    </row>
    <row r="3" spans="1:31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7" t="s">
        <v>838</v>
      </c>
      <c r="J3" s="8" t="s">
        <v>11</v>
      </c>
      <c r="K3" s="9" t="s">
        <v>394</v>
      </c>
      <c r="L3" s="7" t="s">
        <v>11</v>
      </c>
      <c r="M3" s="7" t="s">
        <v>12</v>
      </c>
      <c r="N3" s="7" t="s">
        <v>13</v>
      </c>
      <c r="O3" s="7" t="s">
        <v>182</v>
      </c>
      <c r="P3" s="7" t="s">
        <v>15</v>
      </c>
      <c r="Q3" s="8" t="s">
        <v>136</v>
      </c>
      <c r="R3" s="6" t="s">
        <v>12</v>
      </c>
      <c r="S3" s="7" t="s">
        <v>69</v>
      </c>
      <c r="T3" s="7" t="s">
        <v>13</v>
      </c>
      <c r="U3" s="7" t="s">
        <v>16</v>
      </c>
      <c r="V3" s="8" t="s">
        <v>162</v>
      </c>
      <c r="W3" s="6" t="s">
        <v>16</v>
      </c>
      <c r="X3" s="7" t="s">
        <v>77</v>
      </c>
      <c r="Y3" s="7" t="s">
        <v>12</v>
      </c>
      <c r="Z3" s="7" t="s">
        <v>13</v>
      </c>
      <c r="AA3" s="7" t="s">
        <v>8</v>
      </c>
      <c r="AB3" s="226" t="s">
        <v>800</v>
      </c>
      <c r="AC3" s="6" t="s">
        <v>17</v>
      </c>
      <c r="AD3" s="8" t="s">
        <v>18</v>
      </c>
      <c r="AE3" s="10" t="s">
        <v>92</v>
      </c>
    </row>
    <row r="4" spans="1:31" x14ac:dyDescent="0.25">
      <c r="A4" s="310" t="s">
        <v>19</v>
      </c>
      <c r="B4" s="49"/>
      <c r="C4" s="2"/>
      <c r="D4" s="42">
        <v>7100</v>
      </c>
      <c r="E4" s="42">
        <v>2</v>
      </c>
      <c r="F4" s="42">
        <v>1261</v>
      </c>
      <c r="G4" s="42">
        <v>140</v>
      </c>
      <c r="H4" s="42">
        <v>52</v>
      </c>
      <c r="I4" s="42">
        <v>7908</v>
      </c>
      <c r="J4" s="42">
        <v>9000</v>
      </c>
      <c r="K4" s="42">
        <v>10</v>
      </c>
      <c r="L4" s="42">
        <v>5246</v>
      </c>
      <c r="M4" s="42">
        <v>181</v>
      </c>
      <c r="N4" s="42">
        <v>2161</v>
      </c>
      <c r="O4" s="42">
        <v>47</v>
      </c>
      <c r="P4" s="42">
        <v>7586</v>
      </c>
      <c r="Q4" s="42">
        <v>2385</v>
      </c>
      <c r="R4" s="42">
        <v>402</v>
      </c>
      <c r="S4" s="42"/>
      <c r="T4" s="42">
        <v>670</v>
      </c>
      <c r="U4" s="42">
        <v>2150</v>
      </c>
      <c r="V4" s="42">
        <v>434</v>
      </c>
      <c r="W4" s="42">
        <v>1859</v>
      </c>
      <c r="X4" s="42">
        <v>0</v>
      </c>
      <c r="Y4" s="42">
        <v>0</v>
      </c>
      <c r="Z4" s="42">
        <v>0</v>
      </c>
      <c r="AA4" s="42">
        <v>500</v>
      </c>
      <c r="AB4" s="227">
        <v>530</v>
      </c>
      <c r="AC4" s="42">
        <v>1588</v>
      </c>
      <c r="AD4" s="42">
        <v>1370</v>
      </c>
      <c r="AE4" s="42">
        <v>250</v>
      </c>
    </row>
    <row r="5" spans="1:31" x14ac:dyDescent="0.25">
      <c r="A5" s="311"/>
      <c r="B5" s="20"/>
      <c r="C5" s="82"/>
      <c r="D5" s="27"/>
      <c r="F5" s="35"/>
      <c r="J5" s="31"/>
      <c r="K5" s="13"/>
      <c r="L5" s="35"/>
      <c r="N5" s="35"/>
      <c r="O5" s="35"/>
      <c r="P5" s="35"/>
      <c r="Q5" s="14"/>
      <c r="R5" s="27"/>
      <c r="V5" s="31"/>
      <c r="W5" s="13"/>
      <c r="AB5" s="228"/>
      <c r="AC5" s="13"/>
      <c r="AD5" s="31"/>
      <c r="AE5" s="15"/>
    </row>
    <row r="6" spans="1:31" x14ac:dyDescent="0.25">
      <c r="A6" s="311"/>
      <c r="B6" s="20">
        <v>46181</v>
      </c>
      <c r="C6" s="20" t="s">
        <v>46</v>
      </c>
      <c r="D6" s="27"/>
      <c r="F6" s="35"/>
      <c r="J6" s="31"/>
      <c r="K6" s="13"/>
      <c r="L6" s="35">
        <v>2000</v>
      </c>
      <c r="N6" s="35"/>
      <c r="O6" s="35"/>
      <c r="P6" s="35"/>
      <c r="Q6" s="14"/>
      <c r="R6" s="27"/>
      <c r="V6" s="31"/>
      <c r="W6" s="13"/>
      <c r="AB6" s="228"/>
      <c r="AC6" s="13"/>
      <c r="AD6" s="31"/>
      <c r="AE6" s="15"/>
    </row>
    <row r="7" spans="1:31" x14ac:dyDescent="0.25">
      <c r="A7" s="311"/>
      <c r="B7" s="20">
        <v>46181</v>
      </c>
      <c r="C7" s="82" t="s">
        <v>1059</v>
      </c>
      <c r="D7" s="27"/>
      <c r="F7" s="35"/>
      <c r="J7" s="31"/>
      <c r="K7" s="13"/>
      <c r="L7" s="35">
        <v>2000</v>
      </c>
      <c r="N7" s="35"/>
      <c r="O7" s="35"/>
      <c r="P7" s="35"/>
      <c r="Q7" s="14"/>
      <c r="R7" s="27"/>
      <c r="V7" s="31"/>
      <c r="W7" s="13"/>
      <c r="AB7" s="228"/>
      <c r="AC7" s="13"/>
      <c r="AD7" s="31"/>
      <c r="AE7" s="15"/>
    </row>
    <row r="8" spans="1:31" x14ac:dyDescent="0.25">
      <c r="A8" s="311"/>
      <c r="B8" s="20">
        <v>46183</v>
      </c>
      <c r="C8" s="82" t="s">
        <v>1059</v>
      </c>
      <c r="D8" s="27"/>
      <c r="F8" s="35"/>
      <c r="J8" s="31">
        <v>500</v>
      </c>
      <c r="K8" s="13"/>
      <c r="L8" s="35"/>
      <c r="N8" s="35"/>
      <c r="O8" s="35"/>
      <c r="P8" s="35"/>
      <c r="Q8" s="14"/>
      <c r="R8" s="27"/>
      <c r="V8" s="31"/>
      <c r="W8" s="13"/>
      <c r="AB8" s="228"/>
      <c r="AC8" s="13"/>
      <c r="AD8" s="31"/>
      <c r="AE8" s="15"/>
    </row>
    <row r="9" spans="1:31" x14ac:dyDescent="0.25">
      <c r="A9" s="311"/>
      <c r="B9" s="20">
        <v>46186</v>
      </c>
      <c r="C9" s="82" t="s">
        <v>27</v>
      </c>
      <c r="D9" s="27"/>
      <c r="F9" s="35"/>
      <c r="J9" s="31">
        <v>4000</v>
      </c>
      <c r="K9" s="13"/>
      <c r="L9" s="35"/>
      <c r="N9" s="35"/>
      <c r="O9" s="35"/>
      <c r="P9" s="35"/>
      <c r="Q9" s="14"/>
      <c r="R9" s="27"/>
      <c r="V9" s="31"/>
      <c r="W9" s="13"/>
      <c r="AB9" s="228"/>
      <c r="AC9" s="13"/>
      <c r="AD9" s="31"/>
      <c r="AE9" s="15"/>
    </row>
    <row r="10" spans="1:31" x14ac:dyDescent="0.25">
      <c r="A10" s="311"/>
      <c r="B10" s="20">
        <v>46186</v>
      </c>
      <c r="C10" s="82" t="s">
        <v>46</v>
      </c>
      <c r="D10" s="27"/>
      <c r="F10" s="35"/>
      <c r="J10" s="31"/>
      <c r="K10" s="13"/>
      <c r="L10" s="35"/>
      <c r="N10" s="35"/>
      <c r="O10" s="35"/>
      <c r="P10" s="35"/>
      <c r="Q10" s="14">
        <v>500</v>
      </c>
      <c r="R10" s="27"/>
      <c r="V10" s="31"/>
      <c r="W10" s="13"/>
      <c r="AB10" s="228"/>
      <c r="AC10" s="13"/>
      <c r="AD10" s="31"/>
      <c r="AE10" s="15"/>
    </row>
    <row r="11" spans="1:31" x14ac:dyDescent="0.25">
      <c r="A11" s="311"/>
      <c r="B11" s="20"/>
      <c r="C11" s="82"/>
      <c r="D11" s="27"/>
      <c r="F11" s="35"/>
      <c r="J11" s="31"/>
      <c r="K11" s="13"/>
      <c r="L11" s="35"/>
      <c r="N11" s="35"/>
      <c r="O11" s="35"/>
      <c r="P11" s="35"/>
      <c r="Q11" s="14"/>
      <c r="R11" s="27"/>
      <c r="V11" s="31"/>
      <c r="W11" s="13"/>
      <c r="AB11" s="228"/>
      <c r="AC11" s="13"/>
      <c r="AD11" s="31"/>
      <c r="AE11" s="15"/>
    </row>
    <row r="12" spans="1:31" x14ac:dyDescent="0.25">
      <c r="A12" s="311"/>
      <c r="B12" s="20"/>
      <c r="C12" s="82"/>
      <c r="D12" s="27"/>
      <c r="F12" s="35"/>
      <c r="J12" s="31"/>
      <c r="K12" s="13"/>
      <c r="L12" s="35"/>
      <c r="N12" s="35"/>
      <c r="O12" s="35"/>
      <c r="P12" s="35"/>
      <c r="Q12" s="14"/>
      <c r="R12" s="27"/>
      <c r="V12" s="31"/>
      <c r="W12" s="13"/>
      <c r="AB12" s="228"/>
      <c r="AC12" s="13"/>
      <c r="AD12" s="31"/>
      <c r="AE12" s="15"/>
    </row>
    <row r="13" spans="1:31" x14ac:dyDescent="0.25">
      <c r="A13" s="311"/>
      <c r="B13" s="160"/>
      <c r="C13" s="82"/>
      <c r="D13" s="27"/>
      <c r="F13" s="35"/>
      <c r="J13" s="31"/>
      <c r="K13" s="13"/>
      <c r="L13" s="35"/>
      <c r="N13" s="35"/>
      <c r="O13" s="35"/>
      <c r="P13" s="35"/>
      <c r="Q13" s="14"/>
      <c r="R13" s="27"/>
      <c r="V13" s="31"/>
      <c r="W13" s="13"/>
      <c r="AB13" s="228"/>
      <c r="AC13" s="13"/>
      <c r="AD13" s="31"/>
      <c r="AE13" s="15"/>
    </row>
    <row r="14" spans="1:31" ht="13.5" customHeight="1" thickBot="1" x14ac:dyDescent="0.3">
      <c r="A14" s="311"/>
      <c r="B14" s="72"/>
      <c r="C14" s="231"/>
      <c r="D14" s="28"/>
      <c r="E14" s="18"/>
      <c r="F14" s="36"/>
      <c r="G14" s="18"/>
      <c r="H14" s="18"/>
      <c r="I14" s="18"/>
      <c r="J14" s="32"/>
      <c r="K14" s="16"/>
      <c r="L14" s="36"/>
      <c r="M14" s="18"/>
      <c r="N14" s="36"/>
      <c r="O14" s="36"/>
      <c r="P14" s="36"/>
      <c r="Q14" s="17"/>
      <c r="R14" s="28"/>
      <c r="S14" s="18"/>
      <c r="T14" s="18"/>
      <c r="U14" s="18"/>
      <c r="V14" s="32"/>
      <c r="W14" s="16"/>
      <c r="X14" s="18"/>
      <c r="Y14" s="18"/>
      <c r="Z14" s="18"/>
      <c r="AA14" s="18"/>
      <c r="AB14" s="232"/>
      <c r="AC14" s="16"/>
      <c r="AD14" s="32"/>
      <c r="AE14" s="19"/>
    </row>
    <row r="15" spans="1:31" x14ac:dyDescent="0.25">
      <c r="A15" s="310" t="s">
        <v>62</v>
      </c>
      <c r="B15" s="160"/>
      <c r="C15" s="14"/>
      <c r="D15" s="27"/>
      <c r="F15" s="35"/>
      <c r="J15" s="31"/>
      <c r="K15" s="13"/>
      <c r="L15" s="35"/>
      <c r="N15" s="35"/>
      <c r="O15" s="35"/>
      <c r="P15" s="35"/>
      <c r="Q15" s="14"/>
      <c r="R15" s="27"/>
      <c r="V15" s="31"/>
      <c r="W15" s="13"/>
      <c r="AB15" s="228"/>
      <c r="AC15" s="13"/>
      <c r="AD15" s="31"/>
      <c r="AE15" s="15"/>
    </row>
    <row r="16" spans="1:31" x14ac:dyDescent="0.25">
      <c r="A16" s="311"/>
      <c r="B16" s="20">
        <v>46180</v>
      </c>
      <c r="C16" s="14" t="s">
        <v>1169</v>
      </c>
      <c r="D16" s="27"/>
      <c r="F16" s="35"/>
      <c r="J16" s="31"/>
      <c r="K16" s="13"/>
      <c r="L16" s="35"/>
      <c r="N16" s="35"/>
      <c r="O16" s="35"/>
      <c r="P16" s="35"/>
      <c r="Q16" s="14"/>
      <c r="R16" s="27"/>
      <c r="V16" s="31"/>
      <c r="W16" s="13">
        <v>300</v>
      </c>
      <c r="AB16" s="228"/>
      <c r="AC16" s="13"/>
      <c r="AD16" s="31"/>
      <c r="AE16" s="15"/>
    </row>
    <row r="17" spans="1:31" ht="16.5" customHeight="1" x14ac:dyDescent="0.25">
      <c r="A17" s="311"/>
      <c r="B17" s="20">
        <v>46181</v>
      </c>
      <c r="C17" s="14" t="s">
        <v>1170</v>
      </c>
      <c r="D17" s="27"/>
      <c r="F17" s="35"/>
      <c r="J17" s="31"/>
      <c r="K17" s="13"/>
      <c r="L17" s="35">
        <v>150</v>
      </c>
      <c r="N17" s="35"/>
      <c r="O17" s="35"/>
      <c r="P17" s="35"/>
      <c r="Q17" s="14"/>
      <c r="R17" s="27"/>
      <c r="V17" s="31"/>
      <c r="W17" s="13"/>
      <c r="AB17" s="228"/>
      <c r="AC17" s="13"/>
      <c r="AD17" s="31"/>
      <c r="AE17" s="15"/>
    </row>
    <row r="18" spans="1:31" ht="16.5" customHeight="1" x14ac:dyDescent="0.25">
      <c r="A18" s="311"/>
      <c r="B18" s="20">
        <v>46181</v>
      </c>
      <c r="C18" s="14" t="s">
        <v>1171</v>
      </c>
      <c r="D18" s="27"/>
      <c r="F18" s="35"/>
      <c r="J18" s="31">
        <v>3000</v>
      </c>
      <c r="K18" s="13"/>
      <c r="L18" s="35"/>
      <c r="N18" s="35"/>
      <c r="O18" s="35"/>
      <c r="P18" s="35"/>
      <c r="Q18" s="14"/>
      <c r="R18" s="27"/>
      <c r="V18" s="31"/>
      <c r="W18" s="13"/>
      <c r="AB18" s="228"/>
      <c r="AC18" s="13"/>
      <c r="AD18" s="31"/>
      <c r="AE18" s="15"/>
    </row>
    <row r="19" spans="1:31" ht="16.5" customHeight="1" x14ac:dyDescent="0.25">
      <c r="A19" s="311"/>
      <c r="B19" s="20">
        <v>46181</v>
      </c>
      <c r="C19" s="14" t="s">
        <v>1172</v>
      </c>
      <c r="D19" s="27"/>
      <c r="F19" s="35"/>
      <c r="J19" s="31">
        <v>1500</v>
      </c>
      <c r="K19" s="13"/>
      <c r="L19" s="35"/>
      <c r="N19" s="35"/>
      <c r="O19" s="35"/>
      <c r="P19" s="35"/>
      <c r="Q19" s="14"/>
      <c r="R19" s="27"/>
      <c r="V19" s="31"/>
      <c r="W19" s="13"/>
      <c r="AB19" s="228"/>
      <c r="AC19" s="13"/>
      <c r="AD19" s="31"/>
      <c r="AE19" s="15"/>
    </row>
    <row r="20" spans="1:31" ht="16.5" customHeight="1" x14ac:dyDescent="0.25">
      <c r="A20" s="311"/>
      <c r="B20" s="20">
        <v>46182</v>
      </c>
      <c r="C20" s="14" t="s">
        <v>1182</v>
      </c>
      <c r="D20" s="27"/>
      <c r="F20" s="35"/>
      <c r="J20" s="31">
        <v>1000</v>
      </c>
      <c r="K20" s="13"/>
      <c r="L20" s="35"/>
      <c r="N20" s="35"/>
      <c r="O20" s="35"/>
      <c r="P20" s="35">
        <v>1000</v>
      </c>
      <c r="Q20" s="14"/>
      <c r="R20" s="27"/>
      <c r="V20" s="31"/>
      <c r="W20" s="13"/>
      <c r="AB20" s="228"/>
      <c r="AC20" s="13"/>
      <c r="AD20" s="31"/>
      <c r="AE20" s="15"/>
    </row>
    <row r="21" spans="1:31" ht="16.5" customHeight="1" x14ac:dyDescent="0.25">
      <c r="A21" s="311"/>
      <c r="B21" s="20">
        <v>46182</v>
      </c>
      <c r="C21" s="14" t="s">
        <v>1183</v>
      </c>
      <c r="D21" s="27"/>
      <c r="F21" s="35"/>
      <c r="J21" s="31"/>
      <c r="K21" s="13"/>
      <c r="L21" s="35">
        <v>1486</v>
      </c>
      <c r="N21" s="35"/>
      <c r="O21" s="35"/>
      <c r="P21" s="35"/>
      <c r="Q21" s="14"/>
      <c r="R21" s="27"/>
      <c r="V21" s="31"/>
      <c r="W21" s="13"/>
      <c r="AB21" s="228"/>
      <c r="AC21" s="13"/>
      <c r="AD21" s="31"/>
      <c r="AE21" s="15"/>
    </row>
    <row r="22" spans="1:31" ht="16.5" customHeight="1" x14ac:dyDescent="0.25">
      <c r="A22" s="311"/>
      <c r="B22" s="20">
        <v>46182</v>
      </c>
      <c r="C22" s="14" t="s">
        <v>1185</v>
      </c>
      <c r="D22" s="27"/>
      <c r="F22" s="35"/>
      <c r="J22" s="31"/>
      <c r="K22" s="13"/>
      <c r="L22" s="35"/>
      <c r="N22" s="35"/>
      <c r="O22" s="35"/>
      <c r="P22" s="35">
        <v>30</v>
      </c>
      <c r="Q22" s="14"/>
      <c r="R22" s="27"/>
      <c r="V22" s="31"/>
      <c r="W22" s="13"/>
      <c r="AB22" s="228"/>
      <c r="AC22" s="13"/>
      <c r="AD22" s="31"/>
      <c r="AE22" s="15"/>
    </row>
    <row r="23" spans="1:31" ht="16.5" customHeight="1" x14ac:dyDescent="0.25">
      <c r="A23" s="311"/>
      <c r="B23" s="20">
        <v>46182</v>
      </c>
      <c r="C23" s="14" t="s">
        <v>1186</v>
      </c>
      <c r="D23" s="27"/>
      <c r="F23" s="35"/>
      <c r="J23" s="31"/>
      <c r="K23" s="13"/>
      <c r="L23" s="35"/>
      <c r="N23" s="35"/>
      <c r="O23" s="35"/>
      <c r="P23" s="35"/>
      <c r="Q23" s="14"/>
      <c r="R23" s="27"/>
      <c r="V23" s="31"/>
      <c r="W23" s="13"/>
      <c r="AB23" s="228">
        <v>300</v>
      </c>
      <c r="AC23" s="13"/>
      <c r="AD23" s="31"/>
      <c r="AE23" s="15"/>
    </row>
    <row r="24" spans="1:31" ht="16.5" customHeight="1" x14ac:dyDescent="0.25">
      <c r="A24" s="311"/>
      <c r="B24" s="20">
        <v>46183</v>
      </c>
      <c r="C24" s="14" t="s">
        <v>1172</v>
      </c>
      <c r="D24" s="27"/>
      <c r="F24" s="35"/>
      <c r="J24" s="31">
        <v>500</v>
      </c>
      <c r="K24" s="13"/>
      <c r="L24" s="35"/>
      <c r="N24" s="35"/>
      <c r="O24" s="35"/>
      <c r="P24" s="35"/>
      <c r="Q24" s="14"/>
      <c r="R24" s="27"/>
      <c r="V24" s="31"/>
      <c r="W24" s="13"/>
      <c r="AB24" s="228"/>
      <c r="AC24" s="13"/>
      <c r="AD24" s="31"/>
      <c r="AE24" s="15"/>
    </row>
    <row r="25" spans="1:31" ht="16.5" customHeight="1" x14ac:dyDescent="0.25">
      <c r="A25" s="311"/>
      <c r="B25" s="20">
        <v>46184</v>
      </c>
      <c r="C25" s="14" t="s">
        <v>1207</v>
      </c>
      <c r="D25" s="27">
        <v>2000</v>
      </c>
      <c r="F25" s="35"/>
      <c r="J25" s="31"/>
      <c r="K25" s="13"/>
      <c r="L25" s="35"/>
      <c r="N25" s="35"/>
      <c r="O25" s="35"/>
      <c r="P25" s="35"/>
      <c r="Q25" s="14"/>
      <c r="R25" s="27"/>
      <c r="V25" s="31"/>
      <c r="W25" s="13"/>
      <c r="AB25" s="228"/>
      <c r="AC25" s="13"/>
      <c r="AD25" s="31"/>
      <c r="AE25" s="15"/>
    </row>
    <row r="26" spans="1:31" ht="16.5" customHeight="1" x14ac:dyDescent="0.25">
      <c r="A26" s="311"/>
      <c r="B26" s="20">
        <v>46184</v>
      </c>
      <c r="C26" s="14" t="s">
        <v>1172</v>
      </c>
      <c r="D26" s="27"/>
      <c r="F26" s="35"/>
      <c r="J26" s="31">
        <v>2000</v>
      </c>
      <c r="K26" s="13"/>
      <c r="L26" s="35"/>
      <c r="N26" s="35"/>
      <c r="O26" s="35"/>
      <c r="P26" s="35"/>
      <c r="Q26" s="14"/>
      <c r="R26" s="27"/>
      <c r="V26" s="31"/>
      <c r="W26" s="13"/>
      <c r="AB26" s="228"/>
      <c r="AC26" s="13"/>
      <c r="AD26" s="31"/>
      <c r="AE26" s="15"/>
    </row>
    <row r="27" spans="1:31" ht="16.5" customHeight="1" x14ac:dyDescent="0.25">
      <c r="A27" s="311"/>
      <c r="B27" s="20">
        <v>46184</v>
      </c>
      <c r="C27" s="14" t="s">
        <v>883</v>
      </c>
      <c r="D27" s="27"/>
      <c r="F27" s="35"/>
      <c r="J27" s="31"/>
      <c r="K27" s="13"/>
      <c r="L27" s="35"/>
      <c r="N27" s="35"/>
      <c r="O27" s="35"/>
      <c r="P27" s="35"/>
      <c r="Q27" s="14"/>
      <c r="R27" s="27"/>
      <c r="V27" s="31"/>
      <c r="W27" s="13"/>
      <c r="AB27" s="228"/>
      <c r="AC27" s="13"/>
      <c r="AD27" s="31">
        <v>100</v>
      </c>
      <c r="AE27" s="15"/>
    </row>
    <row r="28" spans="1:31" ht="16.5" customHeight="1" x14ac:dyDescent="0.25">
      <c r="A28" s="311"/>
      <c r="B28" s="20">
        <v>46185</v>
      </c>
      <c r="C28" s="14" t="s">
        <v>1211</v>
      </c>
      <c r="D28" s="27"/>
      <c r="F28" s="35"/>
      <c r="J28" s="31"/>
      <c r="K28" s="13"/>
      <c r="L28" s="35"/>
      <c r="N28" s="35"/>
      <c r="O28" s="35"/>
      <c r="P28" s="35"/>
      <c r="Q28" s="14">
        <v>1000</v>
      </c>
      <c r="R28" s="27"/>
      <c r="V28" s="31"/>
      <c r="W28" s="13"/>
      <c r="AB28" s="228"/>
      <c r="AC28" s="13"/>
      <c r="AD28" s="31"/>
      <c r="AE28" s="15"/>
    </row>
    <row r="29" spans="1:31" ht="16.5" customHeight="1" x14ac:dyDescent="0.25">
      <c r="A29" s="311"/>
      <c r="B29" s="20">
        <v>46185</v>
      </c>
      <c r="C29" s="14" t="s">
        <v>1212</v>
      </c>
      <c r="D29" s="27"/>
      <c r="F29" s="35"/>
      <c r="J29" s="31"/>
      <c r="K29" s="13"/>
      <c r="L29" s="35">
        <v>305</v>
      </c>
      <c r="N29" s="35"/>
      <c r="O29" s="35"/>
      <c r="P29" s="35"/>
      <c r="Q29" s="14"/>
      <c r="R29" s="27"/>
      <c r="V29" s="31"/>
      <c r="W29" s="13"/>
      <c r="AB29" s="228"/>
      <c r="AC29" s="13"/>
      <c r="AD29" s="31"/>
      <c r="AE29" s="15"/>
    </row>
    <row r="30" spans="1:31" ht="16.5" customHeight="1" x14ac:dyDescent="0.25">
      <c r="A30" s="311"/>
      <c r="B30" s="20">
        <v>46185</v>
      </c>
      <c r="C30" s="14" t="s">
        <v>1213</v>
      </c>
      <c r="D30" s="27"/>
      <c r="F30" s="35"/>
      <c r="J30" s="31"/>
      <c r="K30" s="13"/>
      <c r="L30" s="35">
        <v>250</v>
      </c>
      <c r="N30" s="35"/>
      <c r="O30" s="35"/>
      <c r="P30" s="35"/>
      <c r="Q30" s="14"/>
      <c r="R30" s="27"/>
      <c r="V30" s="31"/>
      <c r="W30" s="13"/>
      <c r="AB30" s="228"/>
      <c r="AC30" s="13"/>
      <c r="AD30" s="31"/>
      <c r="AE30" s="15"/>
    </row>
    <row r="31" spans="1:31" ht="16.5" customHeight="1" x14ac:dyDescent="0.25">
      <c r="A31" s="311"/>
      <c r="B31" s="20">
        <v>46186</v>
      </c>
      <c r="C31" s="14" t="s">
        <v>1185</v>
      </c>
      <c r="D31" s="27"/>
      <c r="F31" s="35"/>
      <c r="J31" s="31"/>
      <c r="K31" s="13"/>
      <c r="L31" s="35"/>
      <c r="N31" s="35"/>
      <c r="O31" s="35"/>
      <c r="P31" s="35">
        <v>235</v>
      </c>
      <c r="Q31" s="14"/>
      <c r="R31" s="27"/>
      <c r="V31" s="31"/>
      <c r="W31" s="13"/>
      <c r="AB31" s="228"/>
      <c r="AC31" s="13"/>
      <c r="AD31" s="31"/>
      <c r="AE31" s="15"/>
    </row>
    <row r="32" spans="1:31" ht="16.5" customHeight="1" x14ac:dyDescent="0.25">
      <c r="A32" s="311"/>
      <c r="B32" s="20">
        <v>46186</v>
      </c>
      <c r="C32" s="14" t="s">
        <v>1046</v>
      </c>
      <c r="D32" s="27"/>
      <c r="F32" s="35"/>
      <c r="J32" s="31"/>
      <c r="K32" s="13"/>
      <c r="L32" s="35">
        <v>500</v>
      </c>
      <c r="N32" s="35"/>
      <c r="O32" s="35"/>
      <c r="P32" s="35"/>
      <c r="Q32" s="14"/>
      <c r="R32" s="27"/>
      <c r="V32" s="31"/>
      <c r="W32" s="13"/>
      <c r="AB32" s="228"/>
      <c r="AC32" s="13"/>
      <c r="AD32" s="31"/>
      <c r="AE32" s="15"/>
    </row>
    <row r="33" spans="1:240" ht="16.5" customHeight="1" x14ac:dyDescent="0.25">
      <c r="A33" s="311"/>
      <c r="B33" s="20">
        <v>46186</v>
      </c>
      <c r="C33" s="14" t="s">
        <v>847</v>
      </c>
      <c r="D33" s="27">
        <v>1000</v>
      </c>
      <c r="F33" s="35"/>
      <c r="J33" s="31"/>
      <c r="K33" s="13"/>
      <c r="L33" s="35"/>
      <c r="N33" s="35"/>
      <c r="O33" s="35"/>
      <c r="P33" s="35"/>
      <c r="Q33" s="14"/>
      <c r="R33" s="27"/>
      <c r="V33" s="31"/>
      <c r="W33" s="13"/>
      <c r="AB33" s="228"/>
      <c r="AC33" s="13"/>
      <c r="AD33" s="31"/>
      <c r="AE33" s="15"/>
    </row>
    <row r="34" spans="1:240" ht="16.5" customHeight="1" x14ac:dyDescent="0.25">
      <c r="A34" s="311"/>
      <c r="B34" s="20"/>
      <c r="C34" s="14"/>
      <c r="D34" s="27"/>
      <c r="F34" s="35"/>
      <c r="J34" s="31"/>
      <c r="K34" s="13"/>
      <c r="L34" s="35"/>
      <c r="N34" s="35"/>
      <c r="O34" s="35"/>
      <c r="P34" s="35"/>
      <c r="Q34" s="14"/>
      <c r="R34" s="27"/>
      <c r="V34" s="31"/>
      <c r="W34" s="13"/>
      <c r="AB34" s="228"/>
      <c r="AC34" s="13"/>
      <c r="AD34" s="31"/>
      <c r="AE34" s="15"/>
    </row>
    <row r="35" spans="1:240" ht="16.5" customHeight="1" x14ac:dyDescent="0.25">
      <c r="A35" s="311"/>
      <c r="B35" s="20"/>
      <c r="C35" s="14"/>
      <c r="D35" s="27"/>
      <c r="F35" s="35"/>
      <c r="J35" s="31"/>
      <c r="K35" s="13"/>
      <c r="L35" s="35"/>
      <c r="N35" s="35"/>
      <c r="O35" s="35"/>
      <c r="P35" s="35"/>
      <c r="Q35" s="14"/>
      <c r="R35" s="27"/>
      <c r="V35" s="31"/>
      <c r="W35" s="13"/>
      <c r="AB35" s="228"/>
      <c r="AC35" s="13"/>
      <c r="AD35" s="31"/>
      <c r="AE35" s="15"/>
    </row>
    <row r="36" spans="1:240" x14ac:dyDescent="0.25">
      <c r="A36" s="311"/>
      <c r="B36" s="20"/>
      <c r="C36" s="14"/>
      <c r="D36" s="27"/>
      <c r="F36" s="35"/>
      <c r="J36" s="31"/>
      <c r="K36" s="13"/>
      <c r="L36" s="35"/>
      <c r="N36" s="35"/>
      <c r="O36" s="35"/>
      <c r="P36" s="35"/>
      <c r="Q36" s="14"/>
      <c r="R36" s="27"/>
      <c r="V36" s="31"/>
      <c r="W36" s="13"/>
      <c r="AB36" s="228"/>
      <c r="AC36" s="13"/>
      <c r="AD36" s="31"/>
      <c r="AE36" s="15"/>
    </row>
    <row r="37" spans="1:240" s="52" customFormat="1" x14ac:dyDescent="0.25">
      <c r="A37" s="311"/>
      <c r="B37" s="20"/>
      <c r="C37" s="105" t="s">
        <v>137</v>
      </c>
      <c r="D37" s="83"/>
      <c r="J37" s="105"/>
      <c r="K37" s="83"/>
      <c r="Q37" s="105"/>
      <c r="R37" s="83"/>
      <c r="V37" s="105"/>
      <c r="W37" s="83"/>
      <c r="AB37" s="229"/>
      <c r="AC37" s="83"/>
      <c r="AD37" s="105"/>
      <c r="AE37" s="115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</row>
    <row r="38" spans="1:240" x14ac:dyDescent="0.25">
      <c r="A38" s="311"/>
      <c r="B38" s="20"/>
      <c r="C38" s="14"/>
      <c r="D38" s="27"/>
      <c r="F38" s="35"/>
      <c r="J38" s="31"/>
      <c r="K38" s="13"/>
      <c r="L38" s="35"/>
      <c r="N38" s="35"/>
      <c r="O38" s="35"/>
      <c r="P38" s="35"/>
      <c r="Q38" s="14"/>
      <c r="R38" s="27"/>
      <c r="V38" s="31"/>
      <c r="W38" s="13"/>
      <c r="AB38" s="228"/>
      <c r="AC38" s="13"/>
      <c r="AD38" s="31"/>
      <c r="AE38" s="15"/>
    </row>
    <row r="39" spans="1:240" ht="15.75" thickBot="1" x14ac:dyDescent="0.3">
      <c r="A39" s="312"/>
      <c r="B39" s="20"/>
      <c r="C39" s="14"/>
      <c r="D39" s="27"/>
      <c r="F39" s="35"/>
      <c r="J39" s="31"/>
      <c r="K39" s="13"/>
      <c r="L39" s="35"/>
      <c r="N39" s="35"/>
      <c r="O39" s="35"/>
      <c r="P39" s="35"/>
      <c r="Q39" s="14"/>
      <c r="R39" s="27"/>
      <c r="V39" s="31"/>
      <c r="W39" s="13"/>
      <c r="AB39" s="228"/>
      <c r="AC39" s="13"/>
      <c r="AD39" s="31"/>
      <c r="AE39" s="15"/>
      <c r="AI39">
        <f>0.3*400</f>
        <v>120</v>
      </c>
    </row>
    <row r="40" spans="1:240" ht="21.75" thickBot="1" x14ac:dyDescent="0.3">
      <c r="A40" s="21" t="s">
        <v>23</v>
      </c>
      <c r="B40" s="329"/>
      <c r="C40" s="330"/>
      <c r="D40" s="29">
        <f t="shared" ref="D40:AE40" si="0">SUM(D4:D14)-SUM(D15:D39)</f>
        <v>4100</v>
      </c>
      <c r="E40" s="22">
        <f t="shared" si="0"/>
        <v>2</v>
      </c>
      <c r="F40" s="37">
        <f t="shared" si="0"/>
        <v>1261</v>
      </c>
      <c r="G40" s="24">
        <f t="shared" si="0"/>
        <v>140</v>
      </c>
      <c r="H40" s="24">
        <f t="shared" si="0"/>
        <v>52</v>
      </c>
      <c r="I40" s="24">
        <f t="shared" si="0"/>
        <v>7908</v>
      </c>
      <c r="J40" s="33">
        <f t="shared" si="0"/>
        <v>5500</v>
      </c>
      <c r="K40" s="22">
        <f t="shared" si="0"/>
        <v>10</v>
      </c>
      <c r="L40" s="37">
        <f t="shared" si="0"/>
        <v>6555</v>
      </c>
      <c r="M40" s="24">
        <f t="shared" si="0"/>
        <v>181</v>
      </c>
      <c r="N40" s="37">
        <f t="shared" si="0"/>
        <v>2161</v>
      </c>
      <c r="O40" s="37">
        <f t="shared" si="0"/>
        <v>47</v>
      </c>
      <c r="P40" s="37">
        <f t="shared" si="0"/>
        <v>6321</v>
      </c>
      <c r="Q40" s="23">
        <f t="shared" si="0"/>
        <v>1885</v>
      </c>
      <c r="R40" s="29">
        <f t="shared" si="0"/>
        <v>402</v>
      </c>
      <c r="S40" s="29">
        <f t="shared" si="0"/>
        <v>0</v>
      </c>
      <c r="T40" s="29">
        <f t="shared" si="0"/>
        <v>670</v>
      </c>
      <c r="U40" s="107">
        <f t="shared" si="0"/>
        <v>2150</v>
      </c>
      <c r="V40" s="33">
        <f t="shared" si="0"/>
        <v>434</v>
      </c>
      <c r="W40" s="22">
        <f t="shared" si="0"/>
        <v>1559</v>
      </c>
      <c r="X40" s="22">
        <f t="shared" si="0"/>
        <v>0</v>
      </c>
      <c r="Y40" s="22">
        <f t="shared" si="0"/>
        <v>0</v>
      </c>
      <c r="Z40" s="22">
        <f t="shared" si="0"/>
        <v>0</v>
      </c>
      <c r="AA40" s="22">
        <f t="shared" si="0"/>
        <v>500</v>
      </c>
      <c r="AB40" s="230">
        <f t="shared" si="0"/>
        <v>230</v>
      </c>
      <c r="AC40" s="22">
        <f t="shared" si="0"/>
        <v>1588</v>
      </c>
      <c r="AD40" s="33">
        <f t="shared" si="0"/>
        <v>1270</v>
      </c>
      <c r="AE40" s="33">
        <f t="shared" si="0"/>
        <v>250</v>
      </c>
    </row>
    <row r="42" spans="1:240" x14ac:dyDescent="0.25">
      <c r="C42" t="s">
        <v>176</v>
      </c>
      <c r="D42">
        <v>0.63</v>
      </c>
      <c r="E42">
        <v>0.55000000000000004</v>
      </c>
      <c r="F42">
        <v>0.71</v>
      </c>
      <c r="G42">
        <v>0.65</v>
      </c>
      <c r="H42">
        <v>0.65</v>
      </c>
      <c r="I42">
        <v>0.66</v>
      </c>
      <c r="J42">
        <v>0.66</v>
      </c>
      <c r="K42">
        <v>0.84</v>
      </c>
      <c r="L42">
        <v>0.84</v>
      </c>
      <c r="M42" s="50">
        <f>0.95+0.1</f>
        <v>1.05</v>
      </c>
      <c r="N42">
        <v>1.02</v>
      </c>
      <c r="O42">
        <v>0.82</v>
      </c>
      <c r="P42">
        <v>0.92</v>
      </c>
      <c r="Q42">
        <v>0.85</v>
      </c>
      <c r="R42">
        <v>2.75</v>
      </c>
      <c r="S42">
        <v>2.6</v>
      </c>
      <c r="T42">
        <v>2.8</v>
      </c>
      <c r="U42">
        <v>2.7</v>
      </c>
      <c r="V42">
        <v>2.4500000000000002</v>
      </c>
      <c r="W42">
        <v>2.8</v>
      </c>
      <c r="X42">
        <v>2.5499999999999998</v>
      </c>
      <c r="Y42">
        <v>2.9</v>
      </c>
      <c r="Z42">
        <v>2.85</v>
      </c>
      <c r="AA42">
        <v>2.5499999999999998</v>
      </c>
      <c r="AB42">
        <v>3.1</v>
      </c>
      <c r="AC42">
        <v>0.6</v>
      </c>
      <c r="AD42">
        <v>0.47</v>
      </c>
      <c r="AE42" s="109">
        <v>1.9</v>
      </c>
    </row>
    <row r="43" spans="1:240" x14ac:dyDescent="0.25">
      <c r="D43">
        <f>+D40*D42</f>
        <v>2583</v>
      </c>
      <c r="E43">
        <f>+E40*E42</f>
        <v>1.1000000000000001</v>
      </c>
      <c r="F43">
        <f t="shared" ref="F43:AE43" si="1">+F40*F42</f>
        <v>895.31</v>
      </c>
      <c r="G43">
        <f t="shared" si="1"/>
        <v>91</v>
      </c>
      <c r="H43">
        <f t="shared" si="1"/>
        <v>33.800000000000004</v>
      </c>
      <c r="I43">
        <f t="shared" si="1"/>
        <v>5219.2800000000007</v>
      </c>
      <c r="J43">
        <f t="shared" si="1"/>
        <v>3630</v>
      </c>
      <c r="K43">
        <f t="shared" si="1"/>
        <v>8.4</v>
      </c>
      <c r="L43">
        <f t="shared" si="1"/>
        <v>5506.2</v>
      </c>
      <c r="M43">
        <f t="shared" si="1"/>
        <v>190.05</v>
      </c>
      <c r="N43">
        <f t="shared" si="1"/>
        <v>2204.2200000000003</v>
      </c>
      <c r="O43">
        <f>O40*O42</f>
        <v>38.54</v>
      </c>
      <c r="P43">
        <f t="shared" si="1"/>
        <v>5815.3200000000006</v>
      </c>
      <c r="Q43">
        <f>+Q40*Q42</f>
        <v>1602.25</v>
      </c>
      <c r="R43">
        <f t="shared" si="1"/>
        <v>1105.5</v>
      </c>
      <c r="S43">
        <f t="shared" si="1"/>
        <v>0</v>
      </c>
      <c r="T43">
        <f t="shared" si="1"/>
        <v>1875.9999999999998</v>
      </c>
      <c r="U43">
        <f t="shared" si="1"/>
        <v>5805</v>
      </c>
      <c r="V43">
        <f t="shared" si="1"/>
        <v>1063.3000000000002</v>
      </c>
      <c r="W43">
        <f t="shared" si="1"/>
        <v>4365.2</v>
      </c>
      <c r="X43">
        <f t="shared" si="1"/>
        <v>0</v>
      </c>
      <c r="Y43">
        <f>+Y40*Y42</f>
        <v>0</v>
      </c>
      <c r="Z43">
        <f>Z40*Z42</f>
        <v>0</v>
      </c>
      <c r="AA43">
        <f>AA40*AA42</f>
        <v>1275</v>
      </c>
      <c r="AB43">
        <f t="shared" si="1"/>
        <v>713</v>
      </c>
      <c r="AC43">
        <f t="shared" si="1"/>
        <v>952.8</v>
      </c>
      <c r="AD43">
        <f t="shared" si="1"/>
        <v>596.9</v>
      </c>
      <c r="AE43">
        <f t="shared" si="1"/>
        <v>475</v>
      </c>
      <c r="AF43" s="52">
        <f>SUM(D43:AE43)</f>
        <v>46046.170000000006</v>
      </c>
    </row>
    <row r="44" spans="1:240" x14ac:dyDescent="0.25"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103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spans="1:240" x14ac:dyDescent="0.25"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103"/>
      <c r="V45" s="39"/>
      <c r="W45" s="39"/>
      <c r="X45" s="39"/>
      <c r="Z45" s="39"/>
      <c r="AA45" s="39"/>
      <c r="AB45" s="39"/>
      <c r="AC45" s="39"/>
      <c r="AD45" s="39"/>
      <c r="AE45" s="39"/>
    </row>
    <row r="46" spans="1:240" x14ac:dyDescent="0.25">
      <c r="C46" s="39"/>
      <c r="D46" s="39"/>
      <c r="E46" s="39"/>
      <c r="F46" s="39"/>
      <c r="G46" s="39"/>
      <c r="H46" s="39"/>
      <c r="I46" s="39"/>
    </row>
    <row r="47" spans="1:240" x14ac:dyDescent="0.25">
      <c r="C47" s="39"/>
      <c r="D47" s="39"/>
      <c r="E47" s="39"/>
      <c r="F47" s="39"/>
      <c r="G47" s="39"/>
      <c r="H47" s="39"/>
      <c r="I47" s="39"/>
    </row>
    <row r="48" spans="1:240" x14ac:dyDescent="0.25">
      <c r="C48" s="39"/>
      <c r="D48" s="39"/>
      <c r="E48" s="39"/>
      <c r="F48" s="39"/>
      <c r="G48" s="39"/>
      <c r="H48" s="39"/>
      <c r="I48" s="39"/>
    </row>
    <row r="49" spans="3:29" x14ac:dyDescent="0.25">
      <c r="C49" s="39"/>
      <c r="D49" s="39"/>
      <c r="E49" s="39"/>
      <c r="F49" s="39"/>
      <c r="G49" s="39"/>
      <c r="H49" s="39"/>
      <c r="I49" s="39"/>
      <c r="L49">
        <v>5281</v>
      </c>
    </row>
    <row r="50" spans="3:29" x14ac:dyDescent="0.25">
      <c r="C50" s="105" t="s">
        <v>137</v>
      </c>
    </row>
    <row r="51" spans="3:29" x14ac:dyDescent="0.25">
      <c r="C51" t="s">
        <v>915</v>
      </c>
      <c r="D51">
        <v>10</v>
      </c>
      <c r="AC51">
        <f>470+150</f>
        <v>620</v>
      </c>
    </row>
    <row r="55" spans="3:29" x14ac:dyDescent="0.25">
      <c r="Y55">
        <f>5000*0.59</f>
        <v>2950</v>
      </c>
    </row>
    <row r="58" spans="3:29" x14ac:dyDescent="0.25">
      <c r="K58" t="s">
        <v>1159</v>
      </c>
      <c r="L58" t="s">
        <v>1155</v>
      </c>
      <c r="M58" t="s">
        <v>1156</v>
      </c>
      <c r="N58" t="s">
        <v>223</v>
      </c>
    </row>
    <row r="59" spans="3:29" x14ac:dyDescent="0.25">
      <c r="J59" t="s">
        <v>1157</v>
      </c>
      <c r="K59">
        <v>5281</v>
      </c>
      <c r="L59">
        <v>2546</v>
      </c>
      <c r="M59">
        <v>35</v>
      </c>
      <c r="N59" s="91">
        <v>46178</v>
      </c>
    </row>
    <row r="60" spans="3:29" x14ac:dyDescent="0.25">
      <c r="J60" t="s">
        <v>1158</v>
      </c>
      <c r="K60">
        <v>385</v>
      </c>
      <c r="L60">
        <v>300</v>
      </c>
      <c r="M60">
        <v>-85</v>
      </c>
      <c r="Z60">
        <v>2</v>
      </c>
      <c r="AA60" t="s">
        <v>958</v>
      </c>
    </row>
    <row r="61" spans="3:29" x14ac:dyDescent="0.25">
      <c r="Z61">
        <v>2</v>
      </c>
      <c r="AA61" t="s">
        <v>959</v>
      </c>
    </row>
    <row r="69" spans="3:38" ht="30" customHeight="1" x14ac:dyDescent="0.25"/>
    <row r="72" spans="3:38" x14ac:dyDescent="0.25">
      <c r="C72" s="98" t="s">
        <v>118</v>
      </c>
      <c r="D72">
        <f>5050+180</f>
        <v>5230</v>
      </c>
      <c r="E72">
        <v>140</v>
      </c>
      <c r="F72">
        <f>-310+70+80</f>
        <v>-160</v>
      </c>
      <c r="G72">
        <f>8000+1340-200</f>
        <v>9140</v>
      </c>
    </row>
    <row r="73" spans="3:38" x14ac:dyDescent="0.25">
      <c r="C73" t="s">
        <v>119</v>
      </c>
      <c r="D73">
        <v>6500</v>
      </c>
      <c r="E73">
        <v>6500</v>
      </c>
      <c r="F73">
        <v>6500</v>
      </c>
      <c r="G73">
        <v>6500</v>
      </c>
    </row>
    <row r="74" spans="3:38" x14ac:dyDescent="0.25">
      <c r="C74" t="s">
        <v>120</v>
      </c>
      <c r="D74">
        <v>33280</v>
      </c>
      <c r="E74">
        <v>33280</v>
      </c>
      <c r="F74">
        <f>38060-1480</f>
        <v>36580</v>
      </c>
      <c r="G74">
        <v>27560</v>
      </c>
    </row>
    <row r="75" spans="3:38" x14ac:dyDescent="0.25">
      <c r="C75" t="s">
        <v>123</v>
      </c>
      <c r="D75">
        <v>2960</v>
      </c>
      <c r="E75">
        <v>2960</v>
      </c>
      <c r="F75">
        <f>1150</f>
        <v>1150</v>
      </c>
      <c r="G75">
        <v>1980</v>
      </c>
      <c r="AK75" t="s">
        <v>150</v>
      </c>
      <c r="AL75" t="s">
        <v>151</v>
      </c>
    </row>
    <row r="76" spans="3:38" x14ac:dyDescent="0.25">
      <c r="C76" t="s">
        <v>122</v>
      </c>
      <c r="D76">
        <v>1300</v>
      </c>
      <c r="E76">
        <v>1300</v>
      </c>
      <c r="F76">
        <v>1300</v>
      </c>
      <c r="G76">
        <v>1300</v>
      </c>
      <c r="AK76" t="s">
        <v>152</v>
      </c>
    </row>
    <row r="77" spans="3:38" x14ac:dyDescent="0.25">
      <c r="C77" t="s">
        <v>127</v>
      </c>
      <c r="D77">
        <v>-9815</v>
      </c>
      <c r="E77">
        <v>-4815</v>
      </c>
      <c r="F77">
        <v>-4815</v>
      </c>
      <c r="G77">
        <v>-4815</v>
      </c>
    </row>
    <row r="78" spans="3:38" x14ac:dyDescent="0.25">
      <c r="C78" t="s">
        <v>128</v>
      </c>
      <c r="AK78" t="s">
        <v>153</v>
      </c>
    </row>
    <row r="80" spans="3:38" x14ac:dyDescent="0.25">
      <c r="D80">
        <f>SUM(D72:D79)</f>
        <v>39455</v>
      </c>
      <c r="E80">
        <f>SUM(E72:E77)</f>
        <v>39365</v>
      </c>
      <c r="F80">
        <f>SUM(F72:F77)</f>
        <v>40555</v>
      </c>
      <c r="G80">
        <f>SUM(G72:G77)</f>
        <v>41665</v>
      </c>
    </row>
    <row r="81" spans="3:37" x14ac:dyDescent="0.25">
      <c r="C81" t="s">
        <v>124</v>
      </c>
      <c r="D81">
        <v>100</v>
      </c>
      <c r="E81">
        <v>100</v>
      </c>
      <c r="F81">
        <v>100</v>
      </c>
      <c r="G81">
        <v>100</v>
      </c>
      <c r="AK81">
        <v>24005</v>
      </c>
    </row>
    <row r="82" spans="3:37" x14ac:dyDescent="0.25">
      <c r="C82" t="s">
        <v>125</v>
      </c>
      <c r="D82">
        <f>+D80-D81</f>
        <v>39355</v>
      </c>
      <c r="E82">
        <f>+E80-E81</f>
        <v>39265</v>
      </c>
      <c r="F82">
        <f>+F80-F81</f>
        <v>40455</v>
      </c>
      <c r="G82">
        <f>+G80-G81</f>
        <v>41565</v>
      </c>
      <c r="AK82">
        <v>-24080</v>
      </c>
    </row>
    <row r="83" spans="3:37" x14ac:dyDescent="0.25">
      <c r="G83">
        <f>+G82-F82</f>
        <v>1110</v>
      </c>
      <c r="AK83">
        <f>SUM(AK81:AK82)</f>
        <v>-75</v>
      </c>
    </row>
  </sheetData>
  <mergeCells count="8">
    <mergeCell ref="W2:AA2"/>
    <mergeCell ref="AC2:AD2"/>
    <mergeCell ref="A4:A14"/>
    <mergeCell ref="A15:A39"/>
    <mergeCell ref="B40:C40"/>
    <mergeCell ref="D2:J2"/>
    <mergeCell ref="K2:Q2"/>
    <mergeCell ref="R2:V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45E0-12AF-4125-A197-3FF4127BF936}">
  <dimension ref="A1:IF95"/>
  <sheetViews>
    <sheetView zoomScale="60" zoomScaleNormal="60" workbookViewId="0">
      <pane xSplit="3" ySplit="3" topLeftCell="D22" activePane="bottomRight" state="frozen"/>
      <selection pane="topRight" activeCell="D1" sqref="D1"/>
      <selection pane="bottomLeft" activeCell="A4" sqref="A4"/>
      <selection pane="bottomRight" activeCell="K58" sqref="K58"/>
    </sheetView>
  </sheetViews>
  <sheetFormatPr baseColWidth="10" defaultRowHeight="15" x14ac:dyDescent="0.25"/>
  <cols>
    <col min="1" max="1" width="14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14" customWidth="1"/>
    <col min="10" max="10" width="13.28515625" customWidth="1"/>
    <col min="11" max="11" width="16" customWidth="1"/>
    <col min="12" max="12" width="11.28515625" customWidth="1"/>
    <col min="13" max="13" width="10.140625" customWidth="1"/>
    <col min="14" max="15" width="12" customWidth="1"/>
    <col min="16" max="16" width="11.28515625" customWidth="1"/>
    <col min="17" max="17" width="10.42578125" bestFit="1" customWidth="1"/>
    <col min="18" max="18" width="8.7109375" bestFit="1" customWidth="1"/>
    <col min="19" max="19" width="10.5703125" customWidth="1"/>
    <col min="20" max="20" width="8.7109375" customWidth="1"/>
    <col min="21" max="21" width="11.28515625" customWidth="1"/>
    <col min="22" max="22" width="10.85546875" customWidth="1"/>
    <col min="23" max="23" width="10.7109375" customWidth="1"/>
    <col min="24" max="24" width="18.5703125" customWidth="1"/>
    <col min="25" max="25" width="10.7109375" customWidth="1"/>
    <col min="26" max="27" width="13.5703125" customWidth="1"/>
    <col min="28" max="28" width="22" customWidth="1"/>
    <col min="29" max="29" width="14.42578125" customWidth="1"/>
    <col min="30" max="30" width="9.85546875" customWidth="1"/>
    <col min="31" max="31" width="17.140625" customWidth="1"/>
    <col min="32" max="32" width="19" customWidth="1"/>
    <col min="35" max="35" width="15.140625" customWidth="1"/>
  </cols>
  <sheetData>
    <row r="1" spans="1:31" ht="33" customHeight="1" thickBot="1" x14ac:dyDescent="0.3"/>
    <row r="2" spans="1:31" ht="28.5" customHeight="1" x14ac:dyDescent="0.45">
      <c r="B2" s="1"/>
      <c r="C2" s="2"/>
      <c r="D2" s="308" t="s">
        <v>0</v>
      </c>
      <c r="E2" s="313"/>
      <c r="F2" s="313"/>
      <c r="G2" s="313"/>
      <c r="H2" s="313"/>
      <c r="I2" s="313"/>
      <c r="J2" s="309"/>
      <c r="K2" s="308" t="s">
        <v>1</v>
      </c>
      <c r="L2" s="313"/>
      <c r="M2" s="313"/>
      <c r="N2" s="313"/>
      <c r="O2" s="313"/>
      <c r="P2" s="313"/>
      <c r="Q2" s="309"/>
      <c r="R2" s="308" t="s">
        <v>2</v>
      </c>
      <c r="S2" s="313"/>
      <c r="T2" s="313"/>
      <c r="U2" s="313"/>
      <c r="V2" s="309"/>
      <c r="W2" s="308" t="s">
        <v>3</v>
      </c>
      <c r="X2" s="313"/>
      <c r="Y2" s="313"/>
      <c r="Z2" s="313"/>
      <c r="AA2" s="313"/>
      <c r="AB2" s="225" t="s">
        <v>799</v>
      </c>
      <c r="AC2" s="308" t="s">
        <v>4</v>
      </c>
      <c r="AD2" s="309"/>
      <c r="AE2" s="46" t="s">
        <v>91</v>
      </c>
    </row>
    <row r="3" spans="1:31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7" t="s">
        <v>838</v>
      </c>
      <c r="J3" s="8" t="s">
        <v>11</v>
      </c>
      <c r="K3" s="9" t="s">
        <v>394</v>
      </c>
      <c r="L3" s="7" t="s">
        <v>11</v>
      </c>
      <c r="M3" s="7" t="s">
        <v>12</v>
      </c>
      <c r="N3" s="7" t="s">
        <v>13</v>
      </c>
      <c r="O3" s="7" t="s">
        <v>182</v>
      </c>
      <c r="P3" s="7" t="s">
        <v>15</v>
      </c>
      <c r="Q3" s="8" t="s">
        <v>136</v>
      </c>
      <c r="R3" s="6" t="s">
        <v>12</v>
      </c>
      <c r="S3" s="7" t="s">
        <v>69</v>
      </c>
      <c r="T3" s="7" t="s">
        <v>13</v>
      </c>
      <c r="U3" s="7" t="s">
        <v>16</v>
      </c>
      <c r="V3" s="8" t="s">
        <v>162</v>
      </c>
      <c r="W3" s="6" t="s">
        <v>16</v>
      </c>
      <c r="X3" s="7" t="s">
        <v>1271</v>
      </c>
      <c r="Y3" s="7" t="s">
        <v>12</v>
      </c>
      <c r="Z3" s="7" t="s">
        <v>13</v>
      </c>
      <c r="AA3" s="7" t="s">
        <v>8</v>
      </c>
      <c r="AB3" s="226" t="s">
        <v>800</v>
      </c>
      <c r="AC3" s="6" t="s">
        <v>17</v>
      </c>
      <c r="AD3" s="8" t="s">
        <v>18</v>
      </c>
      <c r="AE3" s="10" t="s">
        <v>92</v>
      </c>
    </row>
    <row r="4" spans="1:31" x14ac:dyDescent="0.25">
      <c r="A4" s="310" t="s">
        <v>19</v>
      </c>
      <c r="B4" s="49"/>
      <c r="C4" s="2"/>
      <c r="D4" s="42">
        <v>4100</v>
      </c>
      <c r="E4" s="42">
        <v>2</v>
      </c>
      <c r="F4" s="42">
        <v>1261</v>
      </c>
      <c r="G4" s="42">
        <v>140</v>
      </c>
      <c r="H4" s="42">
        <v>52</v>
      </c>
      <c r="I4" s="42">
        <v>7908</v>
      </c>
      <c r="J4" s="42">
        <v>5500</v>
      </c>
      <c r="K4" s="42">
        <v>10</v>
      </c>
      <c r="L4" s="42">
        <v>6555</v>
      </c>
      <c r="M4" s="42">
        <v>181</v>
      </c>
      <c r="N4" s="42">
        <v>2161</v>
      </c>
      <c r="O4" s="42">
        <v>47</v>
      </c>
      <c r="P4" s="42">
        <v>6321</v>
      </c>
      <c r="Q4" s="42">
        <v>1885</v>
      </c>
      <c r="R4" s="42">
        <v>402</v>
      </c>
      <c r="S4" s="42"/>
      <c r="T4" s="42">
        <v>670</v>
      </c>
      <c r="U4" s="42">
        <v>2150</v>
      </c>
      <c r="V4" s="42">
        <v>434</v>
      </c>
      <c r="W4" s="42">
        <v>1559</v>
      </c>
      <c r="X4" s="42">
        <v>200</v>
      </c>
      <c r="Y4" s="42">
        <v>0</v>
      </c>
      <c r="Z4" s="42">
        <v>0</v>
      </c>
      <c r="AA4" s="42">
        <v>500</v>
      </c>
      <c r="AB4" s="227">
        <v>230</v>
      </c>
      <c r="AC4" s="42">
        <v>1588</v>
      </c>
      <c r="AD4" s="42">
        <v>1270</v>
      </c>
      <c r="AE4" s="42">
        <v>250</v>
      </c>
    </row>
    <row r="5" spans="1:31" x14ac:dyDescent="0.25">
      <c r="A5" s="311"/>
      <c r="B5" s="20"/>
      <c r="C5" s="82"/>
      <c r="D5" s="27"/>
      <c r="F5" s="35"/>
      <c r="J5" s="31"/>
      <c r="K5" s="13"/>
      <c r="L5" s="35"/>
      <c r="N5" s="35"/>
      <c r="O5" s="35"/>
      <c r="P5" s="35"/>
      <c r="Q5" s="14"/>
      <c r="R5" s="27"/>
      <c r="V5" s="31"/>
      <c r="W5" s="13"/>
      <c r="AB5" s="228"/>
      <c r="AC5" s="13"/>
      <c r="AD5" s="31"/>
      <c r="AE5" s="15"/>
    </row>
    <row r="6" spans="1:31" x14ac:dyDescent="0.25">
      <c r="A6" s="311"/>
      <c r="B6" s="20">
        <v>46189</v>
      </c>
      <c r="C6" s="20" t="s">
        <v>1232</v>
      </c>
      <c r="D6" s="27"/>
      <c r="F6" s="35"/>
      <c r="J6" s="31">
        <v>1500</v>
      </c>
      <c r="K6" s="13"/>
      <c r="L6" s="35"/>
      <c r="N6" s="35"/>
      <c r="O6" s="35"/>
      <c r="P6" s="35"/>
      <c r="Q6" s="14"/>
      <c r="R6" s="27"/>
      <c r="V6" s="31"/>
      <c r="W6" s="13"/>
      <c r="AB6" s="228"/>
      <c r="AC6" s="13"/>
      <c r="AD6" s="31"/>
      <c r="AE6" s="15"/>
    </row>
    <row r="7" spans="1:31" x14ac:dyDescent="0.25">
      <c r="A7" s="311"/>
      <c r="B7" s="20">
        <v>46190</v>
      </c>
      <c r="C7" s="82" t="s">
        <v>46</v>
      </c>
      <c r="D7" s="27"/>
      <c r="F7" s="35">
        <v>3000</v>
      </c>
      <c r="J7" s="31"/>
      <c r="K7" s="13"/>
      <c r="L7" s="35"/>
      <c r="N7" s="35"/>
      <c r="O7" s="35"/>
      <c r="P7" s="35"/>
      <c r="Q7" s="14"/>
      <c r="R7" s="27"/>
      <c r="V7" s="31"/>
      <c r="W7" s="13"/>
      <c r="AB7" s="228"/>
      <c r="AC7" s="13"/>
      <c r="AD7" s="31"/>
      <c r="AE7" s="15"/>
    </row>
    <row r="8" spans="1:31" x14ac:dyDescent="0.25">
      <c r="A8" s="311"/>
      <c r="B8" s="20">
        <v>46190</v>
      </c>
      <c r="C8" s="82" t="s">
        <v>1059</v>
      </c>
      <c r="D8" s="27"/>
      <c r="F8" s="35"/>
      <c r="J8" s="31"/>
      <c r="K8" s="13"/>
      <c r="L8" s="35"/>
      <c r="N8" s="35"/>
      <c r="O8" s="35"/>
      <c r="P8" s="35"/>
      <c r="Q8" s="14"/>
      <c r="R8" s="27"/>
      <c r="V8" s="31"/>
      <c r="W8" s="13"/>
      <c r="AB8" s="228"/>
      <c r="AC8" s="13">
        <v>1500</v>
      </c>
      <c r="AD8" s="31"/>
      <c r="AE8" s="15"/>
    </row>
    <row r="9" spans="1:31" x14ac:dyDescent="0.25">
      <c r="A9" s="311"/>
      <c r="B9" s="20">
        <v>46191</v>
      </c>
      <c r="C9" s="82" t="s">
        <v>46</v>
      </c>
      <c r="D9" s="27">
        <v>4000</v>
      </c>
      <c r="F9" s="35"/>
      <c r="J9" s="31"/>
      <c r="K9" s="13"/>
      <c r="L9" s="35"/>
      <c r="N9" s="35"/>
      <c r="O9" s="35"/>
      <c r="P9" s="35"/>
      <c r="Q9" s="14"/>
      <c r="R9" s="27"/>
      <c r="V9" s="31"/>
      <c r="W9" s="13"/>
      <c r="AB9" s="228"/>
      <c r="AC9" s="13"/>
      <c r="AD9" s="31"/>
      <c r="AE9" s="15"/>
    </row>
    <row r="10" spans="1:31" x14ac:dyDescent="0.25">
      <c r="A10" s="311"/>
      <c r="B10" s="20">
        <v>46192</v>
      </c>
      <c r="C10" s="82" t="s">
        <v>27</v>
      </c>
      <c r="D10" s="27"/>
      <c r="F10" s="35"/>
      <c r="J10" s="31">
        <v>4000</v>
      </c>
      <c r="K10" s="13"/>
      <c r="L10" s="35"/>
      <c r="N10" s="35"/>
      <c r="O10" s="35"/>
      <c r="P10" s="35"/>
      <c r="Q10" s="14"/>
      <c r="R10" s="27"/>
      <c r="V10" s="31"/>
      <c r="W10" s="13"/>
      <c r="AB10" s="228"/>
      <c r="AC10" s="13"/>
      <c r="AD10" s="31"/>
      <c r="AE10" s="15"/>
    </row>
    <row r="11" spans="1:31" x14ac:dyDescent="0.25">
      <c r="A11" s="311"/>
      <c r="B11" s="20">
        <v>46192</v>
      </c>
      <c r="C11" s="82" t="s">
        <v>46</v>
      </c>
      <c r="D11" s="27"/>
      <c r="F11" s="35"/>
      <c r="J11" s="31"/>
      <c r="K11" s="13"/>
      <c r="L11" s="35"/>
      <c r="N11" s="35"/>
      <c r="O11" s="35"/>
      <c r="P11" s="35"/>
      <c r="Q11" s="14"/>
      <c r="R11" s="27"/>
      <c r="V11" s="31"/>
      <c r="W11" s="13"/>
      <c r="X11">
        <v>800</v>
      </c>
      <c r="AB11" s="228"/>
      <c r="AC11" s="13"/>
      <c r="AD11" s="31"/>
      <c r="AE11" s="15"/>
    </row>
    <row r="12" spans="1:31" x14ac:dyDescent="0.25">
      <c r="A12" s="311"/>
      <c r="B12" s="20">
        <v>46192</v>
      </c>
      <c r="C12" s="82" t="s">
        <v>27</v>
      </c>
      <c r="D12" s="27"/>
      <c r="F12" s="35"/>
      <c r="J12" s="31"/>
      <c r="K12" s="13"/>
      <c r="L12" s="35"/>
      <c r="N12" s="35"/>
      <c r="O12" s="35"/>
      <c r="P12" s="35"/>
      <c r="Q12" s="14"/>
      <c r="R12" s="27"/>
      <c r="T12">
        <v>250</v>
      </c>
      <c r="V12" s="31"/>
      <c r="W12" s="13"/>
      <c r="AB12" s="228"/>
      <c r="AC12" s="13"/>
      <c r="AD12" s="31"/>
      <c r="AE12" s="15"/>
    </row>
    <row r="13" spans="1:31" x14ac:dyDescent="0.25">
      <c r="A13" s="311"/>
      <c r="B13" s="20">
        <v>46193</v>
      </c>
      <c r="C13" s="82" t="s">
        <v>27</v>
      </c>
      <c r="D13" s="27"/>
      <c r="F13" s="35"/>
      <c r="J13" s="31"/>
      <c r="K13" s="13"/>
      <c r="L13" s="35"/>
      <c r="N13" s="35"/>
      <c r="O13" s="35"/>
      <c r="P13" s="35">
        <v>500</v>
      </c>
      <c r="Q13" s="14"/>
      <c r="R13" s="27"/>
      <c r="V13" s="31"/>
      <c r="W13" s="13"/>
      <c r="AB13" s="228"/>
      <c r="AC13" s="13"/>
      <c r="AD13" s="31"/>
      <c r="AE13" s="15"/>
    </row>
    <row r="14" spans="1:31" x14ac:dyDescent="0.25">
      <c r="A14" s="311"/>
      <c r="B14" s="20">
        <v>46193</v>
      </c>
      <c r="C14" s="82" t="s">
        <v>46</v>
      </c>
      <c r="D14" s="27"/>
      <c r="F14" s="35"/>
      <c r="J14" s="31"/>
      <c r="K14" s="13"/>
      <c r="L14" s="35"/>
      <c r="N14" s="35"/>
      <c r="O14" s="35"/>
      <c r="P14" s="35"/>
      <c r="Q14" s="14">
        <v>3000</v>
      </c>
      <c r="R14" s="27"/>
      <c r="V14" s="31"/>
      <c r="W14" s="13"/>
      <c r="AB14" s="228"/>
      <c r="AC14" s="13"/>
      <c r="AD14" s="31"/>
      <c r="AE14" s="15"/>
    </row>
    <row r="15" spans="1:31" x14ac:dyDescent="0.25">
      <c r="A15" s="311"/>
      <c r="B15" s="20"/>
      <c r="C15" s="82"/>
      <c r="D15" s="27"/>
      <c r="F15" s="35"/>
      <c r="J15" s="31"/>
      <c r="K15" s="13"/>
      <c r="L15" s="35"/>
      <c r="N15" s="35"/>
      <c r="O15" s="35"/>
      <c r="P15" s="35"/>
      <c r="Q15" s="14"/>
      <c r="R15" s="27"/>
      <c r="V15" s="31"/>
      <c r="W15" s="13"/>
      <c r="AB15" s="228"/>
      <c r="AC15" s="13"/>
      <c r="AD15" s="31"/>
      <c r="AE15" s="15"/>
    </row>
    <row r="16" spans="1:31" x14ac:dyDescent="0.25">
      <c r="A16" s="311"/>
      <c r="B16" s="160"/>
      <c r="C16" s="82"/>
      <c r="D16" s="27"/>
      <c r="F16" s="35"/>
      <c r="J16" s="31"/>
      <c r="K16" s="13"/>
      <c r="L16" s="35"/>
      <c r="N16" s="35"/>
      <c r="O16" s="35"/>
      <c r="P16" s="35"/>
      <c r="Q16" s="14"/>
      <c r="R16" s="27"/>
      <c r="V16" s="31"/>
      <c r="W16" s="13"/>
      <c r="AB16" s="228"/>
      <c r="AC16" s="13"/>
      <c r="AD16" s="31"/>
      <c r="AE16" s="15"/>
    </row>
    <row r="17" spans="1:31" ht="13.5" customHeight="1" thickBot="1" x14ac:dyDescent="0.3">
      <c r="A17" s="311"/>
      <c r="B17" s="72"/>
      <c r="C17" s="231"/>
      <c r="D17" s="28"/>
      <c r="E17" s="18"/>
      <c r="F17" s="36"/>
      <c r="G17" s="18"/>
      <c r="H17" s="18"/>
      <c r="I17" s="18"/>
      <c r="J17" s="32"/>
      <c r="K17" s="16"/>
      <c r="L17" s="36"/>
      <c r="M17" s="18"/>
      <c r="N17" s="36"/>
      <c r="O17" s="36"/>
      <c r="P17" s="36"/>
      <c r="Q17" s="17"/>
      <c r="R17" s="28"/>
      <c r="S17" s="18"/>
      <c r="T17" s="18"/>
      <c r="U17" s="18"/>
      <c r="V17" s="32"/>
      <c r="W17" s="16"/>
      <c r="X17" s="18"/>
      <c r="Y17" s="18"/>
      <c r="Z17" s="18"/>
      <c r="AA17" s="18"/>
      <c r="AB17" s="232"/>
      <c r="AC17" s="16"/>
      <c r="AD17" s="32"/>
      <c r="AE17" s="19"/>
    </row>
    <row r="18" spans="1:31" x14ac:dyDescent="0.25">
      <c r="A18" s="310" t="s">
        <v>62</v>
      </c>
      <c r="B18" s="160"/>
      <c r="C18" s="14"/>
      <c r="D18" s="27"/>
      <c r="F18" s="35"/>
      <c r="J18" s="31"/>
      <c r="K18" s="13"/>
      <c r="L18" s="35"/>
      <c r="N18" s="35"/>
      <c r="O18" s="35"/>
      <c r="P18" s="35"/>
      <c r="Q18" s="14"/>
      <c r="R18" s="27"/>
      <c r="V18" s="31"/>
      <c r="W18" s="13"/>
      <c r="AB18" s="228"/>
      <c r="AC18" s="13"/>
      <c r="AD18" s="31"/>
      <c r="AE18" s="15"/>
    </row>
    <row r="19" spans="1:31" x14ac:dyDescent="0.25">
      <c r="A19" s="311"/>
      <c r="B19" s="20"/>
      <c r="C19" s="14"/>
      <c r="D19" s="27"/>
      <c r="F19" s="35"/>
      <c r="J19" s="31"/>
      <c r="K19" s="13"/>
      <c r="L19" s="35"/>
      <c r="N19" s="35"/>
      <c r="O19" s="35"/>
      <c r="P19" s="35"/>
      <c r="Q19" s="14"/>
      <c r="R19" s="27"/>
      <c r="V19" s="31"/>
      <c r="W19" s="13"/>
      <c r="AB19" s="228"/>
      <c r="AC19" s="13"/>
      <c r="AD19" s="31"/>
      <c r="AE19" s="15"/>
    </row>
    <row r="20" spans="1:31" ht="16.5" customHeight="1" x14ac:dyDescent="0.25">
      <c r="A20" s="311"/>
      <c r="B20" s="20">
        <v>46188</v>
      </c>
      <c r="C20" s="82" t="s">
        <v>1225</v>
      </c>
      <c r="D20" s="27"/>
      <c r="F20" s="35"/>
      <c r="J20" s="31">
        <v>1500</v>
      </c>
      <c r="K20" s="13"/>
      <c r="L20" s="35"/>
      <c r="N20" s="35"/>
      <c r="O20" s="35"/>
      <c r="P20" s="35"/>
      <c r="Q20" s="14"/>
      <c r="R20" s="27"/>
      <c r="V20" s="31"/>
      <c r="W20" s="13"/>
      <c r="AA20">
        <v>330</v>
      </c>
      <c r="AB20" s="228"/>
      <c r="AC20" s="13"/>
      <c r="AD20" s="31"/>
      <c r="AE20" s="15"/>
    </row>
    <row r="21" spans="1:31" ht="16.5" customHeight="1" x14ac:dyDescent="0.25">
      <c r="A21" s="311"/>
      <c r="B21" s="20">
        <v>46188</v>
      </c>
      <c r="C21" s="14" t="s">
        <v>1110</v>
      </c>
      <c r="D21" s="27"/>
      <c r="F21" s="35"/>
      <c r="J21" s="31"/>
      <c r="K21" s="13"/>
      <c r="L21" s="35">
        <v>500</v>
      </c>
      <c r="N21" s="35"/>
      <c r="O21" s="35"/>
      <c r="P21" s="35"/>
      <c r="Q21" s="14"/>
      <c r="R21" s="27"/>
      <c r="V21" s="31"/>
      <c r="W21" s="13"/>
      <c r="AB21" s="228"/>
      <c r="AC21" s="13"/>
      <c r="AD21" s="31"/>
      <c r="AE21" s="15"/>
    </row>
    <row r="22" spans="1:31" ht="16.5" customHeight="1" x14ac:dyDescent="0.25">
      <c r="A22" s="311"/>
      <c r="B22" s="20">
        <v>46188</v>
      </c>
      <c r="C22" s="14" t="s">
        <v>1226</v>
      </c>
      <c r="D22" s="27">
        <v>1000</v>
      </c>
      <c r="F22" s="35"/>
      <c r="J22" s="31"/>
      <c r="K22" s="13"/>
      <c r="L22" s="35"/>
      <c r="N22" s="35"/>
      <c r="O22" s="35"/>
      <c r="P22" s="35"/>
      <c r="Q22" s="14"/>
      <c r="R22" s="27"/>
      <c r="V22" s="31"/>
      <c r="W22" s="13"/>
      <c r="AB22" s="228"/>
      <c r="AC22" s="13"/>
      <c r="AD22" s="31"/>
      <c r="AE22" s="15"/>
    </row>
    <row r="23" spans="1:31" ht="16.5" customHeight="1" x14ac:dyDescent="0.25">
      <c r="A23" s="311"/>
      <c r="B23" s="20">
        <v>46188</v>
      </c>
      <c r="C23" s="14" t="s">
        <v>1227</v>
      </c>
      <c r="D23" s="27"/>
      <c r="F23" s="35"/>
      <c r="J23" s="31"/>
      <c r="K23" s="13"/>
      <c r="L23" s="35"/>
      <c r="N23" s="35"/>
      <c r="O23" s="35"/>
      <c r="P23" s="35">
        <v>2000</v>
      </c>
      <c r="Q23" s="14"/>
      <c r="R23" s="27"/>
      <c r="V23" s="31"/>
      <c r="W23" s="13"/>
      <c r="AB23" s="228"/>
      <c r="AC23" s="13"/>
      <c r="AD23" s="31"/>
      <c r="AE23" s="15"/>
    </row>
    <row r="24" spans="1:31" ht="16.5" customHeight="1" x14ac:dyDescent="0.25">
      <c r="A24" s="311"/>
      <c r="B24" s="20">
        <v>46189</v>
      </c>
      <c r="C24" s="14" t="s">
        <v>745</v>
      </c>
      <c r="D24" s="27"/>
      <c r="F24" s="35"/>
      <c r="J24" s="31"/>
      <c r="K24" s="13"/>
      <c r="L24" s="35"/>
      <c r="N24" s="35"/>
      <c r="O24" s="35"/>
      <c r="P24" s="35"/>
      <c r="Q24" s="14"/>
      <c r="R24" s="27"/>
      <c r="V24" s="31"/>
      <c r="W24" s="13">
        <v>800</v>
      </c>
      <c r="AB24" s="228"/>
      <c r="AC24" s="13"/>
      <c r="AD24" s="31"/>
      <c r="AE24" s="15"/>
    </row>
    <row r="25" spans="1:31" ht="16.5" customHeight="1" x14ac:dyDescent="0.25">
      <c r="A25" s="311"/>
      <c r="B25" s="20">
        <v>46189</v>
      </c>
      <c r="C25" s="14" t="s">
        <v>1237</v>
      </c>
      <c r="D25" s="27"/>
      <c r="F25" s="35"/>
      <c r="J25" s="31"/>
      <c r="K25" s="13"/>
      <c r="L25" s="35">
        <v>300</v>
      </c>
      <c r="N25" s="35"/>
      <c r="O25" s="35"/>
      <c r="P25" s="35"/>
      <c r="Q25" s="14"/>
      <c r="R25" s="27"/>
      <c r="V25" s="31"/>
      <c r="W25" s="13"/>
      <c r="AB25" s="228"/>
      <c r="AC25" s="13"/>
      <c r="AD25" s="31"/>
      <c r="AE25" s="15"/>
    </row>
    <row r="26" spans="1:31" ht="16.5" customHeight="1" x14ac:dyDescent="0.25">
      <c r="A26" s="311"/>
      <c r="B26" s="20">
        <v>46189</v>
      </c>
      <c r="C26" s="14" t="s">
        <v>925</v>
      </c>
      <c r="D26" s="27"/>
      <c r="F26" s="35"/>
      <c r="J26" s="31"/>
      <c r="K26" s="13"/>
      <c r="L26" s="35">
        <v>1000</v>
      </c>
      <c r="N26" s="35"/>
      <c r="O26" s="35"/>
      <c r="P26" s="35"/>
      <c r="Q26" s="14"/>
      <c r="R26" s="27"/>
      <c r="V26" s="31"/>
      <c r="W26" s="13"/>
      <c r="AB26" s="228"/>
      <c r="AC26" s="13"/>
      <c r="AD26" s="31"/>
      <c r="AE26" s="15"/>
    </row>
    <row r="27" spans="1:31" ht="16.5" customHeight="1" x14ac:dyDescent="0.25">
      <c r="A27" s="311"/>
      <c r="B27" s="20">
        <v>46189</v>
      </c>
      <c r="C27" s="14" t="s">
        <v>841</v>
      </c>
      <c r="D27" s="27"/>
      <c r="F27" s="35"/>
      <c r="J27" s="31"/>
      <c r="K27" s="13"/>
      <c r="L27" s="35">
        <v>50</v>
      </c>
      <c r="N27" s="35"/>
      <c r="O27" s="35"/>
      <c r="P27" s="35"/>
      <c r="Q27" s="14"/>
      <c r="R27" s="27"/>
      <c r="V27" s="31"/>
      <c r="W27" s="13"/>
      <c r="AB27" s="228"/>
      <c r="AC27" s="13"/>
      <c r="AD27" s="31"/>
      <c r="AE27" s="15"/>
    </row>
    <row r="28" spans="1:31" ht="16.5" customHeight="1" x14ac:dyDescent="0.25">
      <c r="A28" s="311"/>
      <c r="B28" s="20">
        <v>46189</v>
      </c>
      <c r="C28" s="14" t="s">
        <v>1154</v>
      </c>
      <c r="D28" s="27"/>
      <c r="F28" s="35"/>
      <c r="J28" s="31"/>
      <c r="K28" s="13"/>
      <c r="L28" s="35"/>
      <c r="N28" s="35"/>
      <c r="O28" s="35"/>
      <c r="P28" s="35"/>
      <c r="Q28" s="14">
        <v>500</v>
      </c>
      <c r="R28" s="27"/>
      <c r="V28" s="31"/>
      <c r="W28" s="13"/>
      <c r="AB28" s="228"/>
      <c r="AC28" s="13"/>
      <c r="AD28" s="31"/>
      <c r="AE28" s="15"/>
    </row>
    <row r="29" spans="1:31" ht="16.5" customHeight="1" x14ac:dyDescent="0.25">
      <c r="A29" s="311"/>
      <c r="B29" s="20">
        <v>46189</v>
      </c>
      <c r="C29" s="14" t="s">
        <v>1238</v>
      </c>
      <c r="D29" s="27">
        <v>50</v>
      </c>
      <c r="F29" s="35"/>
      <c r="J29" s="31"/>
      <c r="K29" s="13"/>
      <c r="L29" s="35"/>
      <c r="N29" s="35"/>
      <c r="O29" s="35"/>
      <c r="P29" s="35"/>
      <c r="Q29" s="14"/>
      <c r="R29" s="27"/>
      <c r="V29" s="31"/>
      <c r="W29" s="13"/>
      <c r="AB29" s="228"/>
      <c r="AC29" s="13"/>
      <c r="AD29" s="31">
        <v>50</v>
      </c>
      <c r="AE29" s="15"/>
    </row>
    <row r="30" spans="1:31" ht="16.5" customHeight="1" x14ac:dyDescent="0.25">
      <c r="A30" s="311"/>
      <c r="B30" s="20">
        <v>46189</v>
      </c>
      <c r="C30" s="14" t="s">
        <v>984</v>
      </c>
      <c r="D30" s="27"/>
      <c r="F30" s="35"/>
      <c r="J30" s="31"/>
      <c r="K30" s="13"/>
      <c r="L30" s="35"/>
      <c r="N30" s="35"/>
      <c r="O30" s="35"/>
      <c r="P30" s="35"/>
      <c r="Q30" s="14"/>
      <c r="R30" s="27"/>
      <c r="V30" s="31"/>
      <c r="W30" s="13"/>
      <c r="AB30" s="228"/>
      <c r="AC30" s="13"/>
      <c r="AD30" s="31">
        <v>50</v>
      </c>
      <c r="AE30" s="15"/>
    </row>
    <row r="31" spans="1:31" ht="16.5" customHeight="1" x14ac:dyDescent="0.25">
      <c r="A31" s="311"/>
      <c r="B31" s="20">
        <v>46190</v>
      </c>
      <c r="C31" s="14" t="s">
        <v>1242</v>
      </c>
      <c r="D31" s="27"/>
      <c r="F31" s="35"/>
      <c r="J31" s="31"/>
      <c r="K31" s="13"/>
      <c r="L31" s="35"/>
      <c r="N31" s="35"/>
      <c r="O31" s="35"/>
      <c r="P31" s="35"/>
      <c r="Q31" s="14"/>
      <c r="R31" s="27"/>
      <c r="V31" s="31"/>
      <c r="W31" s="13"/>
      <c r="AB31" s="228"/>
      <c r="AC31" s="13"/>
      <c r="AD31" s="31">
        <v>500</v>
      </c>
      <c r="AE31" s="15"/>
    </row>
    <row r="32" spans="1:31" ht="16.5" customHeight="1" x14ac:dyDescent="0.25">
      <c r="A32" s="311"/>
      <c r="B32" s="20">
        <v>46190</v>
      </c>
      <c r="C32" s="14" t="s">
        <v>1243</v>
      </c>
      <c r="D32" s="27"/>
      <c r="F32" s="35"/>
      <c r="J32" s="31">
        <v>1000</v>
      </c>
      <c r="K32" s="13"/>
      <c r="L32" s="35"/>
      <c r="N32" s="35"/>
      <c r="O32" s="35"/>
      <c r="P32" s="35"/>
      <c r="Q32" s="14"/>
      <c r="R32" s="27"/>
      <c r="V32" s="31"/>
      <c r="W32" s="13"/>
      <c r="AB32" s="228"/>
      <c r="AC32" s="13"/>
      <c r="AD32" s="31"/>
      <c r="AE32" s="15"/>
    </row>
    <row r="33" spans="1:31" ht="16.5" customHeight="1" x14ac:dyDescent="0.25">
      <c r="A33" s="311"/>
      <c r="B33" s="20">
        <v>46190</v>
      </c>
      <c r="C33" s="14" t="s">
        <v>1255</v>
      </c>
      <c r="D33" s="27"/>
      <c r="F33" s="35"/>
      <c r="J33" s="31"/>
      <c r="K33" s="13"/>
      <c r="L33" s="35"/>
      <c r="N33" s="35"/>
      <c r="O33" s="35"/>
      <c r="P33" s="35"/>
      <c r="Q33" s="14"/>
      <c r="R33" s="27"/>
      <c r="V33" s="31"/>
      <c r="W33" s="13"/>
      <c r="AB33" s="228"/>
      <c r="AC33" s="13"/>
      <c r="AD33" s="31">
        <v>4</v>
      </c>
      <c r="AE33" s="15"/>
    </row>
    <row r="34" spans="1:31" ht="16.5" customHeight="1" x14ac:dyDescent="0.25">
      <c r="A34" s="311"/>
      <c r="B34" s="20">
        <v>46191</v>
      </c>
      <c r="C34" s="14" t="s">
        <v>1262</v>
      </c>
      <c r="D34" s="27"/>
      <c r="F34" s="35"/>
      <c r="I34">
        <v>3000</v>
      </c>
      <c r="J34" s="31"/>
      <c r="K34" s="13"/>
      <c r="L34" s="35"/>
      <c r="N34" s="35"/>
      <c r="O34" s="35"/>
      <c r="P34" s="35"/>
      <c r="Q34" s="14"/>
      <c r="R34" s="27"/>
      <c r="V34" s="31"/>
      <c r="W34" s="13"/>
      <c r="AB34" s="228"/>
      <c r="AC34" s="13"/>
      <c r="AD34" s="31"/>
      <c r="AE34" s="15"/>
    </row>
    <row r="35" spans="1:31" ht="16.5" customHeight="1" x14ac:dyDescent="0.25">
      <c r="A35" s="311"/>
      <c r="B35" s="20">
        <v>46191</v>
      </c>
      <c r="C35" s="14" t="s">
        <v>1047</v>
      </c>
      <c r="D35" s="27">
        <v>200</v>
      </c>
      <c r="F35" s="35"/>
      <c r="J35" s="31"/>
      <c r="K35" s="13"/>
      <c r="L35" s="35"/>
      <c r="N35" s="35"/>
      <c r="O35" s="35"/>
      <c r="P35" s="35"/>
      <c r="Q35" s="14"/>
      <c r="R35" s="27"/>
      <c r="V35" s="31"/>
      <c r="W35" s="13"/>
      <c r="AB35" s="228"/>
      <c r="AC35" s="13"/>
      <c r="AD35" s="31"/>
      <c r="AE35" s="15"/>
    </row>
    <row r="36" spans="1:31" ht="16.5" customHeight="1" x14ac:dyDescent="0.25">
      <c r="A36" s="311"/>
      <c r="B36" s="20">
        <v>46191</v>
      </c>
      <c r="C36" s="14" t="s">
        <v>1265</v>
      </c>
      <c r="D36" s="27">
        <v>300</v>
      </c>
      <c r="F36" s="35"/>
      <c r="J36" s="31"/>
      <c r="K36" s="13"/>
      <c r="L36" s="35"/>
      <c r="N36" s="35"/>
      <c r="O36" s="35"/>
      <c r="P36" s="35"/>
      <c r="Q36" s="14"/>
      <c r="R36" s="27"/>
      <c r="V36" s="31"/>
      <c r="W36" s="13"/>
      <c r="AB36" s="228"/>
      <c r="AC36" s="13"/>
      <c r="AD36" s="31"/>
      <c r="AE36" s="15"/>
    </row>
    <row r="37" spans="1:31" ht="16.5" customHeight="1" x14ac:dyDescent="0.25">
      <c r="A37" s="311"/>
      <c r="B37" s="20">
        <v>46191</v>
      </c>
      <c r="C37" s="14" t="s">
        <v>296</v>
      </c>
      <c r="D37" s="27"/>
      <c r="F37" s="35"/>
      <c r="J37" s="31"/>
      <c r="K37" s="13"/>
      <c r="L37" s="35">
        <v>50</v>
      </c>
      <c r="N37" s="35"/>
      <c r="O37" s="35"/>
      <c r="P37" s="35"/>
      <c r="Q37" s="14"/>
      <c r="R37" s="27"/>
      <c r="V37" s="31"/>
      <c r="W37" s="13"/>
      <c r="AB37" s="228"/>
      <c r="AC37" s="13"/>
      <c r="AD37" s="31"/>
      <c r="AE37" s="15"/>
    </row>
    <row r="38" spans="1:31" ht="16.5" customHeight="1" x14ac:dyDescent="0.25">
      <c r="A38" s="311"/>
      <c r="B38" s="20">
        <v>46191</v>
      </c>
      <c r="C38" s="14" t="s">
        <v>1266</v>
      </c>
      <c r="D38" s="27"/>
      <c r="F38" s="35"/>
      <c r="J38" s="31"/>
      <c r="K38" s="13"/>
      <c r="L38" s="35"/>
      <c r="N38" s="35"/>
      <c r="O38" s="35"/>
      <c r="P38" s="35"/>
      <c r="Q38" s="14">
        <v>500</v>
      </c>
      <c r="R38" s="27"/>
      <c r="V38" s="31"/>
      <c r="W38" s="13"/>
      <c r="AB38" s="228"/>
      <c r="AC38" s="13"/>
      <c r="AD38" s="31"/>
      <c r="AE38" s="15"/>
    </row>
    <row r="39" spans="1:31" ht="16.5" customHeight="1" x14ac:dyDescent="0.25">
      <c r="A39" s="311"/>
      <c r="B39" s="20">
        <v>46191</v>
      </c>
      <c r="C39" s="14" t="s">
        <v>422</v>
      </c>
      <c r="D39" s="27"/>
      <c r="F39" s="35"/>
      <c r="J39" s="31"/>
      <c r="K39" s="13"/>
      <c r="L39" s="35">
        <v>4000</v>
      </c>
      <c r="N39" s="35"/>
      <c r="O39" s="35"/>
      <c r="P39" s="35"/>
      <c r="Q39" s="14"/>
      <c r="R39" s="27"/>
      <c r="V39" s="31"/>
      <c r="W39" s="13"/>
      <c r="AB39" s="228"/>
      <c r="AC39" s="13"/>
      <c r="AD39" s="31"/>
      <c r="AE39" s="15"/>
    </row>
    <row r="40" spans="1:31" ht="16.5" customHeight="1" x14ac:dyDescent="0.25">
      <c r="A40" s="311"/>
      <c r="B40" s="20">
        <v>46192</v>
      </c>
      <c r="C40" s="14" t="s">
        <v>1277</v>
      </c>
      <c r="D40" s="27">
        <v>1000</v>
      </c>
      <c r="F40" s="35"/>
      <c r="J40" s="31"/>
      <c r="K40" s="13"/>
      <c r="L40" s="35"/>
      <c r="N40" s="35"/>
      <c r="O40" s="35"/>
      <c r="P40" s="35"/>
      <c r="Q40" s="14"/>
      <c r="R40" s="27"/>
      <c r="V40" s="31"/>
      <c r="W40" s="13"/>
      <c r="AB40" s="228"/>
      <c r="AC40" s="13"/>
      <c r="AD40" s="31"/>
      <c r="AE40" s="15"/>
    </row>
    <row r="41" spans="1:31" ht="16.5" customHeight="1" x14ac:dyDescent="0.25">
      <c r="A41" s="311"/>
      <c r="B41" s="20">
        <v>46192</v>
      </c>
      <c r="C41" s="14" t="s">
        <v>1278</v>
      </c>
      <c r="D41" s="27"/>
      <c r="F41" s="35"/>
      <c r="J41" s="31"/>
      <c r="K41" s="13"/>
      <c r="L41" s="35"/>
      <c r="N41" s="35"/>
      <c r="O41" s="35"/>
      <c r="P41" s="35"/>
      <c r="Q41" s="14"/>
      <c r="R41" s="27"/>
      <c r="V41" s="31"/>
      <c r="W41" s="13"/>
      <c r="AB41" s="228"/>
      <c r="AC41" s="13"/>
      <c r="AD41" s="31">
        <v>500</v>
      </c>
      <c r="AE41" s="15"/>
    </row>
    <row r="42" spans="1:31" ht="16.5" customHeight="1" x14ac:dyDescent="0.25">
      <c r="A42" s="311"/>
      <c r="B42" s="20">
        <v>46192</v>
      </c>
      <c r="C42" s="14" t="s">
        <v>841</v>
      </c>
      <c r="D42" s="27"/>
      <c r="F42" s="35"/>
      <c r="J42" s="31">
        <v>1000</v>
      </c>
      <c r="K42" s="13"/>
      <c r="L42" s="35"/>
      <c r="N42" s="35"/>
      <c r="O42" s="35"/>
      <c r="P42" s="35"/>
      <c r="Q42" s="14"/>
      <c r="R42" s="27"/>
      <c r="V42" s="31"/>
      <c r="W42" s="13"/>
      <c r="AB42" s="228"/>
      <c r="AC42" s="13"/>
      <c r="AD42" s="31"/>
      <c r="AE42" s="15"/>
    </row>
    <row r="43" spans="1:31" ht="16.5" customHeight="1" x14ac:dyDescent="0.25">
      <c r="A43" s="311"/>
      <c r="B43" s="20">
        <v>46193</v>
      </c>
      <c r="C43" s="14" t="s">
        <v>1286</v>
      </c>
      <c r="D43" s="27"/>
      <c r="F43" s="35"/>
      <c r="J43" s="31"/>
      <c r="K43" s="13"/>
      <c r="L43" s="35"/>
      <c r="N43" s="35"/>
      <c r="O43" s="35"/>
      <c r="P43" s="35">
        <v>500</v>
      </c>
      <c r="Q43" s="14"/>
      <c r="R43" s="27"/>
      <c r="V43" s="31"/>
      <c r="W43" s="13"/>
      <c r="AB43" s="228"/>
      <c r="AC43" s="13"/>
      <c r="AD43" s="31"/>
      <c r="AE43" s="15"/>
    </row>
    <row r="44" spans="1:31" ht="16.5" customHeight="1" x14ac:dyDescent="0.25">
      <c r="A44" s="311"/>
      <c r="B44" s="20"/>
      <c r="C44" s="14"/>
      <c r="D44" s="27"/>
      <c r="F44" s="35"/>
      <c r="J44" s="31"/>
      <c r="K44" s="13"/>
      <c r="L44" s="35"/>
      <c r="N44" s="35"/>
      <c r="O44" s="35"/>
      <c r="P44" s="35"/>
      <c r="Q44" s="14"/>
      <c r="R44" s="27"/>
      <c r="V44" s="31"/>
      <c r="W44" s="13"/>
      <c r="AB44" s="228"/>
      <c r="AC44" s="13"/>
      <c r="AD44" s="31"/>
      <c r="AE44" s="15"/>
    </row>
    <row r="45" spans="1:31" ht="16.5" customHeight="1" x14ac:dyDescent="0.25">
      <c r="A45" s="311"/>
      <c r="B45" s="20"/>
      <c r="C45" s="14"/>
      <c r="D45" s="27"/>
      <c r="F45" s="35"/>
      <c r="J45" s="31"/>
      <c r="K45" s="13"/>
      <c r="L45" s="35"/>
      <c r="N45" s="35"/>
      <c r="O45" s="35"/>
      <c r="P45" s="35"/>
      <c r="Q45" s="14"/>
      <c r="R45" s="27"/>
      <c r="V45" s="31"/>
      <c r="W45" s="13"/>
      <c r="AB45" s="228"/>
      <c r="AC45" s="13"/>
      <c r="AD45" s="31"/>
      <c r="AE45" s="15"/>
    </row>
    <row r="46" spans="1:31" ht="16.5" customHeight="1" x14ac:dyDescent="0.25">
      <c r="A46" s="311"/>
      <c r="B46" s="20"/>
      <c r="C46" s="14"/>
      <c r="D46" s="27"/>
      <c r="F46" s="35"/>
      <c r="J46" s="31"/>
      <c r="K46" s="13"/>
      <c r="L46" s="35"/>
      <c r="N46" s="35"/>
      <c r="O46" s="35"/>
      <c r="P46" s="35"/>
      <c r="Q46" s="14"/>
      <c r="R46" s="27"/>
      <c r="V46" s="31"/>
      <c r="W46" s="13"/>
      <c r="AB46" s="228"/>
      <c r="AC46" s="13"/>
      <c r="AD46" s="31"/>
      <c r="AE46" s="15"/>
    </row>
    <row r="47" spans="1:31" ht="16.5" customHeight="1" x14ac:dyDescent="0.25">
      <c r="A47" s="311"/>
      <c r="B47" s="20"/>
      <c r="C47" s="14"/>
      <c r="D47" s="27"/>
      <c r="F47" s="35"/>
      <c r="J47" s="31"/>
      <c r="K47" s="13"/>
      <c r="L47" s="35"/>
      <c r="N47" s="35"/>
      <c r="O47" s="35"/>
      <c r="P47" s="35"/>
      <c r="Q47" s="14"/>
      <c r="R47" s="27"/>
      <c r="V47" s="31"/>
      <c r="W47" s="13"/>
      <c r="AB47" s="228"/>
      <c r="AC47" s="13"/>
      <c r="AD47" s="31"/>
      <c r="AE47" s="15"/>
    </row>
    <row r="48" spans="1:31" ht="16.5" customHeight="1" x14ac:dyDescent="0.25">
      <c r="A48" s="311"/>
      <c r="B48" s="20"/>
      <c r="C48" s="14"/>
      <c r="D48" s="27"/>
      <c r="F48" s="35"/>
      <c r="J48" s="31"/>
      <c r="K48" s="13"/>
      <c r="L48" s="35"/>
      <c r="N48" s="35"/>
      <c r="O48" s="35"/>
      <c r="P48" s="35"/>
      <c r="Q48" s="14"/>
      <c r="R48" s="27"/>
      <c r="V48" s="31"/>
      <c r="W48" s="13"/>
      <c r="AB48" s="228"/>
      <c r="AC48" s="13"/>
      <c r="AD48" s="31"/>
      <c r="AE48" s="15"/>
    </row>
    <row r="49" spans="1:240" s="52" customFormat="1" x14ac:dyDescent="0.25">
      <c r="A49" s="311"/>
      <c r="B49" s="20"/>
      <c r="C49" s="105" t="s">
        <v>137</v>
      </c>
      <c r="D49" s="83"/>
      <c r="J49" s="105"/>
      <c r="K49" s="83"/>
      <c r="Q49" s="105"/>
      <c r="R49" s="83"/>
      <c r="V49" s="105"/>
      <c r="W49" s="83"/>
      <c r="AB49" s="229"/>
      <c r="AC49" s="83"/>
      <c r="AD49" s="105"/>
      <c r="AE49" s="115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</row>
    <row r="50" spans="1:240" x14ac:dyDescent="0.25">
      <c r="A50" s="311"/>
      <c r="B50" s="20"/>
      <c r="C50" s="14"/>
      <c r="D50" s="27"/>
      <c r="F50" s="35"/>
      <c r="J50" s="31"/>
      <c r="K50" s="13"/>
      <c r="L50" s="35"/>
      <c r="N50" s="35"/>
      <c r="O50" s="35"/>
      <c r="P50" s="35"/>
      <c r="Q50" s="14"/>
      <c r="R50" s="27"/>
      <c r="V50" s="31"/>
      <c r="W50" s="13"/>
      <c r="AB50" s="228"/>
      <c r="AC50" s="13"/>
      <c r="AD50" s="31"/>
      <c r="AE50" s="15"/>
    </row>
    <row r="51" spans="1:240" ht="15.75" thickBot="1" x14ac:dyDescent="0.3">
      <c r="A51" s="312"/>
      <c r="B51" s="20"/>
      <c r="C51" s="14"/>
      <c r="D51" s="27"/>
      <c r="F51" s="35"/>
      <c r="J51" s="31"/>
      <c r="K51" s="13"/>
      <c r="L51" s="35"/>
      <c r="N51" s="35"/>
      <c r="O51" s="35"/>
      <c r="P51" s="35"/>
      <c r="Q51" s="14"/>
      <c r="R51" s="27"/>
      <c r="V51" s="31"/>
      <c r="W51" s="13"/>
      <c r="AB51" s="228"/>
      <c r="AC51" s="13"/>
      <c r="AD51" s="31"/>
      <c r="AE51" s="15"/>
      <c r="AI51">
        <f>0.3*400</f>
        <v>120</v>
      </c>
    </row>
    <row r="52" spans="1:240" ht="21.75" thickBot="1" x14ac:dyDescent="0.3">
      <c r="A52" s="21" t="s">
        <v>23</v>
      </c>
      <c r="B52" s="329"/>
      <c r="C52" s="330"/>
      <c r="D52" s="29">
        <f t="shared" ref="D52:AE52" si="0">SUM(D4:D17)-SUM(D18:D51)</f>
        <v>5550</v>
      </c>
      <c r="E52" s="22">
        <f t="shared" si="0"/>
        <v>2</v>
      </c>
      <c r="F52" s="37">
        <f t="shared" si="0"/>
        <v>4261</v>
      </c>
      <c r="G52" s="24">
        <f t="shared" si="0"/>
        <v>140</v>
      </c>
      <c r="H52" s="24">
        <f t="shared" si="0"/>
        <v>52</v>
      </c>
      <c r="I52" s="24">
        <f t="shared" si="0"/>
        <v>4908</v>
      </c>
      <c r="J52" s="33">
        <f t="shared" si="0"/>
        <v>7500</v>
      </c>
      <c r="K52" s="22">
        <f t="shared" si="0"/>
        <v>10</v>
      </c>
      <c r="L52" s="37">
        <f t="shared" si="0"/>
        <v>655</v>
      </c>
      <c r="M52" s="24">
        <f t="shared" si="0"/>
        <v>181</v>
      </c>
      <c r="N52" s="37">
        <f t="shared" si="0"/>
        <v>2161</v>
      </c>
      <c r="O52" s="37">
        <f t="shared" si="0"/>
        <v>47</v>
      </c>
      <c r="P52" s="37">
        <f t="shared" si="0"/>
        <v>4321</v>
      </c>
      <c r="Q52" s="23">
        <f t="shared" si="0"/>
        <v>3885</v>
      </c>
      <c r="R52" s="29">
        <f t="shared" si="0"/>
        <v>402</v>
      </c>
      <c r="S52" s="29">
        <f t="shared" si="0"/>
        <v>0</v>
      </c>
      <c r="T52" s="29">
        <f t="shared" si="0"/>
        <v>920</v>
      </c>
      <c r="U52" s="107">
        <f t="shared" si="0"/>
        <v>2150</v>
      </c>
      <c r="V52" s="33">
        <f t="shared" si="0"/>
        <v>434</v>
      </c>
      <c r="W52" s="22">
        <f t="shared" si="0"/>
        <v>759</v>
      </c>
      <c r="X52" s="22">
        <f t="shared" si="0"/>
        <v>1000</v>
      </c>
      <c r="Y52" s="22">
        <f t="shared" si="0"/>
        <v>0</v>
      </c>
      <c r="Z52" s="22">
        <f t="shared" si="0"/>
        <v>0</v>
      </c>
      <c r="AA52" s="22">
        <f t="shared" si="0"/>
        <v>170</v>
      </c>
      <c r="AB52" s="230">
        <f t="shared" si="0"/>
        <v>230</v>
      </c>
      <c r="AC52" s="22">
        <f t="shared" si="0"/>
        <v>3088</v>
      </c>
      <c r="AD52" s="33">
        <f t="shared" si="0"/>
        <v>166</v>
      </c>
      <c r="AE52" s="33">
        <f t="shared" si="0"/>
        <v>250</v>
      </c>
    </row>
    <row r="54" spans="1:240" x14ac:dyDescent="0.25">
      <c r="C54" t="s">
        <v>176</v>
      </c>
      <c r="D54">
        <v>0.63</v>
      </c>
      <c r="E54">
        <v>0.55000000000000004</v>
      </c>
      <c r="F54">
        <v>0.71</v>
      </c>
      <c r="G54">
        <v>0.65</v>
      </c>
      <c r="H54">
        <v>0.65</v>
      </c>
      <c r="I54">
        <v>0.66</v>
      </c>
      <c r="J54">
        <v>0.66</v>
      </c>
      <c r="K54">
        <v>0.84</v>
      </c>
      <c r="L54">
        <v>0.84</v>
      </c>
      <c r="M54" s="50">
        <f>0.95+0.1</f>
        <v>1.05</v>
      </c>
      <c r="N54">
        <v>1.02</v>
      </c>
      <c r="O54">
        <v>0.82</v>
      </c>
      <c r="P54">
        <v>0.92</v>
      </c>
      <c r="Q54">
        <v>0.85</v>
      </c>
      <c r="R54">
        <v>2.75</v>
      </c>
      <c r="S54">
        <v>2.6</v>
      </c>
      <c r="T54">
        <v>2.95</v>
      </c>
      <c r="U54">
        <v>2.7</v>
      </c>
      <c r="V54">
        <v>2.4500000000000002</v>
      </c>
      <c r="W54">
        <v>2.8</v>
      </c>
      <c r="X54">
        <v>2.7</v>
      </c>
      <c r="Y54">
        <v>2.9</v>
      </c>
      <c r="Z54">
        <v>2.85</v>
      </c>
      <c r="AA54">
        <v>2.5499999999999998</v>
      </c>
      <c r="AB54">
        <v>3.1</v>
      </c>
      <c r="AC54">
        <v>0.6</v>
      </c>
      <c r="AD54">
        <v>0.47</v>
      </c>
      <c r="AE54" s="109">
        <v>1.9</v>
      </c>
    </row>
    <row r="55" spans="1:240" x14ac:dyDescent="0.25">
      <c r="D55">
        <f>+D52*D54</f>
        <v>3496.5</v>
      </c>
      <c r="E55">
        <f>+E52*E54</f>
        <v>1.1000000000000001</v>
      </c>
      <c r="F55">
        <f t="shared" ref="F55:AE55" si="1">+F52*F54</f>
        <v>3025.31</v>
      </c>
      <c r="G55">
        <f t="shared" si="1"/>
        <v>91</v>
      </c>
      <c r="H55">
        <f t="shared" si="1"/>
        <v>33.800000000000004</v>
      </c>
      <c r="I55">
        <f t="shared" si="1"/>
        <v>3239.28</v>
      </c>
      <c r="J55">
        <f t="shared" si="1"/>
        <v>4950</v>
      </c>
      <c r="K55">
        <f t="shared" si="1"/>
        <v>8.4</v>
      </c>
      <c r="L55">
        <f t="shared" si="1"/>
        <v>550.19999999999993</v>
      </c>
      <c r="M55">
        <f t="shared" si="1"/>
        <v>190.05</v>
      </c>
      <c r="N55">
        <f t="shared" si="1"/>
        <v>2204.2200000000003</v>
      </c>
      <c r="O55">
        <f>O52*O54</f>
        <v>38.54</v>
      </c>
      <c r="P55">
        <f t="shared" si="1"/>
        <v>3975.32</v>
      </c>
      <c r="Q55">
        <f>+Q52*Q54</f>
        <v>3302.25</v>
      </c>
      <c r="R55">
        <f t="shared" si="1"/>
        <v>1105.5</v>
      </c>
      <c r="S55">
        <f t="shared" si="1"/>
        <v>0</v>
      </c>
      <c r="T55">
        <f t="shared" si="1"/>
        <v>2714</v>
      </c>
      <c r="U55">
        <f t="shared" si="1"/>
        <v>5805</v>
      </c>
      <c r="V55">
        <f t="shared" si="1"/>
        <v>1063.3000000000002</v>
      </c>
      <c r="W55">
        <f t="shared" si="1"/>
        <v>2125.1999999999998</v>
      </c>
      <c r="X55">
        <f>+X52*X54</f>
        <v>2700</v>
      </c>
      <c r="Y55">
        <f>+Y52*Y54</f>
        <v>0</v>
      </c>
      <c r="Z55">
        <f>Z52*Z54</f>
        <v>0</v>
      </c>
      <c r="AA55">
        <f>AA52*AA54</f>
        <v>433.49999999999994</v>
      </c>
      <c r="AB55">
        <f t="shared" si="1"/>
        <v>713</v>
      </c>
      <c r="AC55">
        <f t="shared" si="1"/>
        <v>1852.8</v>
      </c>
      <c r="AD55">
        <f t="shared" si="1"/>
        <v>78.02</v>
      </c>
      <c r="AE55">
        <f t="shared" si="1"/>
        <v>475</v>
      </c>
      <c r="AF55" s="52">
        <f>SUM(D55:AE55)</f>
        <v>44171.29</v>
      </c>
    </row>
    <row r="56" spans="1:240" x14ac:dyDescent="0.25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103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spans="1:240" x14ac:dyDescent="0.25"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103"/>
      <c r="V57" s="39"/>
      <c r="W57" s="39"/>
      <c r="X57" s="39"/>
      <c r="Z57" s="39"/>
      <c r="AA57" s="39"/>
      <c r="AB57" s="39"/>
      <c r="AC57" s="39"/>
      <c r="AD57" s="39"/>
      <c r="AE57" s="39"/>
    </row>
    <row r="58" spans="1:240" x14ac:dyDescent="0.25">
      <c r="C58" s="39"/>
      <c r="D58" s="39"/>
      <c r="E58" s="39"/>
      <c r="F58" s="39"/>
      <c r="G58" s="39"/>
      <c r="H58" s="39"/>
      <c r="I58" s="39"/>
    </row>
    <row r="59" spans="1:240" x14ac:dyDescent="0.25">
      <c r="C59" s="39"/>
      <c r="D59" s="39"/>
      <c r="E59" s="39"/>
      <c r="F59" s="39"/>
      <c r="G59" s="39"/>
      <c r="H59" s="39"/>
      <c r="I59" s="39"/>
    </row>
    <row r="60" spans="1:240" x14ac:dyDescent="0.25">
      <c r="C60" s="39"/>
      <c r="D60" s="39"/>
      <c r="E60" s="39"/>
      <c r="F60" s="39"/>
      <c r="G60" s="39"/>
      <c r="H60" s="39"/>
      <c r="I60" s="39"/>
    </row>
    <row r="61" spans="1:240" x14ac:dyDescent="0.25">
      <c r="C61" s="39"/>
      <c r="D61" s="39"/>
      <c r="E61" s="39"/>
      <c r="F61" s="39"/>
      <c r="G61" s="39"/>
      <c r="H61" s="39"/>
      <c r="I61" s="39"/>
      <c r="L61">
        <v>5281</v>
      </c>
    </row>
    <row r="62" spans="1:240" x14ac:dyDescent="0.25">
      <c r="C62" s="105" t="s">
        <v>137</v>
      </c>
    </row>
    <row r="63" spans="1:240" x14ac:dyDescent="0.25">
      <c r="C63" t="s">
        <v>915</v>
      </c>
      <c r="D63">
        <v>10</v>
      </c>
      <c r="AC63">
        <f>470+150</f>
        <v>620</v>
      </c>
    </row>
    <row r="67" spans="10:27" x14ac:dyDescent="0.25">
      <c r="Y67">
        <f>5000*0.59</f>
        <v>2950</v>
      </c>
    </row>
    <row r="70" spans="10:27" x14ac:dyDescent="0.25">
      <c r="K70" t="s">
        <v>1159</v>
      </c>
      <c r="L70" t="s">
        <v>1155</v>
      </c>
      <c r="M70" t="s">
        <v>1156</v>
      </c>
      <c r="N70" t="s">
        <v>223</v>
      </c>
    </row>
    <row r="71" spans="10:27" x14ac:dyDescent="0.25">
      <c r="J71" t="s">
        <v>1157</v>
      </c>
      <c r="K71">
        <v>5281</v>
      </c>
      <c r="L71">
        <v>2546</v>
      </c>
      <c r="M71">
        <v>35</v>
      </c>
      <c r="N71" s="91">
        <v>46178</v>
      </c>
    </row>
    <row r="72" spans="10:27" x14ac:dyDescent="0.25">
      <c r="J72" t="s">
        <v>1158</v>
      </c>
      <c r="K72">
        <v>385</v>
      </c>
      <c r="L72">
        <v>300</v>
      </c>
      <c r="M72">
        <v>-85</v>
      </c>
      <c r="AA72" t="s">
        <v>958</v>
      </c>
    </row>
    <row r="73" spans="10:27" x14ac:dyDescent="0.25">
      <c r="AA73" t="s">
        <v>959</v>
      </c>
    </row>
    <row r="81" spans="3:38" ht="30" customHeight="1" x14ac:dyDescent="0.25"/>
    <row r="84" spans="3:38" x14ac:dyDescent="0.25">
      <c r="C84" s="98" t="s">
        <v>118</v>
      </c>
      <c r="D84">
        <f>5050+180</f>
        <v>5230</v>
      </c>
      <c r="E84">
        <v>140</v>
      </c>
      <c r="F84">
        <f>-310+70+80</f>
        <v>-160</v>
      </c>
      <c r="G84">
        <f>8000+1340-200</f>
        <v>9140</v>
      </c>
    </row>
    <row r="85" spans="3:38" x14ac:dyDescent="0.25">
      <c r="C85" t="s">
        <v>119</v>
      </c>
      <c r="D85">
        <v>6500</v>
      </c>
      <c r="E85">
        <v>6500</v>
      </c>
      <c r="F85">
        <v>6500</v>
      </c>
      <c r="G85">
        <v>6500</v>
      </c>
    </row>
    <row r="86" spans="3:38" x14ac:dyDescent="0.25">
      <c r="C86" t="s">
        <v>120</v>
      </c>
      <c r="D86">
        <v>33280</v>
      </c>
      <c r="E86">
        <v>33280</v>
      </c>
      <c r="F86">
        <f>38060-1480</f>
        <v>36580</v>
      </c>
      <c r="G86">
        <v>27560</v>
      </c>
    </row>
    <row r="87" spans="3:38" x14ac:dyDescent="0.25">
      <c r="C87" t="s">
        <v>123</v>
      </c>
      <c r="D87">
        <v>2960</v>
      </c>
      <c r="E87">
        <v>2960</v>
      </c>
      <c r="F87">
        <f>1150</f>
        <v>1150</v>
      </c>
      <c r="G87">
        <v>1980</v>
      </c>
      <c r="AK87" t="s">
        <v>150</v>
      </c>
      <c r="AL87" t="s">
        <v>151</v>
      </c>
    </row>
    <row r="88" spans="3:38" x14ac:dyDescent="0.25">
      <c r="C88" t="s">
        <v>122</v>
      </c>
      <c r="D88">
        <v>1300</v>
      </c>
      <c r="E88">
        <v>1300</v>
      </c>
      <c r="F88">
        <v>1300</v>
      </c>
      <c r="G88">
        <v>1300</v>
      </c>
      <c r="AK88" t="s">
        <v>152</v>
      </c>
    </row>
    <row r="89" spans="3:38" x14ac:dyDescent="0.25">
      <c r="C89" t="s">
        <v>127</v>
      </c>
      <c r="D89">
        <v>-9815</v>
      </c>
      <c r="E89">
        <v>-4815</v>
      </c>
      <c r="F89">
        <v>-4815</v>
      </c>
      <c r="G89">
        <v>-4815</v>
      </c>
    </row>
    <row r="90" spans="3:38" x14ac:dyDescent="0.25">
      <c r="C90" t="s">
        <v>128</v>
      </c>
      <c r="AK90" t="s">
        <v>153</v>
      </c>
    </row>
    <row r="92" spans="3:38" x14ac:dyDescent="0.25">
      <c r="D92">
        <f>SUM(D84:D91)</f>
        <v>39455</v>
      </c>
      <c r="E92">
        <f>SUM(E84:E89)</f>
        <v>39365</v>
      </c>
      <c r="F92">
        <f>SUM(F84:F89)</f>
        <v>40555</v>
      </c>
      <c r="G92">
        <f>SUM(G84:G89)</f>
        <v>41665</v>
      </c>
    </row>
    <row r="93" spans="3:38" x14ac:dyDescent="0.25">
      <c r="C93" t="s">
        <v>124</v>
      </c>
      <c r="D93">
        <v>100</v>
      </c>
      <c r="E93">
        <v>100</v>
      </c>
      <c r="F93">
        <v>100</v>
      </c>
      <c r="G93">
        <v>100</v>
      </c>
      <c r="AK93">
        <v>24005</v>
      </c>
    </row>
    <row r="94" spans="3:38" x14ac:dyDescent="0.25">
      <c r="C94" t="s">
        <v>125</v>
      </c>
      <c r="D94">
        <f>+D92-D93</f>
        <v>39355</v>
      </c>
      <c r="E94">
        <f>+E92-E93</f>
        <v>39265</v>
      </c>
      <c r="F94">
        <f>+F92-F93</f>
        <v>40455</v>
      </c>
      <c r="G94">
        <f>+G92-G93</f>
        <v>41565</v>
      </c>
      <c r="AK94">
        <v>-24080</v>
      </c>
    </row>
    <row r="95" spans="3:38" x14ac:dyDescent="0.25">
      <c r="G95">
        <f>+G94-F94</f>
        <v>1110</v>
      </c>
      <c r="AK95">
        <f>SUM(AK93:AK94)</f>
        <v>-75</v>
      </c>
    </row>
  </sheetData>
  <mergeCells count="8">
    <mergeCell ref="W2:AA2"/>
    <mergeCell ref="AC2:AD2"/>
    <mergeCell ref="A4:A17"/>
    <mergeCell ref="A18:A51"/>
    <mergeCell ref="B52:C52"/>
    <mergeCell ref="D2:J2"/>
    <mergeCell ref="K2:Q2"/>
    <mergeCell ref="R2:V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8EE7-F7F3-4527-BF9B-AED84B4E3763}">
  <dimension ref="A1:IG82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3" sqref="A33:XFD33"/>
    </sheetView>
  </sheetViews>
  <sheetFormatPr baseColWidth="10" defaultRowHeight="15" x14ac:dyDescent="0.25"/>
  <cols>
    <col min="1" max="1" width="14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14" customWidth="1"/>
    <col min="10" max="10" width="13.28515625" customWidth="1"/>
    <col min="11" max="11" width="16" customWidth="1"/>
    <col min="12" max="12" width="11.28515625" customWidth="1"/>
    <col min="13" max="13" width="10.140625" customWidth="1"/>
    <col min="14" max="15" width="12" customWidth="1"/>
    <col min="16" max="16" width="11.28515625" customWidth="1"/>
    <col min="17" max="17" width="10.42578125" bestFit="1" customWidth="1"/>
    <col min="18" max="18" width="8.7109375" bestFit="1" customWidth="1"/>
    <col min="19" max="19" width="10.5703125" customWidth="1"/>
    <col min="20" max="20" width="8.7109375" customWidth="1"/>
    <col min="21" max="21" width="11.28515625" customWidth="1"/>
    <col min="22" max="22" width="10.85546875" customWidth="1"/>
    <col min="23" max="23" width="10.7109375" customWidth="1"/>
    <col min="24" max="24" width="18.5703125" customWidth="1"/>
    <col min="25" max="25" width="10.7109375" customWidth="1"/>
    <col min="26" max="27" width="13.5703125" customWidth="1"/>
    <col min="28" max="28" width="22" customWidth="1"/>
    <col min="29" max="29" width="14.42578125" customWidth="1"/>
    <col min="30" max="30" width="9.85546875" customWidth="1"/>
    <col min="31" max="31" width="17.28515625" customWidth="1"/>
    <col min="32" max="32" width="17.140625" customWidth="1"/>
    <col min="33" max="33" width="19" customWidth="1"/>
    <col min="36" max="36" width="15.140625" customWidth="1"/>
  </cols>
  <sheetData>
    <row r="1" spans="1:32" ht="33" customHeight="1" thickBot="1" x14ac:dyDescent="0.3"/>
    <row r="2" spans="1:32" ht="28.5" customHeight="1" thickBot="1" x14ac:dyDescent="0.5">
      <c r="B2" s="1"/>
      <c r="C2" s="2"/>
      <c r="D2" s="308" t="s">
        <v>0</v>
      </c>
      <c r="E2" s="313"/>
      <c r="F2" s="313"/>
      <c r="G2" s="313"/>
      <c r="H2" s="313"/>
      <c r="I2" s="313"/>
      <c r="J2" s="309"/>
      <c r="K2" s="308" t="s">
        <v>1</v>
      </c>
      <c r="L2" s="313"/>
      <c r="M2" s="313"/>
      <c r="N2" s="313"/>
      <c r="O2" s="313"/>
      <c r="P2" s="313"/>
      <c r="Q2" s="309"/>
      <c r="R2" s="308" t="s">
        <v>2</v>
      </c>
      <c r="S2" s="313"/>
      <c r="T2" s="313"/>
      <c r="U2" s="313"/>
      <c r="V2" s="309"/>
      <c r="W2" s="308" t="s">
        <v>3</v>
      </c>
      <c r="X2" s="313"/>
      <c r="Y2" s="313"/>
      <c r="Z2" s="313"/>
      <c r="AA2" s="313"/>
      <c r="AB2" s="225" t="s">
        <v>799</v>
      </c>
      <c r="AC2" s="308" t="s">
        <v>4</v>
      </c>
      <c r="AD2" s="309"/>
      <c r="AE2" s="331" t="s">
        <v>91</v>
      </c>
      <c r="AF2" s="332"/>
    </row>
    <row r="3" spans="1:32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7" t="s">
        <v>838</v>
      </c>
      <c r="J3" s="8" t="s">
        <v>11</v>
      </c>
      <c r="K3" s="9" t="s">
        <v>394</v>
      </c>
      <c r="L3" s="7" t="s">
        <v>11</v>
      </c>
      <c r="M3" s="7" t="s">
        <v>12</v>
      </c>
      <c r="N3" s="7" t="s">
        <v>13</v>
      </c>
      <c r="O3" s="7" t="s">
        <v>182</v>
      </c>
      <c r="P3" s="7" t="s">
        <v>15</v>
      </c>
      <c r="Q3" s="8" t="s">
        <v>136</v>
      </c>
      <c r="R3" s="6" t="s">
        <v>12</v>
      </c>
      <c r="S3" s="7" t="s">
        <v>69</v>
      </c>
      <c r="T3" s="7" t="s">
        <v>13</v>
      </c>
      <c r="U3" s="7" t="s">
        <v>16</v>
      </c>
      <c r="V3" s="8" t="s">
        <v>162</v>
      </c>
      <c r="W3" s="6" t="s">
        <v>16</v>
      </c>
      <c r="X3" s="7" t="s">
        <v>1271</v>
      </c>
      <c r="Y3" s="7" t="s">
        <v>12</v>
      </c>
      <c r="Z3" s="7" t="s">
        <v>13</v>
      </c>
      <c r="AA3" s="7" t="s">
        <v>8</v>
      </c>
      <c r="AB3" s="226" t="s">
        <v>800</v>
      </c>
      <c r="AC3" s="6" t="s">
        <v>17</v>
      </c>
      <c r="AD3" s="8" t="s">
        <v>18</v>
      </c>
      <c r="AE3" s="8" t="s">
        <v>1327</v>
      </c>
      <c r="AF3" s="10" t="s">
        <v>92</v>
      </c>
    </row>
    <row r="4" spans="1:32" x14ac:dyDescent="0.25">
      <c r="A4" s="310" t="s">
        <v>19</v>
      </c>
      <c r="B4" s="49"/>
      <c r="C4" s="2"/>
      <c r="D4" s="42">
        <v>5550</v>
      </c>
      <c r="E4" s="42">
        <v>2</v>
      </c>
      <c r="F4" s="42">
        <v>4261</v>
      </c>
      <c r="G4" s="42">
        <v>140</v>
      </c>
      <c r="H4" s="42">
        <v>52</v>
      </c>
      <c r="I4" s="42">
        <v>4908</v>
      </c>
      <c r="J4" s="42">
        <v>7500</v>
      </c>
      <c r="K4" s="42">
        <v>10</v>
      </c>
      <c r="L4" s="42">
        <v>655</v>
      </c>
      <c r="M4" s="42">
        <v>181</v>
      </c>
      <c r="N4" s="42">
        <v>2161</v>
      </c>
      <c r="O4" s="42">
        <v>47</v>
      </c>
      <c r="P4" s="42">
        <v>4321</v>
      </c>
      <c r="Q4" s="42">
        <v>3885</v>
      </c>
      <c r="R4" s="42">
        <v>402</v>
      </c>
      <c r="S4" s="42"/>
      <c r="T4" s="42">
        <v>920</v>
      </c>
      <c r="U4" s="42">
        <v>2150</v>
      </c>
      <c r="V4" s="42">
        <v>434</v>
      </c>
      <c r="W4" s="42">
        <v>759</v>
      </c>
      <c r="X4" s="42">
        <v>1000</v>
      </c>
      <c r="Y4" s="42">
        <v>0</v>
      </c>
      <c r="Z4" s="42">
        <v>0</v>
      </c>
      <c r="AA4" s="42">
        <v>170</v>
      </c>
      <c r="AB4" s="227">
        <v>230</v>
      </c>
      <c r="AC4" s="42">
        <v>3088</v>
      </c>
      <c r="AD4" s="42">
        <v>166</v>
      </c>
      <c r="AE4" s="42"/>
      <c r="AF4" s="42">
        <v>250</v>
      </c>
    </row>
    <row r="5" spans="1:32" x14ac:dyDescent="0.25">
      <c r="A5" s="311"/>
      <c r="B5" s="20"/>
      <c r="C5" s="82"/>
      <c r="D5" s="27"/>
      <c r="F5" s="35"/>
      <c r="J5" s="31"/>
      <c r="K5" s="13"/>
      <c r="L5" s="35"/>
      <c r="N5" s="35"/>
      <c r="O5" s="35"/>
      <c r="P5" s="35"/>
      <c r="Q5" s="14"/>
      <c r="R5" s="27"/>
      <c r="V5" s="31"/>
      <c r="W5" s="13"/>
      <c r="AB5" s="228"/>
      <c r="AC5" s="13"/>
      <c r="AD5" s="31"/>
      <c r="AE5" s="31"/>
      <c r="AF5" s="15"/>
    </row>
    <row r="6" spans="1:32" x14ac:dyDescent="0.25">
      <c r="A6" s="311"/>
      <c r="B6" s="20">
        <v>46195</v>
      </c>
      <c r="C6" s="82" t="s">
        <v>46</v>
      </c>
      <c r="D6" s="27"/>
      <c r="F6" s="35"/>
      <c r="J6" s="31"/>
      <c r="K6" s="13"/>
      <c r="L6" s="35"/>
      <c r="N6" s="35"/>
      <c r="O6" s="35"/>
      <c r="P6" s="35">
        <v>3000</v>
      </c>
      <c r="Q6" s="14"/>
      <c r="R6" s="27"/>
      <c r="V6" s="31"/>
      <c r="W6" s="13"/>
      <c r="AB6" s="228"/>
      <c r="AC6" s="13"/>
      <c r="AD6" s="31"/>
      <c r="AE6" s="31"/>
      <c r="AF6" s="15"/>
    </row>
    <row r="7" spans="1:32" x14ac:dyDescent="0.25">
      <c r="A7" s="311"/>
      <c r="B7" s="20">
        <v>46195</v>
      </c>
      <c r="C7" s="82" t="s">
        <v>27</v>
      </c>
      <c r="D7" s="27"/>
      <c r="F7" s="35"/>
      <c r="J7" s="31"/>
      <c r="K7" s="13"/>
      <c r="L7" s="35"/>
      <c r="N7" s="35"/>
      <c r="O7" s="35"/>
      <c r="P7" s="35"/>
      <c r="Q7" s="14"/>
      <c r="R7" s="27"/>
      <c r="U7">
        <v>400</v>
      </c>
      <c r="V7" s="31"/>
      <c r="W7" s="13"/>
      <c r="AB7" s="228"/>
      <c r="AC7" s="13"/>
      <c r="AD7" s="31"/>
      <c r="AE7" s="31"/>
      <c r="AF7" s="15"/>
    </row>
    <row r="8" spans="1:32" x14ac:dyDescent="0.25">
      <c r="A8" s="311"/>
      <c r="B8" s="20">
        <v>46196</v>
      </c>
      <c r="C8" s="82" t="s">
        <v>1309</v>
      </c>
      <c r="D8" s="27"/>
      <c r="F8" s="35"/>
      <c r="J8" s="31"/>
      <c r="K8" s="13"/>
      <c r="L8" s="35"/>
      <c r="N8" s="35"/>
      <c r="O8" s="35"/>
      <c r="P8" s="35"/>
      <c r="Q8" s="14"/>
      <c r="R8" s="27"/>
      <c r="V8" s="31"/>
      <c r="W8" s="13"/>
      <c r="AA8">
        <v>250</v>
      </c>
      <c r="AB8" s="228"/>
      <c r="AC8" s="13"/>
      <c r="AD8" s="31"/>
      <c r="AE8" s="31"/>
      <c r="AF8" s="15"/>
    </row>
    <row r="9" spans="1:32" x14ac:dyDescent="0.25">
      <c r="A9" s="311"/>
      <c r="B9" s="20">
        <v>46197</v>
      </c>
      <c r="C9" s="82" t="s">
        <v>46</v>
      </c>
      <c r="D9" s="27"/>
      <c r="F9" s="35"/>
      <c r="J9" s="31"/>
      <c r="K9" s="13"/>
      <c r="L9" s="35"/>
      <c r="N9" s="35"/>
      <c r="O9" s="35"/>
      <c r="P9" s="35"/>
      <c r="Q9" s="14"/>
      <c r="R9" s="27"/>
      <c r="V9" s="31"/>
      <c r="W9" s="13">
        <v>100</v>
      </c>
      <c r="AB9" s="228"/>
      <c r="AC9" s="13"/>
      <c r="AD9" s="31"/>
      <c r="AE9" s="31"/>
      <c r="AF9" s="15"/>
    </row>
    <row r="10" spans="1:32" x14ac:dyDescent="0.25">
      <c r="A10" s="311"/>
      <c r="B10" s="20">
        <v>46197</v>
      </c>
      <c r="C10" s="82" t="s">
        <v>46</v>
      </c>
      <c r="D10" s="27"/>
      <c r="F10" s="35"/>
      <c r="J10" s="31"/>
      <c r="K10" s="13"/>
      <c r="L10" s="35"/>
      <c r="N10" s="35"/>
      <c r="O10" s="35"/>
      <c r="P10" s="35"/>
      <c r="Q10" s="14">
        <v>3000</v>
      </c>
      <c r="R10" s="27"/>
      <c r="V10" s="31"/>
      <c r="W10" s="13"/>
      <c r="AB10" s="228"/>
      <c r="AC10" s="13"/>
      <c r="AD10" s="31"/>
      <c r="AE10" s="31"/>
      <c r="AF10" s="15"/>
    </row>
    <row r="11" spans="1:32" ht="16.5" customHeight="1" x14ac:dyDescent="0.25">
      <c r="A11" s="311"/>
      <c r="B11" s="160">
        <v>46195</v>
      </c>
      <c r="C11" s="82" t="s">
        <v>1328</v>
      </c>
      <c r="D11" s="27"/>
      <c r="F11" s="35"/>
      <c r="J11" s="31"/>
      <c r="K11" s="13"/>
      <c r="L11" s="35"/>
      <c r="N11" s="35"/>
      <c r="O11" s="35"/>
      <c r="P11" s="35"/>
      <c r="Q11" s="14"/>
      <c r="R11" s="27"/>
      <c r="V11" s="31"/>
      <c r="W11" s="13"/>
      <c r="AB11" s="228"/>
      <c r="AC11" s="13"/>
      <c r="AD11" s="31"/>
      <c r="AE11" s="31">
        <v>200</v>
      </c>
      <c r="AF11" s="15"/>
    </row>
    <row r="12" spans="1:32" x14ac:dyDescent="0.25">
      <c r="A12" s="311"/>
      <c r="B12" s="160">
        <v>46197</v>
      </c>
      <c r="C12" s="82" t="s">
        <v>1341</v>
      </c>
      <c r="D12" s="27"/>
      <c r="F12" s="35"/>
      <c r="J12" s="31"/>
      <c r="K12" s="13"/>
      <c r="L12" s="35"/>
      <c r="N12" s="35"/>
      <c r="O12" s="35"/>
      <c r="P12" s="35"/>
      <c r="Q12" s="14"/>
      <c r="R12" s="27"/>
      <c r="V12" s="31"/>
      <c r="W12" s="13"/>
      <c r="AA12">
        <v>10</v>
      </c>
      <c r="AB12" s="228"/>
      <c r="AC12" s="13"/>
      <c r="AD12" s="31"/>
      <c r="AE12" s="31"/>
      <c r="AF12" s="15"/>
    </row>
    <row r="13" spans="1:32" x14ac:dyDescent="0.25">
      <c r="A13" s="311"/>
      <c r="B13" s="160">
        <v>46198</v>
      </c>
      <c r="C13" s="82" t="s">
        <v>1342</v>
      </c>
      <c r="D13" s="27"/>
      <c r="F13" s="35"/>
      <c r="J13" s="31"/>
      <c r="K13" s="13"/>
      <c r="L13" s="35"/>
      <c r="N13" s="35"/>
      <c r="O13" s="35"/>
      <c r="P13" s="35"/>
      <c r="Q13" s="14"/>
      <c r="R13" s="27"/>
      <c r="V13" s="31"/>
      <c r="W13" s="13"/>
      <c r="AA13">
        <v>375</v>
      </c>
      <c r="AB13" s="228"/>
      <c r="AC13" s="13"/>
      <c r="AD13" s="31"/>
      <c r="AE13" s="31"/>
      <c r="AF13" s="15"/>
    </row>
    <row r="14" spans="1:32" x14ac:dyDescent="0.25">
      <c r="A14" s="311"/>
      <c r="B14" s="160">
        <v>46199</v>
      </c>
      <c r="C14" s="82" t="s">
        <v>46</v>
      </c>
      <c r="D14" s="27"/>
      <c r="F14" s="35"/>
      <c r="J14" s="31">
        <v>4000</v>
      </c>
      <c r="K14" s="13"/>
      <c r="L14" s="35"/>
      <c r="N14" s="35"/>
      <c r="O14" s="35"/>
      <c r="P14" s="35"/>
      <c r="Q14" s="14"/>
      <c r="R14" s="27"/>
      <c r="V14" s="31"/>
      <c r="W14" s="13"/>
      <c r="AB14" s="228"/>
      <c r="AC14" s="13"/>
      <c r="AD14" s="31"/>
      <c r="AE14" s="31"/>
      <c r="AF14" s="15"/>
    </row>
    <row r="15" spans="1:32" x14ac:dyDescent="0.25">
      <c r="A15" s="311"/>
      <c r="B15" s="160">
        <v>46199</v>
      </c>
      <c r="C15" s="82" t="s">
        <v>46</v>
      </c>
      <c r="D15" s="27"/>
      <c r="F15" s="35"/>
      <c r="J15" s="31"/>
      <c r="K15" s="13"/>
      <c r="L15" s="35"/>
      <c r="N15" s="35"/>
      <c r="O15" s="35"/>
      <c r="P15" s="35"/>
      <c r="Q15" s="14"/>
      <c r="R15" s="27"/>
      <c r="V15" s="31"/>
      <c r="W15" s="13">
        <v>1000</v>
      </c>
      <c r="AB15" s="228"/>
      <c r="AC15" s="13"/>
      <c r="AD15" s="31"/>
      <c r="AE15" s="31"/>
      <c r="AF15" s="15"/>
    </row>
    <row r="16" spans="1:32" x14ac:dyDescent="0.25">
      <c r="A16" s="311"/>
      <c r="B16" s="160">
        <v>46200</v>
      </c>
      <c r="C16" s="82" t="s">
        <v>46</v>
      </c>
      <c r="D16" s="27"/>
      <c r="F16" s="35"/>
      <c r="J16" s="31"/>
      <c r="K16" s="13"/>
      <c r="L16" s="35"/>
      <c r="N16" s="35"/>
      <c r="O16" s="35"/>
      <c r="P16" s="35"/>
      <c r="Q16" s="14"/>
      <c r="R16" s="27"/>
      <c r="V16" s="31"/>
      <c r="W16" s="13"/>
      <c r="AB16" s="228"/>
      <c r="AC16" s="13"/>
      <c r="AD16" s="31">
        <v>650</v>
      </c>
      <c r="AE16" s="31"/>
      <c r="AF16" s="15"/>
    </row>
    <row r="17" spans="1:32" x14ac:dyDescent="0.25">
      <c r="A17" s="311"/>
      <c r="B17" s="160"/>
      <c r="C17" s="82"/>
      <c r="D17" s="27"/>
      <c r="F17" s="35"/>
      <c r="J17" s="31"/>
      <c r="K17" s="13"/>
      <c r="L17" s="35"/>
      <c r="N17" s="35"/>
      <c r="O17" s="35"/>
      <c r="P17" s="35"/>
      <c r="Q17" s="14"/>
      <c r="R17" s="27"/>
      <c r="V17" s="31"/>
      <c r="W17" s="13"/>
      <c r="AB17" s="228"/>
      <c r="AC17" s="13"/>
      <c r="AD17" s="31"/>
      <c r="AE17" s="31"/>
      <c r="AF17" s="15"/>
    </row>
    <row r="18" spans="1:32" ht="13.5" customHeight="1" thickBot="1" x14ac:dyDescent="0.3">
      <c r="A18" s="311"/>
      <c r="B18" s="72"/>
      <c r="C18" s="231"/>
      <c r="D18" s="28"/>
      <c r="E18" s="18"/>
      <c r="F18" s="36"/>
      <c r="G18" s="18"/>
      <c r="H18" s="18"/>
      <c r="I18" s="18"/>
      <c r="J18" s="32"/>
      <c r="K18" s="16"/>
      <c r="L18" s="36"/>
      <c r="M18" s="18"/>
      <c r="N18" s="36"/>
      <c r="O18" s="36"/>
      <c r="P18" s="36"/>
      <c r="Q18" s="17"/>
      <c r="R18" s="28"/>
      <c r="S18" s="18"/>
      <c r="T18" s="18"/>
      <c r="U18" s="18"/>
      <c r="V18" s="32"/>
      <c r="W18" s="16"/>
      <c r="X18" s="18"/>
      <c r="Y18" s="18"/>
      <c r="Z18" s="18"/>
      <c r="AA18" s="18"/>
      <c r="AB18" s="232"/>
      <c r="AC18" s="16"/>
      <c r="AD18" s="32"/>
      <c r="AE18" s="32"/>
      <c r="AF18" s="19"/>
    </row>
    <row r="19" spans="1:32" x14ac:dyDescent="0.25">
      <c r="A19" s="310" t="s">
        <v>62</v>
      </c>
      <c r="B19" s="160"/>
      <c r="C19" s="14"/>
      <c r="D19" s="27"/>
      <c r="F19" s="35"/>
      <c r="J19" s="31"/>
      <c r="K19" s="13"/>
      <c r="L19" s="35"/>
      <c r="N19" s="35"/>
      <c r="O19" s="35"/>
      <c r="P19" s="35"/>
      <c r="Q19" s="14"/>
      <c r="R19" s="27"/>
      <c r="V19" s="31"/>
      <c r="W19" s="13"/>
      <c r="AB19" s="228"/>
      <c r="AC19" s="13"/>
      <c r="AD19" s="31"/>
      <c r="AE19" s="31"/>
      <c r="AF19" s="15"/>
    </row>
    <row r="20" spans="1:32" x14ac:dyDescent="0.25">
      <c r="A20" s="311"/>
      <c r="B20" s="20">
        <v>46194</v>
      </c>
      <c r="C20" s="14" t="s">
        <v>1295</v>
      </c>
      <c r="D20" s="27"/>
      <c r="F20" s="35"/>
      <c r="J20" s="31"/>
      <c r="K20" s="13"/>
      <c r="L20" s="35"/>
      <c r="N20" s="35"/>
      <c r="O20" s="35"/>
      <c r="P20" s="35"/>
      <c r="Q20" s="14"/>
      <c r="R20" s="27"/>
      <c r="V20" s="31"/>
      <c r="W20" s="13"/>
      <c r="AB20" s="228"/>
      <c r="AC20" s="13"/>
      <c r="AD20" s="31">
        <v>80</v>
      </c>
      <c r="AE20" s="31"/>
      <c r="AF20" s="15"/>
    </row>
    <row r="21" spans="1:32" ht="16.5" customHeight="1" x14ac:dyDescent="0.25">
      <c r="A21" s="311"/>
      <c r="B21" s="20">
        <v>46195</v>
      </c>
      <c r="C21" s="82" t="s">
        <v>1294</v>
      </c>
      <c r="D21" s="27"/>
      <c r="F21" s="35"/>
      <c r="J21" s="31"/>
      <c r="K21" s="13"/>
      <c r="L21" s="35"/>
      <c r="N21" s="35"/>
      <c r="O21" s="35"/>
      <c r="P21" s="35"/>
      <c r="Q21" s="14">
        <v>1500</v>
      </c>
      <c r="R21" s="27"/>
      <c r="V21" s="31"/>
      <c r="W21" s="13"/>
      <c r="AB21" s="228"/>
      <c r="AC21" s="13"/>
      <c r="AD21" s="31"/>
      <c r="AE21" s="31"/>
      <c r="AF21" s="15"/>
    </row>
    <row r="22" spans="1:32" ht="16.5" customHeight="1" x14ac:dyDescent="0.25">
      <c r="A22" s="311"/>
      <c r="B22" s="20">
        <v>46195</v>
      </c>
      <c r="C22" s="14" t="s">
        <v>1213</v>
      </c>
      <c r="D22" s="27"/>
      <c r="F22" s="35"/>
      <c r="J22" s="31"/>
      <c r="K22" s="13"/>
      <c r="L22" s="35"/>
      <c r="N22" s="35"/>
      <c r="O22" s="35"/>
      <c r="P22" s="35"/>
      <c r="Q22" s="14"/>
      <c r="R22" s="27"/>
      <c r="V22" s="31"/>
      <c r="W22" s="13">
        <v>400</v>
      </c>
      <c r="AB22" s="228"/>
      <c r="AC22" s="13"/>
      <c r="AD22" s="31"/>
      <c r="AE22" s="31"/>
      <c r="AF22" s="15"/>
    </row>
    <row r="23" spans="1:32" ht="16.5" customHeight="1" x14ac:dyDescent="0.25">
      <c r="A23" s="311"/>
      <c r="B23" s="20">
        <v>46196</v>
      </c>
      <c r="C23" s="14" t="s">
        <v>925</v>
      </c>
      <c r="D23" s="27"/>
      <c r="F23" s="35"/>
      <c r="J23" s="31"/>
      <c r="K23" s="13"/>
      <c r="L23" s="35"/>
      <c r="N23" s="35"/>
      <c r="O23" s="35"/>
      <c r="P23" s="35"/>
      <c r="Q23" s="14">
        <v>1000</v>
      </c>
      <c r="R23" s="27"/>
      <c r="V23" s="31"/>
      <c r="W23" s="13"/>
      <c r="AB23" s="228"/>
      <c r="AC23" s="13"/>
      <c r="AD23" s="31"/>
      <c r="AE23" s="31"/>
      <c r="AF23" s="15"/>
    </row>
    <row r="24" spans="1:32" ht="16.5" customHeight="1" x14ac:dyDescent="0.25">
      <c r="A24" s="311"/>
      <c r="B24" s="20">
        <v>46196</v>
      </c>
      <c r="C24" s="14" t="s">
        <v>1310</v>
      </c>
      <c r="D24" s="27">
        <v>1000</v>
      </c>
      <c r="F24" s="35"/>
      <c r="J24" s="31"/>
      <c r="K24" s="13"/>
      <c r="L24" s="35"/>
      <c r="N24" s="35"/>
      <c r="O24" s="35"/>
      <c r="P24" s="35"/>
      <c r="Q24" s="14"/>
      <c r="R24" s="27"/>
      <c r="V24" s="31"/>
      <c r="W24" s="13"/>
      <c r="AB24" s="228"/>
      <c r="AC24" s="13"/>
      <c r="AD24" s="31"/>
      <c r="AE24" s="31"/>
      <c r="AF24" s="15"/>
    </row>
    <row r="25" spans="1:32" ht="16.5" customHeight="1" x14ac:dyDescent="0.25">
      <c r="A25" s="311"/>
      <c r="B25" s="20">
        <v>46197</v>
      </c>
      <c r="C25" s="14" t="s">
        <v>1321</v>
      </c>
      <c r="D25" s="27"/>
      <c r="F25" s="35"/>
      <c r="J25" s="31"/>
      <c r="K25" s="13"/>
      <c r="L25" s="35"/>
      <c r="N25" s="35"/>
      <c r="O25" s="35"/>
      <c r="P25" s="35"/>
      <c r="Q25" s="14"/>
      <c r="R25" s="27"/>
      <c r="V25" s="31"/>
      <c r="W25" s="13"/>
      <c r="AB25" s="228"/>
      <c r="AC25" s="13">
        <v>500</v>
      </c>
      <c r="AD25" s="31"/>
      <c r="AE25" s="31"/>
      <c r="AF25" s="15"/>
    </row>
    <row r="26" spans="1:32" ht="16.5" customHeight="1" x14ac:dyDescent="0.25">
      <c r="A26" s="311"/>
      <c r="B26" s="20">
        <v>46197</v>
      </c>
      <c r="C26" s="14" t="s">
        <v>1332</v>
      </c>
      <c r="D26" s="27"/>
      <c r="F26" s="35"/>
      <c r="J26" s="31">
        <v>180</v>
      </c>
      <c r="K26" s="13"/>
      <c r="L26" s="35"/>
      <c r="N26" s="35"/>
      <c r="O26" s="35"/>
      <c r="P26" s="35"/>
      <c r="Q26" s="14"/>
      <c r="R26" s="27"/>
      <c r="V26" s="31"/>
      <c r="W26" s="13"/>
      <c r="AB26" s="228"/>
      <c r="AC26" s="13"/>
      <c r="AD26" s="31"/>
      <c r="AE26" s="31"/>
      <c r="AF26" s="15"/>
    </row>
    <row r="27" spans="1:32" ht="16.5" customHeight="1" x14ac:dyDescent="0.25">
      <c r="A27" s="311"/>
      <c r="B27" s="20">
        <v>46198</v>
      </c>
      <c r="C27" s="14" t="s">
        <v>1346</v>
      </c>
      <c r="D27" s="27"/>
      <c r="F27" s="35"/>
      <c r="J27" s="31"/>
      <c r="K27" s="13"/>
      <c r="L27" s="35"/>
      <c r="N27" s="35"/>
      <c r="O27" s="35"/>
      <c r="P27" s="35"/>
      <c r="Q27" s="14"/>
      <c r="R27" s="27"/>
      <c r="V27" s="31"/>
      <c r="W27" s="13"/>
      <c r="AB27" s="228"/>
      <c r="AC27" s="13">
        <v>250</v>
      </c>
      <c r="AD27" s="31"/>
      <c r="AE27" s="31"/>
      <c r="AF27" s="15"/>
    </row>
    <row r="28" spans="1:32" ht="16.5" customHeight="1" x14ac:dyDescent="0.25">
      <c r="A28" s="311"/>
      <c r="B28" s="20">
        <v>46198</v>
      </c>
      <c r="C28" s="14" t="s">
        <v>1129</v>
      </c>
      <c r="D28" s="27"/>
      <c r="F28" s="35"/>
      <c r="J28" s="31"/>
      <c r="K28" s="13"/>
      <c r="L28" s="35"/>
      <c r="N28" s="35"/>
      <c r="O28" s="35"/>
      <c r="P28" s="35"/>
      <c r="Q28" s="14">
        <v>1000</v>
      </c>
      <c r="R28" s="27"/>
      <c r="V28" s="31"/>
      <c r="W28" s="13"/>
      <c r="AB28" s="228"/>
      <c r="AC28" s="13"/>
      <c r="AD28" s="31"/>
      <c r="AE28" s="31"/>
      <c r="AF28" s="15"/>
    </row>
    <row r="29" spans="1:32" ht="16.5" customHeight="1" x14ac:dyDescent="0.25">
      <c r="A29" s="311"/>
      <c r="B29" s="20">
        <v>46198</v>
      </c>
      <c r="C29" s="14" t="s">
        <v>1359</v>
      </c>
      <c r="D29" s="27"/>
      <c r="F29" s="35"/>
      <c r="J29" s="31"/>
      <c r="K29" s="13"/>
      <c r="L29" s="35">
        <v>150</v>
      </c>
      <c r="N29" s="35"/>
      <c r="O29" s="35"/>
      <c r="P29" s="35"/>
      <c r="Q29" s="14"/>
      <c r="R29" s="27"/>
      <c r="V29" s="31"/>
      <c r="W29" s="13"/>
      <c r="AB29" s="228"/>
      <c r="AC29" s="13"/>
      <c r="AD29" s="31"/>
      <c r="AE29" s="31"/>
      <c r="AF29" s="15"/>
    </row>
    <row r="30" spans="1:32" ht="16.5" customHeight="1" x14ac:dyDescent="0.25">
      <c r="A30" s="311"/>
      <c r="B30" s="20">
        <v>46199</v>
      </c>
      <c r="C30" s="14" t="s">
        <v>1360</v>
      </c>
      <c r="D30" s="27"/>
      <c r="F30" s="35"/>
      <c r="J30" s="31"/>
      <c r="K30" s="13"/>
      <c r="L30" s="35"/>
      <c r="N30" s="35"/>
      <c r="O30" s="35"/>
      <c r="P30" s="35"/>
      <c r="Q30" s="14">
        <v>800</v>
      </c>
      <c r="R30" s="27"/>
      <c r="V30" s="31"/>
      <c r="W30" s="13"/>
      <c r="AB30" s="228"/>
      <c r="AC30" s="13"/>
      <c r="AD30" s="31"/>
      <c r="AE30" s="31"/>
      <c r="AF30" s="15"/>
    </row>
    <row r="31" spans="1:32" ht="16.5" customHeight="1" x14ac:dyDescent="0.25">
      <c r="A31" s="311"/>
      <c r="B31" s="20">
        <v>46199</v>
      </c>
      <c r="C31" s="14" t="s">
        <v>883</v>
      </c>
      <c r="D31" s="27"/>
      <c r="F31" s="35"/>
      <c r="J31" s="31"/>
      <c r="K31" s="13"/>
      <c r="L31" s="35"/>
      <c r="N31" s="35"/>
      <c r="O31" s="35"/>
      <c r="P31" s="35"/>
      <c r="Q31" s="14"/>
      <c r="R31" s="27"/>
      <c r="V31" s="31"/>
      <c r="W31" s="13"/>
      <c r="AB31" s="228"/>
      <c r="AC31" s="13">
        <v>2000</v>
      </c>
      <c r="AD31" s="31"/>
      <c r="AE31" s="31"/>
      <c r="AF31" s="15"/>
    </row>
    <row r="32" spans="1:32" ht="16.5" customHeight="1" x14ac:dyDescent="0.25">
      <c r="A32" s="311"/>
      <c r="B32" s="20">
        <v>46200</v>
      </c>
      <c r="C32" s="14" t="s">
        <v>1224</v>
      </c>
      <c r="D32" s="27"/>
      <c r="F32" s="35"/>
      <c r="J32" s="31"/>
      <c r="K32" s="13"/>
      <c r="L32" s="35"/>
      <c r="N32" s="35"/>
      <c r="O32" s="35"/>
      <c r="P32" s="35">
        <v>1000</v>
      </c>
      <c r="Q32" s="14"/>
      <c r="R32" s="27"/>
      <c r="V32" s="31"/>
      <c r="W32" s="13"/>
      <c r="AB32" s="228"/>
      <c r="AC32" s="13"/>
      <c r="AD32" s="31"/>
      <c r="AE32" s="31"/>
      <c r="AF32" s="15"/>
    </row>
    <row r="33" spans="1:241" ht="16.5" customHeight="1" x14ac:dyDescent="0.25">
      <c r="A33" s="311"/>
      <c r="B33" s="20">
        <v>46200</v>
      </c>
      <c r="C33" s="14" t="s">
        <v>1369</v>
      </c>
      <c r="D33" s="27"/>
      <c r="F33" s="35"/>
      <c r="J33" s="31"/>
      <c r="K33" s="13"/>
      <c r="L33" s="35"/>
      <c r="N33" s="35"/>
      <c r="O33" s="35"/>
      <c r="P33" s="35">
        <v>1000</v>
      </c>
      <c r="Q33" s="14"/>
      <c r="R33" s="27"/>
      <c r="V33" s="31"/>
      <c r="W33" s="13"/>
      <c r="AB33" s="228"/>
      <c r="AC33" s="13"/>
      <c r="AD33" s="31"/>
      <c r="AE33" s="31"/>
      <c r="AF33" s="15"/>
    </row>
    <row r="34" spans="1:241" ht="16.5" customHeight="1" x14ac:dyDescent="0.25">
      <c r="A34" s="311"/>
      <c r="B34" s="20"/>
      <c r="C34" s="14"/>
      <c r="D34" s="27"/>
      <c r="F34" s="35"/>
      <c r="J34" s="31"/>
      <c r="K34" s="13"/>
      <c r="L34" s="35"/>
      <c r="N34" s="35"/>
      <c r="O34" s="35"/>
      <c r="P34" s="35"/>
      <c r="Q34" s="14"/>
      <c r="R34" s="27"/>
      <c r="V34" s="31"/>
      <c r="W34" s="13"/>
      <c r="AB34" s="228"/>
      <c r="AC34" s="13"/>
      <c r="AD34" s="31"/>
      <c r="AE34" s="31"/>
      <c r="AF34" s="15"/>
    </row>
    <row r="35" spans="1:241" ht="16.5" customHeight="1" x14ac:dyDescent="0.25">
      <c r="A35" s="311"/>
      <c r="B35" s="20"/>
      <c r="C35" s="14"/>
      <c r="D35" s="27"/>
      <c r="F35" s="35"/>
      <c r="J35" s="31"/>
      <c r="K35" s="13"/>
      <c r="L35" s="35"/>
      <c r="N35" s="35"/>
      <c r="O35" s="35"/>
      <c r="P35" s="35"/>
      <c r="Q35" s="14"/>
      <c r="R35" s="27"/>
      <c r="V35" s="31"/>
      <c r="W35" s="13"/>
      <c r="AB35" s="228"/>
      <c r="AC35" s="13"/>
      <c r="AD35" s="31"/>
      <c r="AE35" s="31"/>
      <c r="AF35" s="15"/>
    </row>
    <row r="36" spans="1:241" s="52" customFormat="1" x14ac:dyDescent="0.25">
      <c r="A36" s="311"/>
      <c r="B36" s="20"/>
      <c r="C36" s="105" t="s">
        <v>137</v>
      </c>
      <c r="D36" s="83"/>
      <c r="J36" s="105"/>
      <c r="K36" s="83"/>
      <c r="Q36" s="105"/>
      <c r="R36" s="83"/>
      <c r="V36" s="105"/>
      <c r="W36" s="83"/>
      <c r="AB36" s="229"/>
      <c r="AC36" s="83"/>
      <c r="AD36" s="105"/>
      <c r="AE36" s="105"/>
      <c r="AF36" s="115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</row>
    <row r="37" spans="1:241" x14ac:dyDescent="0.25">
      <c r="A37" s="311"/>
      <c r="B37" s="20"/>
      <c r="C37" s="14"/>
      <c r="D37" s="27"/>
      <c r="F37" s="35"/>
      <c r="J37" s="31"/>
      <c r="K37" s="13"/>
      <c r="L37" s="35"/>
      <c r="N37" s="35"/>
      <c r="O37" s="35"/>
      <c r="P37" s="35"/>
      <c r="Q37" s="14"/>
      <c r="R37" s="27"/>
      <c r="V37" s="31"/>
      <c r="W37" s="13"/>
      <c r="AB37" s="228"/>
      <c r="AC37" s="13"/>
      <c r="AD37" s="31"/>
      <c r="AE37" s="31"/>
      <c r="AF37" s="15"/>
    </row>
    <row r="38" spans="1:241" ht="15.75" thickBot="1" x14ac:dyDescent="0.3">
      <c r="A38" s="312"/>
      <c r="B38" s="20"/>
      <c r="C38" s="14"/>
      <c r="D38" s="27"/>
      <c r="F38" s="35"/>
      <c r="J38" s="31"/>
      <c r="K38" s="13"/>
      <c r="L38" s="35"/>
      <c r="N38" s="35"/>
      <c r="O38" s="35"/>
      <c r="P38" s="35"/>
      <c r="Q38" s="14"/>
      <c r="R38" s="27"/>
      <c r="V38" s="31"/>
      <c r="W38" s="13"/>
      <c r="AB38" s="228"/>
      <c r="AC38" s="13"/>
      <c r="AD38" s="31"/>
      <c r="AE38" s="31"/>
      <c r="AF38" s="15"/>
      <c r="AJ38">
        <f>0.3*400</f>
        <v>120</v>
      </c>
    </row>
    <row r="39" spans="1:241" ht="21.75" thickBot="1" x14ac:dyDescent="0.3">
      <c r="A39" s="21" t="s">
        <v>23</v>
      </c>
      <c r="B39" s="329"/>
      <c r="C39" s="330"/>
      <c r="D39" s="29">
        <f t="shared" ref="D39:AF39" si="0">SUM(D4:D18)-SUM(D19:D38)</f>
        <v>4550</v>
      </c>
      <c r="E39" s="22">
        <f t="shared" si="0"/>
        <v>2</v>
      </c>
      <c r="F39" s="37">
        <f t="shared" si="0"/>
        <v>4261</v>
      </c>
      <c r="G39" s="24">
        <f t="shared" si="0"/>
        <v>140</v>
      </c>
      <c r="H39" s="24">
        <f t="shared" si="0"/>
        <v>52</v>
      </c>
      <c r="I39" s="24">
        <f t="shared" si="0"/>
        <v>4908</v>
      </c>
      <c r="J39" s="33">
        <f t="shared" si="0"/>
        <v>11320</v>
      </c>
      <c r="K39" s="22">
        <f t="shared" si="0"/>
        <v>10</v>
      </c>
      <c r="L39" s="37">
        <f t="shared" si="0"/>
        <v>505</v>
      </c>
      <c r="M39" s="24">
        <f t="shared" si="0"/>
        <v>181</v>
      </c>
      <c r="N39" s="37">
        <f t="shared" si="0"/>
        <v>2161</v>
      </c>
      <c r="O39" s="37">
        <f t="shared" si="0"/>
        <v>47</v>
      </c>
      <c r="P39" s="37">
        <f t="shared" si="0"/>
        <v>5321</v>
      </c>
      <c r="Q39" s="23">
        <f t="shared" si="0"/>
        <v>2585</v>
      </c>
      <c r="R39" s="29">
        <f t="shared" si="0"/>
        <v>402</v>
      </c>
      <c r="S39" s="29">
        <f t="shared" si="0"/>
        <v>0</v>
      </c>
      <c r="T39" s="29">
        <f t="shared" si="0"/>
        <v>920</v>
      </c>
      <c r="U39" s="107">
        <f t="shared" si="0"/>
        <v>2550</v>
      </c>
      <c r="V39" s="33">
        <f t="shared" si="0"/>
        <v>434</v>
      </c>
      <c r="W39" s="22">
        <f t="shared" si="0"/>
        <v>1459</v>
      </c>
      <c r="X39" s="22">
        <f t="shared" si="0"/>
        <v>1000</v>
      </c>
      <c r="Y39" s="22">
        <f t="shared" si="0"/>
        <v>0</v>
      </c>
      <c r="Z39" s="22">
        <f t="shared" si="0"/>
        <v>0</v>
      </c>
      <c r="AA39" s="22">
        <f t="shared" si="0"/>
        <v>805</v>
      </c>
      <c r="AB39" s="230">
        <f t="shared" si="0"/>
        <v>230</v>
      </c>
      <c r="AC39" s="22">
        <f t="shared" si="0"/>
        <v>338</v>
      </c>
      <c r="AD39" s="33">
        <f t="shared" si="0"/>
        <v>736</v>
      </c>
      <c r="AE39" s="33">
        <f t="shared" si="0"/>
        <v>200</v>
      </c>
      <c r="AF39" s="33">
        <f t="shared" si="0"/>
        <v>250</v>
      </c>
    </row>
    <row r="41" spans="1:241" x14ac:dyDescent="0.25">
      <c r="C41" t="s">
        <v>176</v>
      </c>
      <c r="D41">
        <v>0.63</v>
      </c>
      <c r="E41">
        <v>0.55000000000000004</v>
      </c>
      <c r="F41">
        <v>0.71</v>
      </c>
      <c r="G41">
        <v>0.65</v>
      </c>
      <c r="H41">
        <v>0.65</v>
      </c>
      <c r="I41">
        <v>0.66</v>
      </c>
      <c r="J41">
        <v>0.66</v>
      </c>
      <c r="K41">
        <v>0.84</v>
      </c>
      <c r="L41">
        <v>0.84</v>
      </c>
      <c r="M41" s="50">
        <f>0.95+0.1</f>
        <v>1.05</v>
      </c>
      <c r="N41">
        <v>1.02</v>
      </c>
      <c r="O41">
        <v>0.82</v>
      </c>
      <c r="P41">
        <v>0.92</v>
      </c>
      <c r="Q41">
        <v>0.85</v>
      </c>
      <c r="R41">
        <v>2.75</v>
      </c>
      <c r="S41">
        <v>2.6</v>
      </c>
      <c r="T41">
        <v>2.95</v>
      </c>
      <c r="U41">
        <v>2.7</v>
      </c>
      <c r="V41">
        <v>2.4500000000000002</v>
      </c>
      <c r="W41">
        <v>2.8</v>
      </c>
      <c r="X41">
        <v>2.7</v>
      </c>
      <c r="Y41">
        <v>2.9</v>
      </c>
      <c r="Z41">
        <v>2.85</v>
      </c>
      <c r="AA41">
        <v>2.65</v>
      </c>
      <c r="AB41">
        <v>3.1</v>
      </c>
      <c r="AC41">
        <v>0.6</v>
      </c>
      <c r="AD41">
        <v>0.47</v>
      </c>
      <c r="AE41">
        <v>1.7</v>
      </c>
      <c r="AF41" s="109">
        <v>1.9</v>
      </c>
    </row>
    <row r="42" spans="1:241" x14ac:dyDescent="0.25">
      <c r="D42">
        <f>+D39*D41</f>
        <v>2866.5</v>
      </c>
      <c r="E42">
        <f>+E39*E41</f>
        <v>1.1000000000000001</v>
      </c>
      <c r="F42">
        <f t="shared" ref="F42:AF42" si="1">+F39*F41</f>
        <v>3025.31</v>
      </c>
      <c r="G42">
        <f t="shared" si="1"/>
        <v>91</v>
      </c>
      <c r="H42">
        <f t="shared" si="1"/>
        <v>33.800000000000004</v>
      </c>
      <c r="I42">
        <f t="shared" si="1"/>
        <v>3239.28</v>
      </c>
      <c r="J42">
        <f t="shared" si="1"/>
        <v>7471.2000000000007</v>
      </c>
      <c r="K42">
        <f t="shared" si="1"/>
        <v>8.4</v>
      </c>
      <c r="L42">
        <f t="shared" si="1"/>
        <v>424.2</v>
      </c>
      <c r="M42">
        <f t="shared" si="1"/>
        <v>190.05</v>
      </c>
      <c r="N42">
        <f t="shared" si="1"/>
        <v>2204.2200000000003</v>
      </c>
      <c r="O42">
        <f>O39*O41</f>
        <v>38.54</v>
      </c>
      <c r="P42">
        <f t="shared" si="1"/>
        <v>4895.3200000000006</v>
      </c>
      <c r="Q42">
        <f>+Q39*Q41</f>
        <v>2197.25</v>
      </c>
      <c r="R42">
        <f t="shared" si="1"/>
        <v>1105.5</v>
      </c>
      <c r="S42">
        <f t="shared" si="1"/>
        <v>0</v>
      </c>
      <c r="T42">
        <f t="shared" si="1"/>
        <v>2714</v>
      </c>
      <c r="U42">
        <f t="shared" si="1"/>
        <v>6885</v>
      </c>
      <c r="V42">
        <f t="shared" si="1"/>
        <v>1063.3000000000002</v>
      </c>
      <c r="W42">
        <f t="shared" si="1"/>
        <v>4085.2</v>
      </c>
      <c r="X42">
        <f>+X39*X41</f>
        <v>2700</v>
      </c>
      <c r="Y42">
        <f>+Y39*Y41</f>
        <v>0</v>
      </c>
      <c r="Z42">
        <f>Z39*Z41</f>
        <v>0</v>
      </c>
      <c r="AA42">
        <f>AA39*AA41</f>
        <v>2133.25</v>
      </c>
      <c r="AB42">
        <f t="shared" si="1"/>
        <v>713</v>
      </c>
      <c r="AC42">
        <f t="shared" si="1"/>
        <v>202.79999999999998</v>
      </c>
      <c r="AD42">
        <f t="shared" si="1"/>
        <v>345.91999999999996</v>
      </c>
      <c r="AE42">
        <f t="shared" si="1"/>
        <v>340</v>
      </c>
      <c r="AF42">
        <f t="shared" si="1"/>
        <v>475</v>
      </c>
      <c r="AG42" s="52">
        <f>SUM(D42:AF42)</f>
        <v>49449.140000000007</v>
      </c>
    </row>
    <row r="43" spans="1:241" x14ac:dyDescent="0.25"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103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241" x14ac:dyDescent="0.25"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103"/>
      <c r="V44" s="39"/>
      <c r="W44" s="39"/>
      <c r="X44" s="39"/>
      <c r="Z44" s="39"/>
      <c r="AA44" s="39"/>
      <c r="AB44" s="39"/>
      <c r="AC44" s="39"/>
      <c r="AD44" s="39"/>
      <c r="AE44" s="39"/>
      <c r="AF44" s="39"/>
    </row>
    <row r="45" spans="1:241" x14ac:dyDescent="0.25">
      <c r="C45" s="39"/>
      <c r="D45" s="39"/>
      <c r="E45" s="39"/>
      <c r="F45" s="39"/>
      <c r="G45" s="39"/>
      <c r="H45" s="39"/>
      <c r="I45" s="39"/>
    </row>
    <row r="46" spans="1:241" x14ac:dyDescent="0.25">
      <c r="C46" s="39"/>
      <c r="D46" s="39"/>
      <c r="E46" s="39"/>
      <c r="F46" s="39"/>
      <c r="G46" s="39"/>
      <c r="H46" s="39"/>
      <c r="I46" s="39"/>
    </row>
    <row r="47" spans="1:241" x14ac:dyDescent="0.25">
      <c r="C47" s="39"/>
      <c r="D47" s="39"/>
      <c r="E47" s="39"/>
      <c r="F47" s="39"/>
      <c r="G47" s="39"/>
      <c r="H47" s="39"/>
      <c r="I47" s="39"/>
    </row>
    <row r="48" spans="1:241" x14ac:dyDescent="0.25">
      <c r="C48" s="39"/>
      <c r="D48" s="39"/>
      <c r="E48" s="39"/>
      <c r="F48" s="39"/>
      <c r="G48" s="39"/>
      <c r="H48" s="39"/>
      <c r="I48" s="39"/>
      <c r="L48">
        <v>5281</v>
      </c>
    </row>
    <row r="49" spans="3:29" x14ac:dyDescent="0.25">
      <c r="C49" s="105" t="s">
        <v>137</v>
      </c>
      <c r="AA49">
        <f>2250+400</f>
        <v>2650</v>
      </c>
    </row>
    <row r="50" spans="3:29" x14ac:dyDescent="0.25">
      <c r="C50" t="s">
        <v>915</v>
      </c>
      <c r="D50">
        <v>10</v>
      </c>
      <c r="AA50">
        <f>2400+400</f>
        <v>2800</v>
      </c>
      <c r="AC50">
        <f>470+150</f>
        <v>620</v>
      </c>
    </row>
    <row r="54" spans="3:29" x14ac:dyDescent="0.25">
      <c r="Y54">
        <f>5000*0.59</f>
        <v>2950</v>
      </c>
    </row>
    <row r="57" spans="3:29" x14ac:dyDescent="0.25">
      <c r="K57" t="s">
        <v>1159</v>
      </c>
      <c r="L57" t="s">
        <v>1155</v>
      </c>
      <c r="M57" t="s">
        <v>1156</v>
      </c>
      <c r="N57" t="s">
        <v>223</v>
      </c>
    </row>
    <row r="58" spans="3:29" x14ac:dyDescent="0.25">
      <c r="J58" t="s">
        <v>1157</v>
      </c>
      <c r="K58">
        <v>5281</v>
      </c>
      <c r="L58">
        <v>2546</v>
      </c>
      <c r="M58">
        <v>35</v>
      </c>
      <c r="N58" s="91">
        <v>46178</v>
      </c>
    </row>
    <row r="59" spans="3:29" x14ac:dyDescent="0.25">
      <c r="J59" t="s">
        <v>1158</v>
      </c>
      <c r="K59">
        <v>385</v>
      </c>
      <c r="L59">
        <v>300</v>
      </c>
      <c r="M59">
        <v>-85</v>
      </c>
      <c r="AA59" t="s">
        <v>958</v>
      </c>
    </row>
    <row r="60" spans="3:29" x14ac:dyDescent="0.25">
      <c r="AA60" t="s">
        <v>959</v>
      </c>
    </row>
    <row r="68" spans="3:39" ht="30" customHeight="1" x14ac:dyDescent="0.25"/>
    <row r="71" spans="3:39" x14ac:dyDescent="0.25">
      <c r="C71" s="98" t="s">
        <v>118</v>
      </c>
      <c r="D71">
        <f>5050+180</f>
        <v>5230</v>
      </c>
      <c r="E71">
        <v>140</v>
      </c>
      <c r="F71">
        <f>-310+70+80</f>
        <v>-160</v>
      </c>
      <c r="G71">
        <f>8000+1340-200</f>
        <v>9140</v>
      </c>
    </row>
    <row r="72" spans="3:39" x14ac:dyDescent="0.25">
      <c r="C72" t="s">
        <v>119</v>
      </c>
      <c r="D72">
        <v>6500</v>
      </c>
      <c r="E72">
        <v>6500</v>
      </c>
      <c r="F72">
        <v>6500</v>
      </c>
      <c r="G72">
        <v>6500</v>
      </c>
    </row>
    <row r="73" spans="3:39" x14ac:dyDescent="0.25">
      <c r="C73" t="s">
        <v>120</v>
      </c>
      <c r="D73">
        <v>33280</v>
      </c>
      <c r="E73">
        <v>33280</v>
      </c>
      <c r="F73">
        <f>38060-1480</f>
        <v>36580</v>
      </c>
      <c r="G73">
        <v>27560</v>
      </c>
    </row>
    <row r="74" spans="3:39" x14ac:dyDescent="0.25">
      <c r="C74" t="s">
        <v>123</v>
      </c>
      <c r="D74">
        <v>2960</v>
      </c>
      <c r="E74">
        <v>2960</v>
      </c>
      <c r="F74">
        <f>1150</f>
        <v>1150</v>
      </c>
      <c r="G74">
        <v>1980</v>
      </c>
      <c r="AL74" t="s">
        <v>150</v>
      </c>
      <c r="AM74" t="s">
        <v>151</v>
      </c>
    </row>
    <row r="75" spans="3:39" x14ac:dyDescent="0.25">
      <c r="C75" t="s">
        <v>122</v>
      </c>
      <c r="D75">
        <v>1300</v>
      </c>
      <c r="E75">
        <v>1300</v>
      </c>
      <c r="F75">
        <v>1300</v>
      </c>
      <c r="G75">
        <v>1300</v>
      </c>
      <c r="AL75" t="s">
        <v>152</v>
      </c>
    </row>
    <row r="76" spans="3:39" x14ac:dyDescent="0.25">
      <c r="C76" t="s">
        <v>127</v>
      </c>
      <c r="D76">
        <v>-9815</v>
      </c>
      <c r="E76">
        <v>-4815</v>
      </c>
      <c r="F76">
        <v>-4815</v>
      </c>
      <c r="G76">
        <v>-4815</v>
      </c>
    </row>
    <row r="77" spans="3:39" x14ac:dyDescent="0.25">
      <c r="C77" t="s">
        <v>128</v>
      </c>
      <c r="AL77" t="s">
        <v>153</v>
      </c>
    </row>
    <row r="79" spans="3:39" x14ac:dyDescent="0.25">
      <c r="D79">
        <f>SUM(D71:D78)</f>
        <v>39455</v>
      </c>
      <c r="E79">
        <f>SUM(E71:E76)</f>
        <v>39365</v>
      </c>
      <c r="F79">
        <f>SUM(F71:F76)</f>
        <v>40555</v>
      </c>
      <c r="G79">
        <f>SUM(G71:G76)</f>
        <v>41665</v>
      </c>
    </row>
    <row r="80" spans="3:39" x14ac:dyDescent="0.25">
      <c r="C80" t="s">
        <v>124</v>
      </c>
      <c r="D80">
        <v>100</v>
      </c>
      <c r="E80">
        <v>100</v>
      </c>
      <c r="F80">
        <v>100</v>
      </c>
      <c r="G80">
        <v>100</v>
      </c>
      <c r="AL80">
        <v>24005</v>
      </c>
    </row>
    <row r="81" spans="3:38" x14ac:dyDescent="0.25">
      <c r="C81" t="s">
        <v>125</v>
      </c>
      <c r="D81">
        <f>+D79-D80</f>
        <v>39355</v>
      </c>
      <c r="E81">
        <f>+E79-E80</f>
        <v>39265</v>
      </c>
      <c r="F81">
        <f>+F79-F80</f>
        <v>40455</v>
      </c>
      <c r="G81">
        <f>+G79-G80</f>
        <v>41565</v>
      </c>
      <c r="AL81">
        <v>-24080</v>
      </c>
    </row>
    <row r="82" spans="3:38" x14ac:dyDescent="0.25">
      <c r="G82">
        <f>+G81-F81</f>
        <v>1110</v>
      </c>
      <c r="AL82">
        <f>SUM(AL80:AL81)</f>
        <v>-75</v>
      </c>
    </row>
  </sheetData>
  <mergeCells count="9">
    <mergeCell ref="A19:A38"/>
    <mergeCell ref="B39:C39"/>
    <mergeCell ref="D2:J2"/>
    <mergeCell ref="K2:Q2"/>
    <mergeCell ref="R2:V2"/>
    <mergeCell ref="AE2:AF2"/>
    <mergeCell ref="W2:AA2"/>
    <mergeCell ref="AC2:AD2"/>
    <mergeCell ref="A4:A18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5A2E-074D-408C-B317-F4C12308EEBA}">
  <dimension ref="A1:IG90"/>
  <sheetViews>
    <sheetView zoomScale="60" zoomScaleNormal="6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L14" sqref="L14"/>
    </sheetView>
  </sheetViews>
  <sheetFormatPr baseColWidth="10" defaultRowHeight="15" x14ac:dyDescent="0.25"/>
  <cols>
    <col min="1" max="1" width="14.5703125" customWidth="1"/>
    <col min="2" max="2" width="12.5703125" bestFit="1" customWidth="1"/>
    <col min="3" max="3" width="47.85546875" customWidth="1"/>
    <col min="4" max="4" width="10.42578125" bestFit="1" customWidth="1"/>
    <col min="5" max="6" width="9.85546875" customWidth="1"/>
    <col min="7" max="8" width="11.140625" customWidth="1"/>
    <col min="9" max="9" width="14" customWidth="1"/>
    <col min="10" max="10" width="13.28515625" customWidth="1"/>
    <col min="11" max="11" width="16" customWidth="1"/>
    <col min="12" max="12" width="11.28515625" customWidth="1"/>
    <col min="13" max="13" width="10.140625" customWidth="1"/>
    <col min="14" max="15" width="12" customWidth="1"/>
    <col min="16" max="16" width="11.28515625" customWidth="1"/>
    <col min="17" max="17" width="10.42578125" bestFit="1" customWidth="1"/>
    <col min="18" max="18" width="8.7109375" bestFit="1" customWidth="1"/>
    <col min="19" max="19" width="10.5703125" customWidth="1"/>
    <col min="20" max="20" width="8.7109375" customWidth="1"/>
    <col min="21" max="21" width="11.28515625" customWidth="1"/>
    <col min="22" max="22" width="10.85546875" customWidth="1"/>
    <col min="23" max="23" width="10.7109375" customWidth="1"/>
    <col min="24" max="24" width="18.5703125" customWidth="1"/>
    <col min="25" max="25" width="10.7109375" customWidth="1"/>
    <col min="26" max="27" width="13.5703125" customWidth="1"/>
    <col min="28" max="28" width="22" customWidth="1"/>
    <col min="29" max="29" width="14.42578125" customWidth="1"/>
    <col min="30" max="30" width="9.85546875" customWidth="1"/>
    <col min="31" max="31" width="17.28515625" customWidth="1"/>
    <col min="32" max="32" width="17.140625" customWidth="1"/>
    <col min="33" max="33" width="19" customWidth="1"/>
    <col min="36" max="36" width="15.140625" customWidth="1"/>
  </cols>
  <sheetData>
    <row r="1" spans="1:32" ht="33" customHeight="1" thickBot="1" x14ac:dyDescent="0.3"/>
    <row r="2" spans="1:32" ht="28.5" customHeight="1" thickBot="1" x14ac:dyDescent="0.5">
      <c r="B2" s="1"/>
      <c r="C2" s="2"/>
      <c r="D2" s="308" t="s">
        <v>0</v>
      </c>
      <c r="E2" s="313"/>
      <c r="F2" s="313"/>
      <c r="G2" s="313"/>
      <c r="H2" s="313"/>
      <c r="I2" s="313"/>
      <c r="J2" s="309"/>
      <c r="K2" s="308" t="s">
        <v>1</v>
      </c>
      <c r="L2" s="313"/>
      <c r="M2" s="313"/>
      <c r="N2" s="313"/>
      <c r="O2" s="313"/>
      <c r="P2" s="313"/>
      <c r="Q2" s="309"/>
      <c r="R2" s="308" t="s">
        <v>2</v>
      </c>
      <c r="S2" s="313"/>
      <c r="T2" s="313"/>
      <c r="U2" s="313"/>
      <c r="V2" s="309"/>
      <c r="W2" s="308" t="s">
        <v>3</v>
      </c>
      <c r="X2" s="313"/>
      <c r="Y2" s="313"/>
      <c r="Z2" s="313"/>
      <c r="AA2" s="313"/>
      <c r="AB2" s="225" t="s">
        <v>799</v>
      </c>
      <c r="AC2" s="308" t="s">
        <v>4</v>
      </c>
      <c r="AD2" s="309"/>
      <c r="AE2" s="331" t="s">
        <v>91</v>
      </c>
      <c r="AF2" s="332"/>
    </row>
    <row r="3" spans="1:32" ht="43.5" customHeight="1" thickBot="1" x14ac:dyDescent="0.3">
      <c r="B3" s="4" t="s">
        <v>6</v>
      </c>
      <c r="C3" s="5" t="s">
        <v>7</v>
      </c>
      <c r="D3" s="6" t="s">
        <v>8</v>
      </c>
      <c r="E3" s="7" t="s">
        <v>30</v>
      </c>
      <c r="F3" s="7" t="s">
        <v>77</v>
      </c>
      <c r="G3" s="7" t="s">
        <v>126</v>
      </c>
      <c r="H3" s="7" t="s">
        <v>396</v>
      </c>
      <c r="I3" s="7" t="s">
        <v>838</v>
      </c>
      <c r="J3" s="8" t="s">
        <v>11</v>
      </c>
      <c r="K3" s="9" t="s">
        <v>394</v>
      </c>
      <c r="L3" s="7" t="s">
        <v>11</v>
      </c>
      <c r="M3" s="7" t="s">
        <v>12</v>
      </c>
      <c r="N3" s="7" t="s">
        <v>13</v>
      </c>
      <c r="O3" s="7" t="s">
        <v>182</v>
      </c>
      <c r="P3" s="7" t="s">
        <v>15</v>
      </c>
      <c r="Q3" s="8" t="s">
        <v>136</v>
      </c>
      <c r="R3" s="6" t="s">
        <v>12</v>
      </c>
      <c r="S3" s="7" t="s">
        <v>69</v>
      </c>
      <c r="T3" s="7" t="s">
        <v>13</v>
      </c>
      <c r="U3" s="7" t="s">
        <v>16</v>
      </c>
      <c r="V3" s="8" t="s">
        <v>162</v>
      </c>
      <c r="W3" s="6" t="s">
        <v>16</v>
      </c>
      <c r="X3" s="7" t="s">
        <v>1271</v>
      </c>
      <c r="Y3" s="7" t="s">
        <v>12</v>
      </c>
      <c r="Z3" s="7" t="s">
        <v>13</v>
      </c>
      <c r="AA3" s="7" t="s">
        <v>8</v>
      </c>
      <c r="AB3" s="226" t="s">
        <v>800</v>
      </c>
      <c r="AC3" s="6" t="s">
        <v>17</v>
      </c>
      <c r="AD3" s="8" t="s">
        <v>18</v>
      </c>
      <c r="AE3" s="8" t="s">
        <v>1327</v>
      </c>
      <c r="AF3" s="10" t="s">
        <v>92</v>
      </c>
    </row>
    <row r="4" spans="1:32" x14ac:dyDescent="0.25">
      <c r="A4" s="310" t="s">
        <v>19</v>
      </c>
      <c r="B4" s="49"/>
      <c r="C4" s="2"/>
      <c r="D4" s="42">
        <v>4550</v>
      </c>
      <c r="E4" s="42">
        <v>2</v>
      </c>
      <c r="F4" s="42">
        <v>4261</v>
      </c>
      <c r="G4" s="42">
        <v>140</v>
      </c>
      <c r="H4" s="42">
        <v>52</v>
      </c>
      <c r="I4" s="42">
        <v>4908</v>
      </c>
      <c r="J4" s="42">
        <v>11320</v>
      </c>
      <c r="K4" s="42">
        <v>10</v>
      </c>
      <c r="L4" s="42">
        <v>505</v>
      </c>
      <c r="M4" s="42">
        <v>181</v>
      </c>
      <c r="N4" s="42">
        <v>2161</v>
      </c>
      <c r="O4" s="42">
        <v>47</v>
      </c>
      <c r="P4" s="42">
        <v>5321</v>
      </c>
      <c r="Q4" s="42">
        <v>2585</v>
      </c>
      <c r="R4" s="42">
        <v>402</v>
      </c>
      <c r="S4" s="42"/>
      <c r="T4" s="42">
        <v>920</v>
      </c>
      <c r="U4" s="42">
        <v>2550</v>
      </c>
      <c r="V4" s="42">
        <v>434</v>
      </c>
      <c r="W4" s="42">
        <v>1459</v>
      </c>
      <c r="X4" s="42">
        <v>1000</v>
      </c>
      <c r="Y4" s="42">
        <v>0</v>
      </c>
      <c r="Z4" s="42">
        <v>0</v>
      </c>
      <c r="AA4" s="42">
        <v>805</v>
      </c>
      <c r="AB4" s="227">
        <v>230</v>
      </c>
      <c r="AC4" s="42">
        <v>338</v>
      </c>
      <c r="AD4" s="42">
        <v>736</v>
      </c>
      <c r="AE4" s="42">
        <v>200</v>
      </c>
      <c r="AF4" s="42">
        <v>250</v>
      </c>
    </row>
    <row r="5" spans="1:32" x14ac:dyDescent="0.25">
      <c r="A5" s="311"/>
      <c r="B5" s="20"/>
      <c r="C5" s="82"/>
      <c r="D5" s="27"/>
      <c r="F5" s="35"/>
      <c r="J5" s="31"/>
      <c r="K5" s="13"/>
      <c r="L5" s="35"/>
      <c r="N5" s="35"/>
      <c r="O5" s="35"/>
      <c r="P5" s="35"/>
      <c r="Q5" s="14"/>
      <c r="R5" s="27"/>
      <c r="V5" s="31"/>
      <c r="W5" s="13"/>
      <c r="AB5" s="228"/>
      <c r="AC5" s="13"/>
      <c r="AD5" s="31"/>
      <c r="AE5" s="31"/>
      <c r="AF5" s="15"/>
    </row>
    <row r="6" spans="1:32" x14ac:dyDescent="0.25">
      <c r="A6" s="311"/>
      <c r="B6" s="20">
        <v>46202</v>
      </c>
      <c r="C6" s="82" t="s">
        <v>1373</v>
      </c>
      <c r="D6" s="27"/>
      <c r="F6" s="35"/>
      <c r="J6" s="31"/>
      <c r="K6" s="13"/>
      <c r="L6" s="35">
        <v>1000</v>
      </c>
      <c r="N6" s="35"/>
      <c r="O6" s="35"/>
      <c r="P6" s="35"/>
      <c r="Q6" s="14"/>
      <c r="R6" s="27"/>
      <c r="V6" s="31"/>
      <c r="W6" s="13"/>
      <c r="AB6" s="228"/>
      <c r="AC6" s="13"/>
      <c r="AD6" s="31"/>
      <c r="AE6" s="31"/>
      <c r="AF6" s="15"/>
    </row>
    <row r="7" spans="1:32" x14ac:dyDescent="0.25">
      <c r="A7" s="311"/>
      <c r="B7" s="20">
        <v>46202</v>
      </c>
      <c r="C7" s="82" t="s">
        <v>46</v>
      </c>
      <c r="D7" s="27"/>
      <c r="F7" s="35"/>
      <c r="J7" s="31"/>
      <c r="K7" s="13"/>
      <c r="L7" s="35"/>
      <c r="N7" s="35"/>
      <c r="O7" s="35"/>
      <c r="P7" s="35">
        <v>4000</v>
      </c>
      <c r="Q7" s="14"/>
      <c r="R7" s="27"/>
      <c r="V7" s="31"/>
      <c r="W7" s="13"/>
      <c r="AB7" s="228"/>
      <c r="AC7" s="13"/>
      <c r="AD7" s="31"/>
      <c r="AE7" s="31"/>
      <c r="AF7" s="15"/>
    </row>
    <row r="8" spans="1:32" x14ac:dyDescent="0.25">
      <c r="A8" s="311"/>
      <c r="B8" s="20">
        <v>46203</v>
      </c>
      <c r="C8" s="82" t="s">
        <v>46</v>
      </c>
      <c r="D8" s="27">
        <v>4500</v>
      </c>
      <c r="F8" s="35"/>
      <c r="J8" s="31"/>
      <c r="K8" s="13"/>
      <c r="L8" s="35"/>
      <c r="N8" s="35"/>
      <c r="O8" s="35"/>
      <c r="P8" s="35"/>
      <c r="Q8" s="14"/>
      <c r="R8" s="27"/>
      <c r="V8" s="31"/>
      <c r="W8" s="13"/>
      <c r="AB8" s="228"/>
      <c r="AC8" s="13"/>
      <c r="AD8" s="31"/>
      <c r="AE8" s="31"/>
      <c r="AF8" s="15"/>
    </row>
    <row r="9" spans="1:32" x14ac:dyDescent="0.25">
      <c r="A9" s="311"/>
      <c r="B9" s="20">
        <v>46203</v>
      </c>
      <c r="C9" s="82" t="s">
        <v>46</v>
      </c>
      <c r="D9" s="27"/>
      <c r="F9" s="35"/>
      <c r="J9" s="31"/>
      <c r="K9" s="13"/>
      <c r="L9" s="35"/>
      <c r="N9" s="35"/>
      <c r="O9" s="35"/>
      <c r="P9" s="35"/>
      <c r="Q9" s="14"/>
      <c r="R9" s="27"/>
      <c r="V9" s="31"/>
      <c r="W9" s="13">
        <v>400</v>
      </c>
      <c r="AB9" s="228"/>
      <c r="AC9" s="13"/>
      <c r="AD9" s="31"/>
      <c r="AE9" s="31"/>
      <c r="AF9" s="15"/>
    </row>
    <row r="10" spans="1:32" x14ac:dyDescent="0.25">
      <c r="A10" s="311"/>
      <c r="B10" s="20">
        <v>46204</v>
      </c>
      <c r="C10" s="82" t="s">
        <v>27</v>
      </c>
      <c r="D10" s="27"/>
      <c r="F10" s="35"/>
      <c r="J10" s="31"/>
      <c r="K10" s="13"/>
      <c r="L10" s="35"/>
      <c r="N10" s="35"/>
      <c r="O10" s="35"/>
      <c r="P10" s="35"/>
      <c r="Q10" s="14"/>
      <c r="R10" s="27"/>
      <c r="V10" s="31">
        <v>1000</v>
      </c>
      <c r="W10" s="13"/>
      <c r="AB10" s="228"/>
      <c r="AC10" s="13"/>
      <c r="AD10" s="31"/>
      <c r="AE10" s="31"/>
      <c r="AF10" s="15"/>
    </row>
    <row r="11" spans="1:32" x14ac:dyDescent="0.25">
      <c r="A11" s="311"/>
      <c r="B11" s="20">
        <v>46205</v>
      </c>
      <c r="C11" s="82" t="s">
        <v>46</v>
      </c>
      <c r="D11" s="27"/>
      <c r="F11" s="35">
        <v>4000</v>
      </c>
      <c r="J11" s="31"/>
      <c r="K11" s="13"/>
      <c r="L11" s="35"/>
      <c r="N11" s="35"/>
      <c r="O11" s="35"/>
      <c r="P11" s="35"/>
      <c r="Q11" s="14"/>
      <c r="R11" s="27"/>
      <c r="V11" s="31"/>
      <c r="W11" s="13"/>
      <c r="AB11" s="228"/>
      <c r="AC11" s="13"/>
      <c r="AD11" s="31"/>
      <c r="AE11" s="31"/>
      <c r="AF11" s="15"/>
    </row>
    <row r="12" spans="1:32" x14ac:dyDescent="0.25">
      <c r="A12" s="311"/>
      <c r="B12" s="20">
        <v>46206</v>
      </c>
      <c r="C12" s="82" t="s">
        <v>27</v>
      </c>
      <c r="D12" s="27"/>
      <c r="F12" s="35"/>
      <c r="J12" s="31"/>
      <c r="K12" s="13"/>
      <c r="L12" s="35"/>
      <c r="N12" s="35"/>
      <c r="O12" s="35"/>
      <c r="P12" s="35"/>
      <c r="Q12" s="14">
        <v>2000</v>
      </c>
      <c r="R12" s="27"/>
      <c r="V12" s="31"/>
      <c r="W12" s="13"/>
      <c r="AB12" s="228"/>
      <c r="AC12" s="13"/>
      <c r="AD12" s="31"/>
      <c r="AE12" s="31"/>
      <c r="AF12" s="15"/>
    </row>
    <row r="13" spans="1:32" x14ac:dyDescent="0.25">
      <c r="A13" s="311"/>
      <c r="B13" s="20">
        <v>46206</v>
      </c>
      <c r="C13" s="82" t="s">
        <v>46</v>
      </c>
      <c r="D13" s="27"/>
      <c r="F13" s="35">
        <v>3000</v>
      </c>
      <c r="J13" s="31"/>
      <c r="K13" s="13"/>
      <c r="L13" s="35"/>
      <c r="N13" s="35"/>
      <c r="O13" s="35"/>
      <c r="P13" s="35">
        <v>1000</v>
      </c>
      <c r="Q13" s="14"/>
      <c r="R13" s="27"/>
      <c r="V13" s="31"/>
      <c r="W13" s="13"/>
      <c r="AB13" s="228"/>
      <c r="AC13" s="13"/>
      <c r="AD13" s="31"/>
      <c r="AE13" s="31"/>
      <c r="AF13" s="15"/>
    </row>
    <row r="14" spans="1:32" x14ac:dyDescent="0.25">
      <c r="A14" s="311"/>
      <c r="B14" s="20">
        <v>46206</v>
      </c>
      <c r="C14" s="82" t="s">
        <v>1446</v>
      </c>
      <c r="D14" s="27"/>
      <c r="F14" s="35"/>
      <c r="J14" s="31"/>
      <c r="K14" s="13"/>
      <c r="L14" s="35">
        <v>500</v>
      </c>
      <c r="N14" s="35"/>
      <c r="O14" s="35"/>
      <c r="P14" s="35"/>
      <c r="Q14" s="14"/>
      <c r="R14" s="27"/>
      <c r="V14" s="31"/>
      <c r="W14" s="13"/>
      <c r="AB14" s="228"/>
      <c r="AC14" s="13"/>
      <c r="AD14" s="31"/>
      <c r="AE14" s="31"/>
      <c r="AF14" s="15"/>
    </row>
    <row r="15" spans="1:32" x14ac:dyDescent="0.25">
      <c r="A15" s="311"/>
      <c r="B15" s="160"/>
      <c r="C15" s="82"/>
      <c r="D15" s="27"/>
      <c r="F15" s="35"/>
      <c r="J15" s="31"/>
      <c r="K15" s="13"/>
      <c r="L15" s="35"/>
      <c r="N15" s="35"/>
      <c r="O15" s="35"/>
      <c r="P15" s="35"/>
      <c r="Q15" s="14"/>
      <c r="R15" s="27"/>
      <c r="V15" s="31"/>
      <c r="W15" s="13"/>
      <c r="AB15" s="228"/>
      <c r="AC15" s="13"/>
      <c r="AD15" s="31"/>
      <c r="AE15" s="31"/>
      <c r="AF15" s="15"/>
    </row>
    <row r="16" spans="1:32" x14ac:dyDescent="0.25">
      <c r="A16" s="311"/>
      <c r="B16" s="160"/>
      <c r="C16" s="82"/>
      <c r="D16" s="27"/>
      <c r="F16" s="35"/>
      <c r="J16" s="31"/>
      <c r="K16" s="13"/>
      <c r="L16" s="35"/>
      <c r="N16" s="35"/>
      <c r="O16" s="35"/>
      <c r="P16" s="35"/>
      <c r="Q16" s="14"/>
      <c r="R16" s="27"/>
      <c r="V16" s="31"/>
      <c r="W16" s="13"/>
      <c r="AB16" s="228"/>
      <c r="AC16" s="13"/>
      <c r="AD16" s="31"/>
      <c r="AE16" s="31"/>
      <c r="AF16" s="15"/>
    </row>
    <row r="17" spans="1:32" x14ac:dyDescent="0.25">
      <c r="A17" s="311"/>
      <c r="B17" s="160"/>
      <c r="C17" s="82"/>
      <c r="D17" s="27"/>
      <c r="F17" s="35"/>
      <c r="J17" s="31"/>
      <c r="K17" s="13"/>
      <c r="L17" s="35"/>
      <c r="N17" s="35"/>
      <c r="O17" s="35"/>
      <c r="P17" s="35"/>
      <c r="Q17" s="14"/>
      <c r="R17" s="27"/>
      <c r="V17" s="31"/>
      <c r="W17" s="13"/>
      <c r="AB17" s="228"/>
      <c r="AC17" s="13"/>
      <c r="AD17" s="31"/>
      <c r="AE17" s="31"/>
      <c r="AF17" s="15"/>
    </row>
    <row r="18" spans="1:32" ht="13.5" customHeight="1" thickBot="1" x14ac:dyDescent="0.3">
      <c r="A18" s="311"/>
      <c r="B18" s="72"/>
      <c r="C18" s="231"/>
      <c r="D18" s="28"/>
      <c r="E18" s="18"/>
      <c r="F18" s="36"/>
      <c r="G18" s="18"/>
      <c r="H18" s="18"/>
      <c r="I18" s="18"/>
      <c r="J18" s="32"/>
      <c r="K18" s="16"/>
      <c r="L18" s="36"/>
      <c r="M18" s="18"/>
      <c r="N18" s="36"/>
      <c r="O18" s="36"/>
      <c r="P18" s="36"/>
      <c r="Q18" s="17"/>
      <c r="R18" s="28"/>
      <c r="S18" s="18"/>
      <c r="T18" s="18"/>
      <c r="U18" s="18"/>
      <c r="V18" s="32"/>
      <c r="W18" s="16"/>
      <c r="X18" s="18"/>
      <c r="Y18" s="18"/>
      <c r="Z18" s="18"/>
      <c r="AA18" s="18"/>
      <c r="AB18" s="232"/>
      <c r="AC18" s="16"/>
      <c r="AD18" s="32"/>
      <c r="AE18" s="32"/>
      <c r="AF18" s="19"/>
    </row>
    <row r="19" spans="1:32" x14ac:dyDescent="0.25">
      <c r="A19" s="310" t="s">
        <v>62</v>
      </c>
      <c r="B19" s="160"/>
      <c r="C19" s="14"/>
      <c r="D19" s="27"/>
      <c r="F19" s="35"/>
      <c r="J19" s="31"/>
      <c r="K19" s="13"/>
      <c r="L19" s="35"/>
      <c r="N19" s="35"/>
      <c r="O19" s="35"/>
      <c r="P19" s="35"/>
      <c r="Q19" s="14"/>
      <c r="R19" s="27"/>
      <c r="V19" s="31"/>
      <c r="W19" s="13"/>
      <c r="AB19" s="228"/>
      <c r="AC19" s="13"/>
      <c r="AD19" s="31"/>
      <c r="AE19" s="31"/>
      <c r="AF19" s="15"/>
    </row>
    <row r="20" spans="1:32" x14ac:dyDescent="0.25">
      <c r="A20" s="311"/>
      <c r="B20" s="20">
        <v>46202</v>
      </c>
      <c r="C20" s="14" t="s">
        <v>1375</v>
      </c>
      <c r="D20" s="27">
        <v>1000</v>
      </c>
      <c r="F20" s="35"/>
      <c r="J20" s="31"/>
      <c r="K20" s="13"/>
      <c r="L20" s="35"/>
      <c r="N20" s="35"/>
      <c r="O20" s="35"/>
      <c r="P20" s="35"/>
      <c r="Q20" s="14"/>
      <c r="R20" s="27"/>
      <c r="V20" s="31"/>
      <c r="W20" s="13"/>
      <c r="AB20" s="228"/>
      <c r="AC20" s="13"/>
      <c r="AD20" s="31"/>
      <c r="AE20" s="31"/>
      <c r="AF20" s="15"/>
    </row>
    <row r="21" spans="1:32" ht="16.5" customHeight="1" x14ac:dyDescent="0.25">
      <c r="A21" s="311"/>
      <c r="B21" s="20">
        <v>46202</v>
      </c>
      <c r="C21" s="82" t="s">
        <v>1376</v>
      </c>
      <c r="D21" s="27"/>
      <c r="F21" s="35"/>
      <c r="J21" s="31"/>
      <c r="K21" s="13"/>
      <c r="L21" s="35"/>
      <c r="N21" s="35"/>
      <c r="O21" s="35"/>
      <c r="P21" s="35"/>
      <c r="Q21" s="14"/>
      <c r="R21" s="27"/>
      <c r="U21">
        <v>180</v>
      </c>
      <c r="V21" s="31"/>
      <c r="W21" s="13"/>
      <c r="AB21" s="228"/>
      <c r="AC21" s="13"/>
      <c r="AD21" s="31"/>
      <c r="AE21" s="31"/>
      <c r="AF21" s="15"/>
    </row>
    <row r="22" spans="1:32" ht="16.5" customHeight="1" x14ac:dyDescent="0.25">
      <c r="A22" s="311"/>
      <c r="B22" s="20">
        <v>46203</v>
      </c>
      <c r="C22" s="82" t="s">
        <v>1129</v>
      </c>
      <c r="D22" s="27"/>
      <c r="F22" s="35"/>
      <c r="J22" s="31"/>
      <c r="K22" s="13"/>
      <c r="L22" s="35"/>
      <c r="N22" s="35"/>
      <c r="O22" s="35"/>
      <c r="P22" s="35"/>
      <c r="Q22" s="14"/>
      <c r="R22" s="27"/>
      <c r="V22" s="31"/>
      <c r="W22" s="13">
        <v>30</v>
      </c>
      <c r="AB22" s="228"/>
      <c r="AC22" s="13"/>
      <c r="AD22" s="31"/>
      <c r="AE22" s="31"/>
      <c r="AF22" s="15"/>
    </row>
    <row r="23" spans="1:32" ht="16.5" customHeight="1" x14ac:dyDescent="0.25">
      <c r="A23" s="311"/>
      <c r="B23" s="20">
        <v>46203</v>
      </c>
      <c r="C23" s="82" t="s">
        <v>1381</v>
      </c>
      <c r="D23" s="27"/>
      <c r="F23" s="35">
        <v>3970</v>
      </c>
      <c r="J23" s="31"/>
      <c r="K23" s="13"/>
      <c r="L23" s="35"/>
      <c r="N23" s="35"/>
      <c r="O23" s="35"/>
      <c r="P23" s="35"/>
      <c r="Q23" s="14"/>
      <c r="R23" s="27"/>
      <c r="V23" s="31"/>
      <c r="W23" s="13"/>
      <c r="AB23" s="228"/>
      <c r="AC23" s="13"/>
      <c r="AD23" s="31"/>
      <c r="AE23" s="31"/>
      <c r="AF23" s="15"/>
    </row>
    <row r="24" spans="1:32" ht="16.5" customHeight="1" x14ac:dyDescent="0.25">
      <c r="A24" s="311"/>
      <c r="B24" s="20">
        <v>46203</v>
      </c>
      <c r="C24" s="82" t="s">
        <v>845</v>
      </c>
      <c r="D24" s="27"/>
      <c r="F24" s="35"/>
      <c r="I24">
        <v>2000</v>
      </c>
      <c r="J24" s="31"/>
      <c r="K24" s="13"/>
      <c r="L24" s="35"/>
      <c r="N24" s="35"/>
      <c r="O24" s="35"/>
      <c r="P24" s="35"/>
      <c r="Q24" s="14"/>
      <c r="R24" s="27"/>
      <c r="V24" s="31"/>
      <c r="W24" s="13"/>
      <c r="AB24" s="228"/>
      <c r="AC24" s="13"/>
      <c r="AD24" s="31"/>
      <c r="AE24" s="31"/>
      <c r="AF24" s="15"/>
    </row>
    <row r="25" spans="1:32" ht="16.5" customHeight="1" x14ac:dyDescent="0.25">
      <c r="A25" s="311"/>
      <c r="B25" s="20">
        <v>46203</v>
      </c>
      <c r="C25" s="82" t="s">
        <v>1382</v>
      </c>
      <c r="D25" s="27"/>
      <c r="F25" s="35"/>
      <c r="J25" s="31"/>
      <c r="K25" s="13"/>
      <c r="L25" s="35"/>
      <c r="N25" s="35"/>
      <c r="O25" s="35"/>
      <c r="P25" s="35"/>
      <c r="Q25" s="14">
        <v>75</v>
      </c>
      <c r="R25" s="27"/>
      <c r="V25" s="31"/>
      <c r="W25" s="13"/>
      <c r="AB25" s="228"/>
      <c r="AC25" s="13"/>
      <c r="AD25" s="31"/>
      <c r="AE25" s="31"/>
      <c r="AF25" s="15"/>
    </row>
    <row r="26" spans="1:32" ht="16.5" customHeight="1" x14ac:dyDescent="0.25">
      <c r="A26" s="311"/>
      <c r="B26" s="20">
        <v>46203</v>
      </c>
      <c r="C26" s="14" t="s">
        <v>747</v>
      </c>
      <c r="D26" s="27">
        <v>500</v>
      </c>
      <c r="F26" s="35"/>
      <c r="J26" s="31"/>
      <c r="K26" s="13"/>
      <c r="L26" s="35"/>
      <c r="N26" s="35"/>
      <c r="O26" s="35"/>
      <c r="P26" s="35"/>
      <c r="Q26" s="14"/>
      <c r="R26" s="27"/>
      <c r="V26" s="31"/>
      <c r="W26" s="13"/>
      <c r="AB26" s="228"/>
      <c r="AC26" s="13"/>
      <c r="AD26" s="31"/>
      <c r="AE26" s="31"/>
      <c r="AF26" s="15"/>
    </row>
    <row r="27" spans="1:32" ht="16.5" customHeight="1" x14ac:dyDescent="0.25">
      <c r="A27" s="311"/>
      <c r="B27" s="20">
        <v>46203</v>
      </c>
      <c r="C27" s="14" t="s">
        <v>1383</v>
      </c>
      <c r="D27" s="27"/>
      <c r="F27" s="35"/>
      <c r="J27" s="31">
        <v>500</v>
      </c>
      <c r="K27" s="13"/>
      <c r="L27" s="35"/>
      <c r="N27" s="35"/>
      <c r="O27" s="35"/>
      <c r="P27" s="35"/>
      <c r="Q27" s="14"/>
      <c r="R27" s="27"/>
      <c r="V27" s="31"/>
      <c r="W27" s="13"/>
      <c r="AB27" s="228"/>
      <c r="AC27" s="13"/>
      <c r="AD27" s="31"/>
      <c r="AE27" s="31"/>
      <c r="AF27" s="15"/>
    </row>
    <row r="28" spans="1:32" ht="16.5" customHeight="1" x14ac:dyDescent="0.25">
      <c r="A28" s="311"/>
      <c r="B28" s="20">
        <v>46203</v>
      </c>
      <c r="C28" s="14" t="s">
        <v>1384</v>
      </c>
      <c r="D28" s="27"/>
      <c r="F28" s="35"/>
      <c r="J28" s="31"/>
      <c r="K28" s="13"/>
      <c r="L28" s="35"/>
      <c r="N28" s="35"/>
      <c r="O28" s="35"/>
      <c r="P28" s="35"/>
      <c r="Q28" s="14"/>
      <c r="R28" s="27"/>
      <c r="V28" s="31"/>
      <c r="W28" s="13"/>
      <c r="AB28" s="228"/>
      <c r="AC28" s="13">
        <v>300</v>
      </c>
      <c r="AD28" s="31"/>
      <c r="AE28" s="31"/>
      <c r="AF28" s="15"/>
    </row>
    <row r="29" spans="1:32" ht="16.5" customHeight="1" x14ac:dyDescent="0.25">
      <c r="A29" s="311"/>
      <c r="B29" s="20">
        <v>46203</v>
      </c>
      <c r="C29" s="14" t="s">
        <v>1385</v>
      </c>
      <c r="D29" s="27"/>
      <c r="F29" s="35"/>
      <c r="J29" s="31"/>
      <c r="K29" s="13"/>
      <c r="L29" s="35"/>
      <c r="N29" s="35"/>
      <c r="O29" s="35"/>
      <c r="P29" s="35"/>
      <c r="Q29" s="14"/>
      <c r="R29" s="27"/>
      <c r="V29" s="31"/>
      <c r="W29" s="13"/>
      <c r="AB29" s="228"/>
      <c r="AC29" s="13">
        <v>38</v>
      </c>
      <c r="AD29" s="31"/>
      <c r="AE29" s="31"/>
      <c r="AF29" s="15"/>
    </row>
    <row r="30" spans="1:32" ht="16.5" customHeight="1" x14ac:dyDescent="0.25">
      <c r="A30" s="311"/>
      <c r="B30" s="20">
        <v>46204</v>
      </c>
      <c r="C30" s="14" t="s">
        <v>561</v>
      </c>
      <c r="D30" s="27">
        <v>4500</v>
      </c>
      <c r="F30" s="35"/>
      <c r="J30" s="31"/>
      <c r="K30" s="13"/>
      <c r="L30" s="35"/>
      <c r="N30" s="35"/>
      <c r="O30" s="35"/>
      <c r="P30" s="35"/>
      <c r="Q30" s="14"/>
      <c r="R30" s="27"/>
      <c r="U30">
        <v>400</v>
      </c>
      <c r="V30" s="31"/>
      <c r="W30" s="13"/>
      <c r="AB30" s="228"/>
      <c r="AC30" s="13"/>
      <c r="AD30" s="31"/>
      <c r="AE30" s="31"/>
      <c r="AF30" s="15"/>
    </row>
    <row r="31" spans="1:32" ht="16.5" customHeight="1" x14ac:dyDescent="0.25">
      <c r="A31" s="311"/>
      <c r="B31" s="20">
        <v>46205</v>
      </c>
      <c r="C31" s="14" t="s">
        <v>1408</v>
      </c>
      <c r="D31" s="27"/>
      <c r="F31" s="35"/>
      <c r="J31" s="31"/>
      <c r="K31" s="13"/>
      <c r="L31" s="35"/>
      <c r="N31" s="35"/>
      <c r="O31" s="35"/>
      <c r="P31" s="35"/>
      <c r="Q31" s="14">
        <v>50</v>
      </c>
      <c r="R31" s="27"/>
      <c r="V31" s="31"/>
      <c r="W31" s="13"/>
      <c r="AB31" s="228"/>
      <c r="AC31" s="13"/>
      <c r="AD31" s="31"/>
      <c r="AE31" s="31"/>
      <c r="AF31" s="15"/>
    </row>
    <row r="32" spans="1:32" ht="16.5" customHeight="1" x14ac:dyDescent="0.25">
      <c r="A32" s="311"/>
      <c r="B32" s="20">
        <v>46205</v>
      </c>
      <c r="C32" s="14" t="s">
        <v>1411</v>
      </c>
      <c r="D32" s="27">
        <v>1000</v>
      </c>
      <c r="F32" s="35"/>
      <c r="J32" s="31"/>
      <c r="K32" s="13"/>
      <c r="L32" s="35"/>
      <c r="N32" s="35"/>
      <c r="O32" s="35"/>
      <c r="P32" s="35"/>
      <c r="Q32" s="14"/>
      <c r="R32" s="27"/>
      <c r="V32" s="31"/>
      <c r="W32" s="13"/>
      <c r="AB32" s="228"/>
      <c r="AC32" s="13"/>
      <c r="AD32" s="31"/>
      <c r="AE32" s="31"/>
      <c r="AF32" s="15"/>
    </row>
    <row r="33" spans="1:241" ht="16.5" customHeight="1" x14ac:dyDescent="0.25">
      <c r="A33" s="311"/>
      <c r="B33" s="20">
        <v>46205</v>
      </c>
      <c r="C33" s="14" t="s">
        <v>1412</v>
      </c>
      <c r="D33" s="27">
        <v>200</v>
      </c>
      <c r="F33" s="35"/>
      <c r="J33" s="31"/>
      <c r="K33" s="13"/>
      <c r="L33" s="35"/>
      <c r="N33" s="35"/>
      <c r="O33" s="35"/>
      <c r="P33" s="35"/>
      <c r="Q33" s="14"/>
      <c r="R33" s="27"/>
      <c r="V33" s="31"/>
      <c r="W33" s="13"/>
      <c r="AB33" s="228"/>
      <c r="AC33" s="13"/>
      <c r="AD33" s="31"/>
      <c r="AE33" s="31"/>
      <c r="AF33" s="15"/>
    </row>
    <row r="34" spans="1:241" ht="16.5" customHeight="1" x14ac:dyDescent="0.25">
      <c r="A34" s="311"/>
      <c r="B34" s="20">
        <v>46206</v>
      </c>
      <c r="C34" s="14" t="s">
        <v>1129</v>
      </c>
      <c r="D34" s="27"/>
      <c r="F34" s="35"/>
      <c r="J34" s="31"/>
      <c r="K34" s="13"/>
      <c r="L34" s="35"/>
      <c r="N34" s="35"/>
      <c r="O34" s="35"/>
      <c r="P34" s="35"/>
      <c r="Q34" s="14">
        <v>1500</v>
      </c>
      <c r="R34" s="27"/>
      <c r="V34" s="31"/>
      <c r="W34" s="13"/>
      <c r="AB34" s="228"/>
      <c r="AC34" s="13"/>
      <c r="AD34" s="31"/>
      <c r="AE34" s="31"/>
      <c r="AF34" s="15"/>
    </row>
    <row r="35" spans="1:241" ht="16.5" customHeight="1" x14ac:dyDescent="0.25">
      <c r="A35" s="311"/>
      <c r="B35" s="20">
        <v>46206</v>
      </c>
      <c r="C35" s="14" t="s">
        <v>1433</v>
      </c>
      <c r="D35" s="27"/>
      <c r="F35" s="35"/>
      <c r="J35" s="31"/>
      <c r="K35" s="13"/>
      <c r="L35" s="35"/>
      <c r="N35" s="35"/>
      <c r="O35" s="35"/>
      <c r="P35" s="35"/>
      <c r="Q35" s="14">
        <v>100</v>
      </c>
      <c r="R35" s="27"/>
      <c r="V35" s="31"/>
      <c r="W35" s="13"/>
      <c r="AB35" s="228"/>
      <c r="AC35" s="13"/>
      <c r="AD35" s="31"/>
      <c r="AE35" s="31"/>
      <c r="AF35" s="15"/>
    </row>
    <row r="36" spans="1:241" ht="16.5" customHeight="1" x14ac:dyDescent="0.25">
      <c r="A36" s="311"/>
      <c r="B36" s="20">
        <v>46206</v>
      </c>
      <c r="C36" s="14" t="s">
        <v>795</v>
      </c>
      <c r="D36" s="27"/>
      <c r="F36" s="35"/>
      <c r="J36" s="31"/>
      <c r="K36" s="13"/>
      <c r="L36" s="35">
        <v>1000</v>
      </c>
      <c r="N36" s="35"/>
      <c r="O36" s="35"/>
      <c r="P36" s="35"/>
      <c r="Q36" s="14"/>
      <c r="R36" s="27"/>
      <c r="V36" s="31"/>
      <c r="W36" s="13"/>
      <c r="AB36" s="228"/>
      <c r="AC36" s="13"/>
      <c r="AD36" s="31"/>
      <c r="AE36" s="31"/>
      <c r="AF36" s="15"/>
    </row>
    <row r="37" spans="1:241" ht="16.5" customHeight="1" x14ac:dyDescent="0.25">
      <c r="A37" s="311"/>
      <c r="B37" s="20">
        <v>46206</v>
      </c>
      <c r="C37" s="14" t="s">
        <v>1435</v>
      </c>
      <c r="D37" s="27"/>
      <c r="F37" s="35">
        <v>4000</v>
      </c>
      <c r="J37" s="31"/>
      <c r="K37" s="13"/>
      <c r="L37" s="35"/>
      <c r="N37" s="35"/>
      <c r="O37" s="35"/>
      <c r="P37" s="35"/>
      <c r="Q37" s="14"/>
      <c r="R37" s="27"/>
      <c r="V37" s="31"/>
      <c r="W37" s="13"/>
      <c r="AB37" s="228"/>
      <c r="AC37" s="13"/>
      <c r="AD37" s="31"/>
      <c r="AE37" s="31"/>
      <c r="AF37" s="15"/>
    </row>
    <row r="38" spans="1:241" ht="16.5" customHeight="1" x14ac:dyDescent="0.25">
      <c r="A38" s="311"/>
      <c r="B38" s="20">
        <v>46206</v>
      </c>
      <c r="C38" s="14" t="s">
        <v>1436</v>
      </c>
      <c r="D38" s="27"/>
      <c r="F38" s="35"/>
      <c r="J38" s="31"/>
      <c r="K38" s="13"/>
      <c r="L38" s="35"/>
      <c r="N38" s="35"/>
      <c r="O38" s="35"/>
      <c r="P38" s="35"/>
      <c r="Q38" s="14"/>
      <c r="R38" s="27"/>
      <c r="V38" s="31"/>
      <c r="W38" s="13">
        <v>600</v>
      </c>
      <c r="AB38" s="228"/>
      <c r="AC38" s="13"/>
      <c r="AD38" s="31"/>
      <c r="AE38" s="31"/>
      <c r="AF38" s="15"/>
    </row>
    <row r="39" spans="1:241" ht="16.5" customHeight="1" x14ac:dyDescent="0.25">
      <c r="A39" s="311"/>
      <c r="B39" s="20">
        <v>46206</v>
      </c>
      <c r="C39" s="14" t="s">
        <v>1442</v>
      </c>
      <c r="D39" s="27"/>
      <c r="F39" s="35"/>
      <c r="J39" s="31"/>
      <c r="K39" s="13"/>
      <c r="L39" s="35"/>
      <c r="N39" s="35"/>
      <c r="O39" s="35"/>
      <c r="P39" s="35"/>
      <c r="Q39" s="14"/>
      <c r="R39" s="27"/>
      <c r="V39" s="31"/>
      <c r="W39" s="13"/>
      <c r="AA39">
        <v>355</v>
      </c>
      <c r="AB39" s="228"/>
      <c r="AC39" s="13"/>
      <c r="AD39" s="31"/>
      <c r="AE39" s="31"/>
      <c r="AF39" s="15"/>
    </row>
    <row r="40" spans="1:241" ht="16.5" customHeight="1" x14ac:dyDescent="0.25">
      <c r="A40" s="311"/>
      <c r="B40" s="146"/>
      <c r="C40" s="342"/>
      <c r="D40" s="27"/>
      <c r="F40" s="35"/>
      <c r="J40" s="31"/>
      <c r="K40" s="13"/>
      <c r="L40" s="35"/>
      <c r="N40" s="35"/>
      <c r="O40" s="35"/>
      <c r="P40" s="343"/>
      <c r="Q40" s="14"/>
      <c r="R40" s="27"/>
      <c r="V40" s="31"/>
      <c r="W40" s="13"/>
      <c r="AB40" s="228"/>
      <c r="AC40" s="13"/>
      <c r="AD40" s="31"/>
      <c r="AE40" s="31"/>
      <c r="AF40" s="15"/>
    </row>
    <row r="41" spans="1:241" ht="16.5" customHeight="1" x14ac:dyDescent="0.25">
      <c r="A41" s="311"/>
      <c r="B41" s="20"/>
      <c r="C41" s="14"/>
      <c r="D41" s="27"/>
      <c r="F41" s="35"/>
      <c r="J41" s="31"/>
      <c r="K41" s="13"/>
      <c r="L41" s="35"/>
      <c r="N41" s="35"/>
      <c r="O41" s="35"/>
      <c r="P41" s="35"/>
      <c r="Q41" s="14"/>
      <c r="R41" s="27"/>
      <c r="V41" s="31"/>
      <c r="W41" s="13"/>
      <c r="AB41" s="228"/>
      <c r="AC41" s="13"/>
      <c r="AD41" s="31"/>
      <c r="AE41" s="31"/>
      <c r="AF41" s="15"/>
    </row>
    <row r="42" spans="1:241" ht="16.5" customHeight="1" x14ac:dyDescent="0.25">
      <c r="A42" s="311"/>
      <c r="B42" s="20"/>
      <c r="C42" s="14"/>
      <c r="D42" s="27"/>
      <c r="F42" s="35"/>
      <c r="J42" s="31"/>
      <c r="K42" s="13"/>
      <c r="L42" s="35"/>
      <c r="N42" s="35"/>
      <c r="O42" s="35"/>
      <c r="P42" s="35"/>
      <c r="Q42" s="14"/>
      <c r="R42" s="27"/>
      <c r="V42" s="31"/>
      <c r="W42" s="13"/>
      <c r="AB42" s="228"/>
      <c r="AC42" s="13"/>
      <c r="AD42" s="31"/>
      <c r="AE42" s="31"/>
      <c r="AF42" s="15"/>
    </row>
    <row r="43" spans="1:241" ht="16.5" customHeight="1" x14ac:dyDescent="0.25">
      <c r="A43" s="311"/>
      <c r="B43" s="20"/>
      <c r="C43" s="14"/>
      <c r="D43" s="27"/>
      <c r="F43" s="35"/>
      <c r="J43" s="31"/>
      <c r="K43" s="13"/>
      <c r="L43" s="35"/>
      <c r="N43" s="35"/>
      <c r="O43" s="35"/>
      <c r="P43" s="35"/>
      <c r="Q43" s="14"/>
      <c r="R43" s="27"/>
      <c r="V43" s="31"/>
      <c r="W43" s="13"/>
      <c r="AB43" s="228"/>
      <c r="AC43" s="13"/>
      <c r="AD43" s="31"/>
      <c r="AE43" s="31"/>
      <c r="AF43" s="15"/>
    </row>
    <row r="44" spans="1:241" s="52" customFormat="1" x14ac:dyDescent="0.25">
      <c r="A44" s="311"/>
      <c r="B44" s="20"/>
      <c r="C44" s="105" t="s">
        <v>137</v>
      </c>
      <c r="D44" s="83"/>
      <c r="J44" s="105"/>
      <c r="K44" s="83"/>
      <c r="Q44" s="105"/>
      <c r="R44" s="83"/>
      <c r="V44" s="105"/>
      <c r="W44" s="83"/>
      <c r="AB44" s="229"/>
      <c r="AC44" s="83"/>
      <c r="AD44" s="105"/>
      <c r="AE44" s="105"/>
      <c r="AF44" s="115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</row>
    <row r="45" spans="1:241" x14ac:dyDescent="0.25">
      <c r="A45" s="311"/>
      <c r="B45" s="20"/>
      <c r="C45" s="14"/>
      <c r="D45" s="27"/>
      <c r="F45" s="35"/>
      <c r="J45" s="31"/>
      <c r="K45" s="13"/>
      <c r="L45" s="35"/>
      <c r="N45" s="35"/>
      <c r="O45" s="35"/>
      <c r="P45" s="35"/>
      <c r="Q45" s="14"/>
      <c r="R45" s="27"/>
      <c r="V45" s="31"/>
      <c r="W45" s="13"/>
      <c r="AB45" s="228"/>
      <c r="AC45" s="13"/>
      <c r="AD45" s="31"/>
      <c r="AE45" s="31"/>
      <c r="AF45" s="15"/>
    </row>
    <row r="46" spans="1:241" ht="15.75" thickBot="1" x14ac:dyDescent="0.3">
      <c r="A46" s="312"/>
      <c r="B46" s="20"/>
      <c r="C46" s="14"/>
      <c r="D46" s="27"/>
      <c r="F46" s="35"/>
      <c r="J46" s="31"/>
      <c r="K46" s="13"/>
      <c r="L46" s="35"/>
      <c r="N46" s="35"/>
      <c r="O46" s="35"/>
      <c r="P46" s="35"/>
      <c r="Q46" s="14"/>
      <c r="R46" s="27"/>
      <c r="V46" s="31"/>
      <c r="W46" s="13"/>
      <c r="AB46" s="228"/>
      <c r="AC46" s="13"/>
      <c r="AD46" s="31"/>
      <c r="AE46" s="31"/>
      <c r="AF46" s="15"/>
      <c r="AJ46">
        <f>0.3*400</f>
        <v>120</v>
      </c>
    </row>
    <row r="47" spans="1:241" ht="21.75" thickBot="1" x14ac:dyDescent="0.3">
      <c r="A47" s="21" t="s">
        <v>23</v>
      </c>
      <c r="B47" s="329"/>
      <c r="C47" s="330"/>
      <c r="D47" s="29">
        <f t="shared" ref="D47:AF47" si="0">SUM(D4:D18)-SUM(D19:D46)</f>
        <v>1850</v>
      </c>
      <c r="E47" s="22">
        <f t="shared" si="0"/>
        <v>2</v>
      </c>
      <c r="F47" s="37">
        <f t="shared" si="0"/>
        <v>3291</v>
      </c>
      <c r="G47" s="24">
        <f t="shared" si="0"/>
        <v>140</v>
      </c>
      <c r="H47" s="24">
        <f t="shared" si="0"/>
        <v>52</v>
      </c>
      <c r="I47" s="24">
        <f t="shared" si="0"/>
        <v>2908</v>
      </c>
      <c r="J47" s="33">
        <f t="shared" si="0"/>
        <v>10820</v>
      </c>
      <c r="K47" s="22">
        <f t="shared" si="0"/>
        <v>10</v>
      </c>
      <c r="L47" s="37">
        <f t="shared" si="0"/>
        <v>1005</v>
      </c>
      <c r="M47" s="24">
        <f t="shared" si="0"/>
        <v>181</v>
      </c>
      <c r="N47" s="37">
        <f t="shared" si="0"/>
        <v>2161</v>
      </c>
      <c r="O47" s="37">
        <f t="shared" si="0"/>
        <v>47</v>
      </c>
      <c r="P47" s="37">
        <f t="shared" si="0"/>
        <v>10321</v>
      </c>
      <c r="Q47" s="23">
        <f t="shared" si="0"/>
        <v>2860</v>
      </c>
      <c r="R47" s="29">
        <f t="shared" si="0"/>
        <v>402</v>
      </c>
      <c r="S47" s="29">
        <f t="shared" si="0"/>
        <v>0</v>
      </c>
      <c r="T47" s="29">
        <f t="shared" si="0"/>
        <v>920</v>
      </c>
      <c r="U47" s="107">
        <f t="shared" si="0"/>
        <v>1970</v>
      </c>
      <c r="V47" s="33">
        <f t="shared" si="0"/>
        <v>1434</v>
      </c>
      <c r="W47" s="22">
        <f t="shared" si="0"/>
        <v>1229</v>
      </c>
      <c r="X47" s="22">
        <f t="shared" si="0"/>
        <v>1000</v>
      </c>
      <c r="Y47" s="22">
        <f t="shared" si="0"/>
        <v>0</v>
      </c>
      <c r="Z47" s="22">
        <f t="shared" si="0"/>
        <v>0</v>
      </c>
      <c r="AA47" s="22">
        <f t="shared" si="0"/>
        <v>450</v>
      </c>
      <c r="AB47" s="230">
        <f t="shared" si="0"/>
        <v>230</v>
      </c>
      <c r="AC47" s="22">
        <f t="shared" si="0"/>
        <v>0</v>
      </c>
      <c r="AD47" s="33">
        <f t="shared" si="0"/>
        <v>736</v>
      </c>
      <c r="AE47" s="33">
        <f t="shared" si="0"/>
        <v>200</v>
      </c>
      <c r="AF47" s="33">
        <f t="shared" si="0"/>
        <v>250</v>
      </c>
    </row>
    <row r="49" spans="3:33" x14ac:dyDescent="0.25">
      <c r="C49" t="s">
        <v>176</v>
      </c>
      <c r="D49">
        <v>0.63</v>
      </c>
      <c r="E49">
        <v>0.55000000000000004</v>
      </c>
      <c r="F49">
        <v>0.71</v>
      </c>
      <c r="G49">
        <v>0.65</v>
      </c>
      <c r="H49">
        <v>0.65</v>
      </c>
      <c r="I49">
        <v>0.66</v>
      </c>
      <c r="J49">
        <v>0.66</v>
      </c>
      <c r="K49">
        <v>0.84</v>
      </c>
      <c r="L49">
        <v>0.84</v>
      </c>
      <c r="M49" s="50">
        <f>0.95+0.1</f>
        <v>1.05</v>
      </c>
      <c r="N49">
        <v>1.02</v>
      </c>
      <c r="O49">
        <v>0.82</v>
      </c>
      <c r="P49">
        <v>0.92</v>
      </c>
      <c r="Q49">
        <v>0.85</v>
      </c>
      <c r="R49">
        <v>2.75</v>
      </c>
      <c r="S49">
        <v>2.6</v>
      </c>
      <c r="T49">
        <v>2.95</v>
      </c>
      <c r="U49">
        <v>2.7</v>
      </c>
      <c r="V49">
        <v>2.5499999999999998</v>
      </c>
      <c r="W49">
        <v>2.8</v>
      </c>
      <c r="X49">
        <v>2.7</v>
      </c>
      <c r="Y49">
        <v>2.9</v>
      </c>
      <c r="Z49">
        <v>2.85</v>
      </c>
      <c r="AA49">
        <v>2.65</v>
      </c>
      <c r="AB49">
        <v>3.1</v>
      </c>
      <c r="AC49">
        <v>0.6</v>
      </c>
      <c r="AD49">
        <v>0.47</v>
      </c>
      <c r="AE49">
        <v>1.7</v>
      </c>
      <c r="AF49" s="109">
        <v>1.9</v>
      </c>
    </row>
    <row r="50" spans="3:33" x14ac:dyDescent="0.25">
      <c r="D50">
        <f>+D47*D49</f>
        <v>1165.5</v>
      </c>
      <c r="E50">
        <f>+E47*E49</f>
        <v>1.1000000000000001</v>
      </c>
      <c r="F50">
        <f t="shared" ref="F50:AF50" si="1">+F47*F49</f>
        <v>2336.6099999999997</v>
      </c>
      <c r="G50">
        <f t="shared" si="1"/>
        <v>91</v>
      </c>
      <c r="H50">
        <f t="shared" si="1"/>
        <v>33.800000000000004</v>
      </c>
      <c r="I50">
        <f t="shared" si="1"/>
        <v>1919.2800000000002</v>
      </c>
      <c r="J50">
        <f t="shared" si="1"/>
        <v>7141.2000000000007</v>
      </c>
      <c r="K50">
        <f t="shared" si="1"/>
        <v>8.4</v>
      </c>
      <c r="L50">
        <f t="shared" si="1"/>
        <v>844.19999999999993</v>
      </c>
      <c r="M50">
        <f t="shared" si="1"/>
        <v>190.05</v>
      </c>
      <c r="N50">
        <f t="shared" si="1"/>
        <v>2204.2200000000003</v>
      </c>
      <c r="O50">
        <f>O47*O49</f>
        <v>38.54</v>
      </c>
      <c r="P50">
        <f t="shared" si="1"/>
        <v>9495.32</v>
      </c>
      <c r="Q50">
        <f>+Q47*Q49</f>
        <v>2431</v>
      </c>
      <c r="R50">
        <f t="shared" si="1"/>
        <v>1105.5</v>
      </c>
      <c r="S50">
        <f t="shared" si="1"/>
        <v>0</v>
      </c>
      <c r="T50">
        <f t="shared" si="1"/>
        <v>2714</v>
      </c>
      <c r="U50">
        <f t="shared" si="1"/>
        <v>5319</v>
      </c>
      <c r="V50">
        <f t="shared" si="1"/>
        <v>3656.7</v>
      </c>
      <c r="W50">
        <f t="shared" si="1"/>
        <v>3441.2</v>
      </c>
      <c r="X50">
        <f>+X47*X49</f>
        <v>2700</v>
      </c>
      <c r="Y50">
        <f>+Y47*Y49</f>
        <v>0</v>
      </c>
      <c r="Z50">
        <f>Z47*Z49</f>
        <v>0</v>
      </c>
      <c r="AA50">
        <f>AA47*AA49</f>
        <v>1192.5</v>
      </c>
      <c r="AB50">
        <f t="shared" si="1"/>
        <v>713</v>
      </c>
      <c r="AC50">
        <f t="shared" si="1"/>
        <v>0</v>
      </c>
      <c r="AD50">
        <f t="shared" si="1"/>
        <v>345.91999999999996</v>
      </c>
      <c r="AE50">
        <f t="shared" si="1"/>
        <v>340</v>
      </c>
      <c r="AF50">
        <f t="shared" si="1"/>
        <v>475</v>
      </c>
      <c r="AG50" s="52">
        <f>SUM(D50:AF50)</f>
        <v>49903.039999999994</v>
      </c>
    </row>
    <row r="51" spans="3:33" x14ac:dyDescent="0.25"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103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3:33" x14ac:dyDescent="0.25"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103"/>
      <c r="V52" s="39"/>
      <c r="W52" s="39"/>
      <c r="X52" s="39"/>
      <c r="Z52" s="39"/>
      <c r="AA52" s="39"/>
      <c r="AB52" s="39"/>
      <c r="AC52" s="39"/>
      <c r="AD52" s="39"/>
      <c r="AE52" s="39"/>
      <c r="AF52" s="39"/>
    </row>
    <row r="53" spans="3:33" x14ac:dyDescent="0.25">
      <c r="C53" s="39"/>
      <c r="D53" s="39"/>
      <c r="E53" s="39"/>
      <c r="F53" s="39"/>
      <c r="G53" s="39"/>
      <c r="H53" s="39"/>
      <c r="I53" s="39"/>
    </row>
    <row r="54" spans="3:33" x14ac:dyDescent="0.25">
      <c r="C54" s="39"/>
      <c r="D54" s="39"/>
      <c r="E54" s="39"/>
      <c r="F54" s="39"/>
      <c r="G54" s="39"/>
      <c r="H54" s="39"/>
      <c r="I54" s="39"/>
    </row>
    <row r="55" spans="3:33" x14ac:dyDescent="0.25">
      <c r="C55" s="39"/>
      <c r="D55" s="39"/>
      <c r="E55" s="39"/>
      <c r="F55" s="39"/>
      <c r="G55" s="39"/>
      <c r="H55" s="39"/>
      <c r="I55" s="39"/>
    </row>
    <row r="56" spans="3:33" x14ac:dyDescent="0.25">
      <c r="C56" s="39"/>
      <c r="D56" s="39"/>
      <c r="E56" s="39"/>
      <c r="F56" s="39"/>
      <c r="G56" s="39"/>
      <c r="H56" s="39"/>
      <c r="I56" s="39"/>
      <c r="L56">
        <v>5281</v>
      </c>
    </row>
    <row r="57" spans="3:33" x14ac:dyDescent="0.25">
      <c r="C57" s="105" t="s">
        <v>137</v>
      </c>
      <c r="AA57">
        <f>2250+400</f>
        <v>2650</v>
      </c>
    </row>
    <row r="58" spans="3:33" x14ac:dyDescent="0.25">
      <c r="C58" t="s">
        <v>915</v>
      </c>
      <c r="D58">
        <v>10</v>
      </c>
      <c r="AA58">
        <f>2400+400</f>
        <v>2800</v>
      </c>
      <c r="AC58">
        <f>470+150</f>
        <v>620</v>
      </c>
    </row>
    <row r="59" spans="3:33" x14ac:dyDescent="0.25">
      <c r="AB59" t="s">
        <v>139</v>
      </c>
    </row>
    <row r="62" spans="3:33" x14ac:dyDescent="0.25">
      <c r="Y62">
        <f>5000*0.59</f>
        <v>2950</v>
      </c>
    </row>
    <row r="65" spans="3:27" x14ac:dyDescent="0.25">
      <c r="K65" t="s">
        <v>1159</v>
      </c>
      <c r="L65" t="s">
        <v>1155</v>
      </c>
      <c r="M65" t="s">
        <v>1156</v>
      </c>
      <c r="N65" t="s">
        <v>223</v>
      </c>
    </row>
    <row r="66" spans="3:27" x14ac:dyDescent="0.25">
      <c r="J66" t="s">
        <v>1157</v>
      </c>
      <c r="K66">
        <v>5281</v>
      </c>
      <c r="L66">
        <v>2546</v>
      </c>
      <c r="M66">
        <v>35</v>
      </c>
      <c r="N66" s="91">
        <v>46178</v>
      </c>
    </row>
    <row r="67" spans="3:27" x14ac:dyDescent="0.25">
      <c r="J67" t="s">
        <v>1158</v>
      </c>
      <c r="K67">
        <v>385</v>
      </c>
      <c r="L67">
        <v>300</v>
      </c>
      <c r="M67">
        <v>-85</v>
      </c>
      <c r="AA67" t="s">
        <v>958</v>
      </c>
    </row>
    <row r="68" spans="3:27" x14ac:dyDescent="0.25">
      <c r="AA68" t="s">
        <v>959</v>
      </c>
    </row>
    <row r="76" spans="3:27" ht="30" customHeight="1" x14ac:dyDescent="0.25"/>
    <row r="79" spans="3:27" x14ac:dyDescent="0.25">
      <c r="C79" s="98" t="s">
        <v>118</v>
      </c>
      <c r="D79">
        <f>5050+180</f>
        <v>5230</v>
      </c>
      <c r="E79">
        <v>140</v>
      </c>
      <c r="F79">
        <f>-310+70+80</f>
        <v>-160</v>
      </c>
      <c r="G79">
        <f>8000+1340-200</f>
        <v>9140</v>
      </c>
    </row>
    <row r="80" spans="3:27" x14ac:dyDescent="0.25">
      <c r="C80" t="s">
        <v>119</v>
      </c>
      <c r="D80">
        <v>6500</v>
      </c>
      <c r="E80">
        <v>6500</v>
      </c>
      <c r="F80">
        <v>6500</v>
      </c>
      <c r="G80">
        <v>6500</v>
      </c>
    </row>
    <row r="81" spans="3:39" x14ac:dyDescent="0.25">
      <c r="C81" t="s">
        <v>120</v>
      </c>
      <c r="D81">
        <v>33280</v>
      </c>
      <c r="E81">
        <v>33280</v>
      </c>
      <c r="F81">
        <f>38060-1480</f>
        <v>36580</v>
      </c>
      <c r="G81">
        <v>27560</v>
      </c>
    </row>
    <row r="82" spans="3:39" x14ac:dyDescent="0.25">
      <c r="C82" t="s">
        <v>123</v>
      </c>
      <c r="D82">
        <v>2960</v>
      </c>
      <c r="E82">
        <v>2960</v>
      </c>
      <c r="F82">
        <f>1150</f>
        <v>1150</v>
      </c>
      <c r="G82">
        <v>1980</v>
      </c>
      <c r="AL82" t="s">
        <v>150</v>
      </c>
      <c r="AM82" t="s">
        <v>151</v>
      </c>
    </row>
    <row r="83" spans="3:39" x14ac:dyDescent="0.25">
      <c r="C83" t="s">
        <v>122</v>
      </c>
      <c r="D83">
        <v>1300</v>
      </c>
      <c r="E83">
        <v>1300</v>
      </c>
      <c r="F83">
        <v>1300</v>
      </c>
      <c r="G83">
        <v>1300</v>
      </c>
      <c r="AL83" t="s">
        <v>152</v>
      </c>
    </row>
    <row r="84" spans="3:39" x14ac:dyDescent="0.25">
      <c r="C84" t="s">
        <v>127</v>
      </c>
      <c r="D84">
        <v>-9815</v>
      </c>
      <c r="E84">
        <v>-4815</v>
      </c>
      <c r="F84">
        <v>-4815</v>
      </c>
      <c r="G84">
        <v>-4815</v>
      </c>
    </row>
    <row r="85" spans="3:39" x14ac:dyDescent="0.25">
      <c r="C85" t="s">
        <v>128</v>
      </c>
      <c r="AL85" t="s">
        <v>153</v>
      </c>
    </row>
    <row r="87" spans="3:39" x14ac:dyDescent="0.25">
      <c r="D87">
        <f>SUM(D79:D86)</f>
        <v>39455</v>
      </c>
      <c r="E87">
        <f>SUM(E79:E84)</f>
        <v>39365</v>
      </c>
      <c r="F87">
        <f>SUM(F79:F84)</f>
        <v>40555</v>
      </c>
      <c r="G87">
        <f>SUM(G79:G84)</f>
        <v>41665</v>
      </c>
    </row>
    <row r="88" spans="3:39" x14ac:dyDescent="0.25">
      <c r="C88" t="s">
        <v>124</v>
      </c>
      <c r="D88">
        <v>100</v>
      </c>
      <c r="E88">
        <v>100</v>
      </c>
      <c r="F88">
        <v>100</v>
      </c>
      <c r="G88">
        <v>100</v>
      </c>
      <c r="AL88">
        <v>24005</v>
      </c>
    </row>
    <row r="89" spans="3:39" x14ac:dyDescent="0.25">
      <c r="C89" t="s">
        <v>125</v>
      </c>
      <c r="D89">
        <f>+D87-D88</f>
        <v>39355</v>
      </c>
      <c r="E89">
        <f>+E87-E88</f>
        <v>39265</v>
      </c>
      <c r="F89">
        <f>+F87-F88</f>
        <v>40455</v>
      </c>
      <c r="G89">
        <f>+G87-G88</f>
        <v>41565</v>
      </c>
      <c r="AL89">
        <v>-24080</v>
      </c>
    </row>
    <row r="90" spans="3:39" x14ac:dyDescent="0.25">
      <c r="G90">
        <f>+G89-F89</f>
        <v>1110</v>
      </c>
      <c r="AL90">
        <f>SUM(AL88:AL89)</f>
        <v>-75</v>
      </c>
    </row>
  </sheetData>
  <mergeCells count="9">
    <mergeCell ref="AC2:AD2"/>
    <mergeCell ref="AE2:AF2"/>
    <mergeCell ref="A4:A18"/>
    <mergeCell ref="A19:A46"/>
    <mergeCell ref="B47:C47"/>
    <mergeCell ref="D2:J2"/>
    <mergeCell ref="K2:Q2"/>
    <mergeCell ref="R2:V2"/>
    <mergeCell ref="W2:AA2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203" verticalDpi="203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4A6D-A679-4F61-824E-1EA848173670}">
  <dimension ref="C5:P3047"/>
  <sheetViews>
    <sheetView tabSelected="1" topLeftCell="C2937" zoomScale="85" zoomScaleNormal="85" workbookViewId="0">
      <selection activeCell="D2924" sqref="D2924"/>
    </sheetView>
  </sheetViews>
  <sheetFormatPr baseColWidth="10" defaultRowHeight="15" x14ac:dyDescent="0.25"/>
  <cols>
    <col min="2" max="2" width="11.42578125" customWidth="1"/>
    <col min="3" max="3" width="14.140625" customWidth="1"/>
    <col min="4" max="4" width="72.85546875" customWidth="1"/>
    <col min="5" max="5" width="72.140625" customWidth="1"/>
    <col min="6" max="6" width="19.28515625" customWidth="1"/>
    <col min="7" max="7" width="15.140625" customWidth="1"/>
    <col min="8" max="8" width="17.85546875" customWidth="1"/>
    <col min="9" max="9" width="53.5703125" customWidth="1"/>
    <col min="10" max="10" width="35.85546875" customWidth="1"/>
    <col min="11" max="11" width="28.85546875" customWidth="1"/>
    <col min="12" max="13" width="12.5703125" bestFit="1" customWidth="1"/>
  </cols>
  <sheetData>
    <row r="5" spans="3:11" ht="18.75" x14ac:dyDescent="0.3">
      <c r="C5" s="314" t="s">
        <v>1087</v>
      </c>
      <c r="D5" s="315"/>
      <c r="E5" s="315"/>
      <c r="F5" s="315"/>
      <c r="G5" s="315"/>
      <c r="H5" s="315"/>
      <c r="I5" s="315"/>
      <c r="J5" s="315"/>
      <c r="K5" s="315"/>
    </row>
    <row r="6" spans="3:11" x14ac:dyDescent="0.25">
      <c r="C6" s="78"/>
      <c r="D6" s="78"/>
      <c r="E6" s="78"/>
      <c r="F6" s="78"/>
      <c r="G6" s="78"/>
      <c r="H6" s="78"/>
      <c r="I6" s="78"/>
      <c r="J6" s="78"/>
      <c r="K6" s="78"/>
    </row>
    <row r="7" spans="3:11" ht="15.75" x14ac:dyDescent="0.25">
      <c r="C7" s="118" t="s">
        <v>223</v>
      </c>
      <c r="D7" s="118" t="s">
        <v>206</v>
      </c>
      <c r="E7" s="118" t="s">
        <v>207</v>
      </c>
      <c r="F7" s="118" t="s">
        <v>218</v>
      </c>
      <c r="G7" s="78"/>
      <c r="H7" s="120" t="s">
        <v>6</v>
      </c>
      <c r="I7" s="120" t="s">
        <v>217</v>
      </c>
      <c r="J7" s="120" t="s">
        <v>207</v>
      </c>
      <c r="K7" s="120" t="s">
        <v>218</v>
      </c>
    </row>
    <row r="8" spans="3:11" x14ac:dyDescent="0.25">
      <c r="C8" s="118"/>
      <c r="D8" s="247" t="s">
        <v>980</v>
      </c>
      <c r="E8" s="247" t="s">
        <v>1089</v>
      </c>
      <c r="F8" s="248">
        <v>1125</v>
      </c>
      <c r="G8" s="78">
        <v>1500</v>
      </c>
      <c r="H8" s="117"/>
      <c r="I8" s="78"/>
      <c r="J8" s="78"/>
      <c r="K8" s="119"/>
    </row>
    <row r="9" spans="3:11" x14ac:dyDescent="0.25">
      <c r="C9" s="117">
        <v>46087</v>
      </c>
      <c r="D9" s="78" t="s">
        <v>214</v>
      </c>
      <c r="E9" s="155" t="s">
        <v>211</v>
      </c>
      <c r="F9" s="156">
        <v>2900</v>
      </c>
      <c r="G9" s="78"/>
      <c r="H9" s="117">
        <v>46037</v>
      </c>
      <c r="I9" s="149" t="s">
        <v>66</v>
      </c>
      <c r="J9" s="78" t="s">
        <v>222</v>
      </c>
      <c r="K9" s="119">
        <v>2120</v>
      </c>
    </row>
    <row r="10" spans="3:11" ht="15.75" x14ac:dyDescent="0.25">
      <c r="C10" s="78"/>
      <c r="D10" s="201" t="s">
        <v>429</v>
      </c>
      <c r="E10" s="201"/>
      <c r="F10" s="183">
        <v>185723.48</v>
      </c>
      <c r="G10" s="78"/>
      <c r="H10" s="184">
        <v>46170</v>
      </c>
      <c r="I10" s="78" t="s">
        <v>1060</v>
      </c>
      <c r="J10" s="185"/>
      <c r="K10" s="140">
        <v>1400</v>
      </c>
    </row>
    <row r="11" spans="3:11" ht="15.75" x14ac:dyDescent="0.25">
      <c r="C11" s="117">
        <v>46156</v>
      </c>
      <c r="D11" s="78" t="s">
        <v>353</v>
      </c>
      <c r="E11" s="166"/>
      <c r="F11" s="167">
        <v>580</v>
      </c>
      <c r="G11" s="78"/>
      <c r="H11" s="184">
        <v>46172</v>
      </c>
      <c r="I11" s="78" t="s">
        <v>257</v>
      </c>
      <c r="J11" s="185"/>
      <c r="K11" s="140">
        <v>5960</v>
      </c>
    </row>
    <row r="12" spans="3:11" ht="15.75" x14ac:dyDescent="0.25">
      <c r="C12" s="117">
        <v>46156</v>
      </c>
      <c r="D12" s="78" t="s">
        <v>471</v>
      </c>
      <c r="E12" s="166"/>
      <c r="F12" s="167">
        <v>3902</v>
      </c>
      <c r="G12" s="119"/>
      <c r="H12" s="184"/>
      <c r="I12" s="78" t="s">
        <v>1084</v>
      </c>
      <c r="J12" s="185"/>
      <c r="K12" s="140">
        <v>189000</v>
      </c>
    </row>
    <row r="13" spans="3:11" ht="15.75" x14ac:dyDescent="0.25">
      <c r="C13" s="117">
        <v>46156</v>
      </c>
      <c r="D13" s="78" t="s">
        <v>834</v>
      </c>
      <c r="E13" s="166"/>
      <c r="F13" s="167">
        <v>4385</v>
      </c>
      <c r="G13" s="119"/>
      <c r="H13" s="184"/>
      <c r="I13" s="78" t="s">
        <v>216</v>
      </c>
      <c r="J13" s="185"/>
      <c r="K13" s="140">
        <v>2120</v>
      </c>
    </row>
    <row r="14" spans="3:11" ht="15.75" x14ac:dyDescent="0.25">
      <c r="C14" s="117">
        <v>46161</v>
      </c>
      <c r="D14" s="78" t="s">
        <v>995</v>
      </c>
      <c r="E14" s="166"/>
      <c r="F14" s="167">
        <v>2950</v>
      </c>
      <c r="G14" s="78"/>
      <c r="H14" s="184"/>
      <c r="I14" s="78"/>
      <c r="J14" s="185"/>
      <c r="K14" s="140"/>
    </row>
    <row r="15" spans="3:11" x14ac:dyDescent="0.25">
      <c r="C15" s="117">
        <v>46163</v>
      </c>
      <c r="D15" s="78" t="s">
        <v>999</v>
      </c>
      <c r="E15" s="166"/>
      <c r="F15" s="167">
        <v>4510</v>
      </c>
      <c r="G15" s="78"/>
      <c r="H15" s="117"/>
      <c r="I15" s="78"/>
      <c r="J15" s="78"/>
      <c r="K15" s="119"/>
    </row>
    <row r="16" spans="3:11" ht="18.75" x14ac:dyDescent="0.3">
      <c r="C16" s="257"/>
      <c r="D16" s="258" t="s">
        <v>1079</v>
      </c>
      <c r="E16" s="214"/>
      <c r="F16" s="219">
        <v>2580</v>
      </c>
      <c r="G16" s="78"/>
      <c r="H16" s="78"/>
      <c r="I16" s="126" t="s">
        <v>226</v>
      </c>
      <c r="J16" s="126"/>
      <c r="K16" s="127">
        <f>SUM(K8:K15)</f>
        <v>200600</v>
      </c>
    </row>
    <row r="17" spans="3:11" x14ac:dyDescent="0.25">
      <c r="C17" s="257"/>
      <c r="D17" s="258" t="s">
        <v>1088</v>
      </c>
      <c r="E17" s="214"/>
      <c r="F17" s="219">
        <v>2080</v>
      </c>
      <c r="G17" s="78"/>
    </row>
    <row r="18" spans="3:11" x14ac:dyDescent="0.25">
      <c r="C18" s="257"/>
      <c r="D18" s="258"/>
      <c r="E18" s="214"/>
      <c r="F18" s="265">
        <v>4017.2</v>
      </c>
      <c r="G18" s="78"/>
      <c r="K18" s="121"/>
    </row>
    <row r="19" spans="3:11" x14ac:dyDescent="0.25">
      <c r="C19" s="257"/>
      <c r="D19" s="258" t="s">
        <v>1091</v>
      </c>
      <c r="E19" s="214"/>
      <c r="F19" s="219">
        <v>2550</v>
      </c>
      <c r="J19" s="121"/>
    </row>
    <row r="20" spans="3:11" x14ac:dyDescent="0.25">
      <c r="C20" s="257"/>
      <c r="D20" s="258" t="s">
        <v>1093</v>
      </c>
      <c r="E20" s="214"/>
      <c r="F20" s="219">
        <v>1050</v>
      </c>
      <c r="J20" s="121"/>
    </row>
    <row r="21" spans="3:11" x14ac:dyDescent="0.25">
      <c r="C21" s="257"/>
      <c r="D21" s="258" t="s">
        <v>497</v>
      </c>
      <c r="E21" s="214" t="s">
        <v>1094</v>
      </c>
      <c r="F21" s="219">
        <v>50</v>
      </c>
    </row>
    <row r="22" spans="3:11" ht="15.75" x14ac:dyDescent="0.25">
      <c r="C22" s="117"/>
      <c r="D22" s="78"/>
      <c r="E22" s="166"/>
      <c r="F22" s="167"/>
      <c r="H22" s="316" t="s">
        <v>227</v>
      </c>
      <c r="I22" s="317"/>
      <c r="J22" s="140">
        <f>F28-K16</f>
        <v>66193.56</v>
      </c>
    </row>
    <row r="23" spans="3:11" ht="15.75" x14ac:dyDescent="0.25">
      <c r="C23" s="78"/>
      <c r="D23" s="78"/>
      <c r="E23" s="78"/>
      <c r="F23" s="122">
        <f>SUM(F8:F22)</f>
        <v>218402.68000000002</v>
      </c>
      <c r="J23" s="89"/>
    </row>
    <row r="24" spans="3:11" ht="15.75" x14ac:dyDescent="0.25">
      <c r="F24" s="157"/>
      <c r="H24" s="128" t="s">
        <v>285</v>
      </c>
      <c r="J24" s="124">
        <f>E45</f>
        <v>41707.18</v>
      </c>
    </row>
    <row r="25" spans="3:11" x14ac:dyDescent="0.25">
      <c r="E25" s="101" t="s">
        <v>224</v>
      </c>
      <c r="F25" s="101">
        <v>48390.879999999997</v>
      </c>
    </row>
    <row r="26" spans="3:11" x14ac:dyDescent="0.25">
      <c r="C26" s="121"/>
    </row>
    <row r="27" spans="3:11" x14ac:dyDescent="0.25">
      <c r="G27" s="121"/>
    </row>
    <row r="28" spans="3:11" ht="21" x14ac:dyDescent="0.35">
      <c r="C28" s="121"/>
      <c r="E28" s="99" t="s">
        <v>225</v>
      </c>
      <c r="F28" s="125">
        <f>SUM(F23+F25)</f>
        <v>266793.56</v>
      </c>
      <c r="I28" s="198" t="s">
        <v>286</v>
      </c>
      <c r="J28" s="137">
        <f>SUM(J22:J24)</f>
        <v>107900.73999999999</v>
      </c>
    </row>
    <row r="29" spans="3:11" x14ac:dyDescent="0.25">
      <c r="C29" s="121"/>
      <c r="J29" s="157">
        <v>106935.25</v>
      </c>
      <c r="K29" s="39" t="s">
        <v>76</v>
      </c>
    </row>
    <row r="31" spans="3:11" ht="18.75" x14ac:dyDescent="0.3">
      <c r="J31" s="264">
        <f>J28-J29</f>
        <v>965.48999999999069</v>
      </c>
    </row>
    <row r="35" spans="3:10" x14ac:dyDescent="0.25">
      <c r="C35" s="91"/>
    </row>
    <row r="37" spans="3:10" ht="15.75" x14ac:dyDescent="0.25">
      <c r="D37" s="132" t="s">
        <v>235</v>
      </c>
      <c r="E37" s="133">
        <v>42237.18</v>
      </c>
      <c r="H37" s="318"/>
      <c r="I37" s="318"/>
    </row>
    <row r="38" spans="3:10" x14ac:dyDescent="0.25">
      <c r="D38" s="150" t="s">
        <v>250</v>
      </c>
      <c r="E38" s="151">
        <v>-400</v>
      </c>
      <c r="I38" s="151"/>
    </row>
    <row r="39" spans="3:10" ht="15.75" x14ac:dyDescent="0.25">
      <c r="D39" s="148" t="s">
        <v>1102</v>
      </c>
      <c r="E39" s="144">
        <v>-50</v>
      </c>
      <c r="I39" s="151"/>
    </row>
    <row r="40" spans="3:10" ht="15.75" x14ac:dyDescent="0.25">
      <c r="D40" s="148" t="s">
        <v>1103</v>
      </c>
      <c r="E40" s="144">
        <v>-80</v>
      </c>
      <c r="I40" s="163"/>
    </row>
    <row r="41" spans="3:10" ht="15.75" x14ac:dyDescent="0.25">
      <c r="D41" s="148"/>
      <c r="E41" s="144"/>
      <c r="I41" s="163"/>
    </row>
    <row r="42" spans="3:10" x14ac:dyDescent="0.25">
      <c r="D42" s="71"/>
      <c r="E42" s="186"/>
      <c r="I42" s="163"/>
    </row>
    <row r="43" spans="3:10" x14ac:dyDescent="0.25">
      <c r="D43" s="71"/>
      <c r="E43" s="186"/>
      <c r="I43" s="163"/>
    </row>
    <row r="44" spans="3:10" x14ac:dyDescent="0.25">
      <c r="E44" s="121"/>
    </row>
    <row r="45" spans="3:10" ht="21" x14ac:dyDescent="0.35">
      <c r="D45" s="132" t="s">
        <v>236</v>
      </c>
      <c r="E45" s="133">
        <f>SUM(E37:E44)</f>
        <v>41707.18</v>
      </c>
      <c r="I45" s="262"/>
      <c r="J45" s="263"/>
    </row>
    <row r="48" spans="3:10" x14ac:dyDescent="0.25">
      <c r="E48">
        <v>-11.9</v>
      </c>
    </row>
    <row r="50" spans="4:5" x14ac:dyDescent="0.25">
      <c r="D50" s="39"/>
      <c r="E50" s="157">
        <f>SUM(E45:E49)</f>
        <v>41695.279999999999</v>
      </c>
    </row>
    <row r="54" spans="4:5" ht="15.75" x14ac:dyDescent="0.25">
      <c r="D54" s="166" t="s">
        <v>429</v>
      </c>
      <c r="E54" s="140">
        <v>186728.39</v>
      </c>
    </row>
    <row r="55" spans="4:5" ht="15.75" x14ac:dyDescent="0.25">
      <c r="D55" s="178" t="s">
        <v>272</v>
      </c>
      <c r="E55" s="212">
        <v>-412.66</v>
      </c>
    </row>
    <row r="56" spans="4:5" ht="15.75" x14ac:dyDescent="0.25">
      <c r="D56" s="178" t="s">
        <v>1101</v>
      </c>
      <c r="E56" s="212">
        <v>-2920</v>
      </c>
    </row>
    <row r="57" spans="4:5" ht="15.75" x14ac:dyDescent="0.25">
      <c r="D57" s="178" t="s">
        <v>1096</v>
      </c>
      <c r="E57" s="212">
        <v>-5.5</v>
      </c>
    </row>
    <row r="58" spans="4:5" ht="15.75" x14ac:dyDescent="0.25">
      <c r="D58" s="178" t="s">
        <v>1097</v>
      </c>
      <c r="E58" s="212">
        <v>-35</v>
      </c>
    </row>
    <row r="59" spans="4:5" ht="15.75" x14ac:dyDescent="0.25">
      <c r="D59" s="178" t="s">
        <v>1098</v>
      </c>
      <c r="E59" s="212">
        <v>-203</v>
      </c>
    </row>
    <row r="60" spans="4:5" ht="15.75" x14ac:dyDescent="0.25">
      <c r="D60" s="178" t="s">
        <v>1099</v>
      </c>
      <c r="E60" s="212">
        <v>-10.15</v>
      </c>
    </row>
    <row r="61" spans="4:5" ht="15.75" x14ac:dyDescent="0.25">
      <c r="D61" s="178" t="s">
        <v>1100</v>
      </c>
      <c r="E61" s="212">
        <v>-18.600000000000001</v>
      </c>
    </row>
    <row r="62" spans="4:5" ht="15.75" x14ac:dyDescent="0.25">
      <c r="D62" s="166" t="s">
        <v>374</v>
      </c>
      <c r="E62" s="140">
        <v>2600</v>
      </c>
    </row>
    <row r="63" spans="4:5" ht="15.75" x14ac:dyDescent="0.25">
      <c r="D63" s="166"/>
      <c r="E63" s="140"/>
    </row>
    <row r="64" spans="4:5" x14ac:dyDescent="0.25">
      <c r="D64" s="78"/>
      <c r="E64" s="78"/>
    </row>
    <row r="65" spans="3:11" ht="15.75" x14ac:dyDescent="0.25">
      <c r="D65" s="78" t="s">
        <v>596</v>
      </c>
      <c r="E65" s="189">
        <f>SUM(E54:E64)</f>
        <v>185723.48</v>
      </c>
    </row>
    <row r="67" spans="3:11" x14ac:dyDescent="0.25">
      <c r="D67" t="s">
        <v>361</v>
      </c>
      <c r="E67" s="121">
        <v>1342</v>
      </c>
    </row>
    <row r="69" spans="3:11" x14ac:dyDescent="0.25">
      <c r="E69" s="239">
        <f>E65+E67</f>
        <v>187065.48</v>
      </c>
    </row>
    <row r="79" spans="3:11" ht="18.75" x14ac:dyDescent="0.3">
      <c r="C79" s="314" t="s">
        <v>1104</v>
      </c>
      <c r="D79" s="315"/>
      <c r="E79" s="315"/>
      <c r="F79" s="315"/>
      <c r="G79" s="315"/>
      <c r="H79" s="315"/>
      <c r="I79" s="315"/>
      <c r="J79" s="315"/>
      <c r="K79" s="315"/>
    </row>
    <row r="80" spans="3:11" x14ac:dyDescent="0.25">
      <c r="C80" s="78"/>
      <c r="D80" s="78"/>
      <c r="E80" s="78"/>
      <c r="F80" s="78"/>
      <c r="G80" s="78"/>
      <c r="H80" s="78"/>
      <c r="I80" s="78"/>
      <c r="J80" s="78"/>
      <c r="K80" s="78"/>
    </row>
    <row r="81" spans="3:11" ht="15.75" x14ac:dyDescent="0.25">
      <c r="C81" s="118" t="s">
        <v>223</v>
      </c>
      <c r="D81" s="118" t="s">
        <v>206</v>
      </c>
      <c r="E81" s="118" t="s">
        <v>207</v>
      </c>
      <c r="F81" s="118" t="s">
        <v>218</v>
      </c>
      <c r="G81" s="78"/>
      <c r="H81" s="120" t="s">
        <v>6</v>
      </c>
      <c r="I81" s="120" t="s">
        <v>217</v>
      </c>
      <c r="J81" s="120" t="s">
        <v>207</v>
      </c>
      <c r="K81" s="120" t="s">
        <v>218</v>
      </c>
    </row>
    <row r="82" spans="3:11" x14ac:dyDescent="0.25">
      <c r="C82" s="118"/>
      <c r="D82" s="247" t="s">
        <v>980</v>
      </c>
      <c r="E82" s="247" t="s">
        <v>1089</v>
      </c>
      <c r="F82" s="248">
        <v>1125</v>
      </c>
      <c r="G82" s="78">
        <v>1500</v>
      </c>
      <c r="H82" s="117"/>
      <c r="I82" s="78"/>
      <c r="J82" s="78"/>
      <c r="K82" s="119"/>
    </row>
    <row r="83" spans="3:11" x14ac:dyDescent="0.25">
      <c r="C83" s="269">
        <v>46087</v>
      </c>
      <c r="D83" s="270" t="s">
        <v>214</v>
      </c>
      <c r="E83" s="270" t="s">
        <v>211</v>
      </c>
      <c r="F83" s="271">
        <v>2900</v>
      </c>
      <c r="G83" s="78"/>
      <c r="H83" s="117">
        <v>46037</v>
      </c>
      <c r="I83" s="149" t="s">
        <v>66</v>
      </c>
      <c r="J83" s="78" t="s">
        <v>222</v>
      </c>
      <c r="K83" s="119">
        <v>2120</v>
      </c>
    </row>
    <row r="84" spans="3:11" ht="15.75" x14ac:dyDescent="0.25">
      <c r="C84" s="78"/>
      <c r="D84" s="201" t="s">
        <v>429</v>
      </c>
      <c r="E84" s="201"/>
      <c r="F84" s="183">
        <v>191249.4</v>
      </c>
      <c r="G84" s="78"/>
      <c r="H84" s="184">
        <v>46170</v>
      </c>
      <c r="I84" s="78" t="s">
        <v>1060</v>
      </c>
      <c r="J84" s="185"/>
      <c r="K84" s="140">
        <v>1400</v>
      </c>
    </row>
    <row r="85" spans="3:11" ht="15.75" x14ac:dyDescent="0.25">
      <c r="C85" s="117">
        <v>46156</v>
      </c>
      <c r="D85" s="78" t="s">
        <v>353</v>
      </c>
      <c r="E85" s="166"/>
      <c r="F85" s="167">
        <v>580</v>
      </c>
      <c r="G85" s="78"/>
      <c r="H85" s="184">
        <v>46172</v>
      </c>
      <c r="I85" s="78" t="s">
        <v>257</v>
      </c>
      <c r="J85" s="185"/>
      <c r="K85" s="140">
        <v>8360</v>
      </c>
    </row>
    <row r="86" spans="3:11" ht="15.75" x14ac:dyDescent="0.25">
      <c r="C86" s="117">
        <v>46156</v>
      </c>
      <c r="D86" s="78" t="s">
        <v>471</v>
      </c>
      <c r="E86" s="166"/>
      <c r="F86" s="167">
        <v>3902</v>
      </c>
      <c r="G86" s="119"/>
      <c r="H86" s="184"/>
      <c r="I86" s="78" t="s">
        <v>1084</v>
      </c>
      <c r="J86" s="185"/>
      <c r="K86" s="140">
        <v>189000</v>
      </c>
    </row>
    <row r="87" spans="3:11" ht="15.75" x14ac:dyDescent="0.25">
      <c r="C87" s="117">
        <v>46156</v>
      </c>
      <c r="D87" s="78" t="s">
        <v>834</v>
      </c>
      <c r="E87" s="166"/>
      <c r="F87" s="167">
        <v>2385</v>
      </c>
      <c r="G87" s="119"/>
      <c r="H87" s="184"/>
      <c r="I87" s="78" t="s">
        <v>216</v>
      </c>
      <c r="J87" s="185"/>
      <c r="K87" s="140">
        <v>4240</v>
      </c>
    </row>
    <row r="88" spans="3:11" ht="15.75" x14ac:dyDescent="0.25">
      <c r="C88" s="117">
        <v>46161</v>
      </c>
      <c r="D88" s="78" t="s">
        <v>995</v>
      </c>
      <c r="E88" s="166"/>
      <c r="F88" s="167">
        <v>2950</v>
      </c>
      <c r="G88" s="78"/>
      <c r="H88" s="184"/>
      <c r="I88" s="78"/>
      <c r="J88" s="185"/>
      <c r="K88" s="140"/>
    </row>
    <row r="89" spans="3:11" x14ac:dyDescent="0.25">
      <c r="C89" s="117">
        <v>46163</v>
      </c>
      <c r="D89" s="78" t="s">
        <v>999</v>
      </c>
      <c r="E89" s="166"/>
      <c r="F89" s="167">
        <v>4510</v>
      </c>
      <c r="G89" s="78"/>
      <c r="H89" s="117"/>
      <c r="I89" s="78"/>
      <c r="J89" s="78"/>
      <c r="K89" s="119"/>
    </row>
    <row r="90" spans="3:11" ht="18.75" x14ac:dyDescent="0.3">
      <c r="C90" s="257"/>
      <c r="D90" s="258" t="s">
        <v>1079</v>
      </c>
      <c r="E90" s="214"/>
      <c r="F90" s="219">
        <v>2580</v>
      </c>
      <c r="G90" s="78"/>
      <c r="H90" s="78"/>
      <c r="I90" s="126" t="s">
        <v>226</v>
      </c>
      <c r="J90" s="126"/>
      <c r="K90" s="127">
        <f>SUM(K82:K89)</f>
        <v>205120</v>
      </c>
    </row>
    <row r="91" spans="3:11" x14ac:dyDescent="0.25">
      <c r="C91" s="257"/>
      <c r="D91" s="258" t="s">
        <v>1088</v>
      </c>
      <c r="E91" s="214"/>
      <c r="F91" s="219">
        <v>2080</v>
      </c>
      <c r="G91" s="78"/>
    </row>
    <row r="92" spans="3:11" x14ac:dyDescent="0.25">
      <c r="C92" s="257"/>
      <c r="D92" s="258" t="s">
        <v>1091</v>
      </c>
      <c r="E92" s="214"/>
      <c r="F92" s="219">
        <v>2550</v>
      </c>
      <c r="G92" s="78"/>
      <c r="K92" s="121"/>
    </row>
    <row r="93" spans="3:11" x14ac:dyDescent="0.25">
      <c r="C93" s="257"/>
      <c r="D93" s="258" t="s">
        <v>1093</v>
      </c>
      <c r="E93" s="214"/>
      <c r="F93" s="219">
        <v>1050</v>
      </c>
      <c r="J93" s="121"/>
    </row>
    <row r="94" spans="3:11" x14ac:dyDescent="0.25">
      <c r="C94" s="257"/>
      <c r="D94" s="258" t="s">
        <v>497</v>
      </c>
      <c r="E94" s="214" t="s">
        <v>1094</v>
      </c>
      <c r="F94" s="219">
        <v>50</v>
      </c>
      <c r="J94" s="121"/>
    </row>
    <row r="95" spans="3:11" x14ac:dyDescent="0.25">
      <c r="C95" s="257"/>
      <c r="D95" s="258"/>
      <c r="E95" s="214"/>
      <c r="F95" s="219"/>
    </row>
    <row r="96" spans="3:11" ht="15.75" x14ac:dyDescent="0.25">
      <c r="C96" s="266">
        <v>46175</v>
      </c>
      <c r="D96" s="267" t="s">
        <v>1059</v>
      </c>
      <c r="E96" s="268" t="s">
        <v>1116</v>
      </c>
      <c r="F96" s="265">
        <v>1473.68</v>
      </c>
      <c r="H96" s="316" t="s">
        <v>227</v>
      </c>
      <c r="I96" s="317"/>
      <c r="J96" s="140">
        <f>F103-K90</f>
        <v>62942.459999999963</v>
      </c>
    </row>
    <row r="97" spans="3:11" ht="15.75" x14ac:dyDescent="0.25">
      <c r="C97" s="117"/>
      <c r="D97" s="78"/>
      <c r="E97" s="166"/>
      <c r="F97" s="167"/>
      <c r="J97" s="89"/>
    </row>
    <row r="98" spans="3:11" ht="15.75" x14ac:dyDescent="0.25">
      <c r="C98" s="78"/>
      <c r="D98" s="78"/>
      <c r="E98" s="78"/>
      <c r="F98" s="122">
        <f>SUM(F82:F97)</f>
        <v>219385.08</v>
      </c>
      <c r="H98" s="128" t="s">
        <v>285</v>
      </c>
      <c r="J98" s="124">
        <f>E123</f>
        <v>46676.38</v>
      </c>
    </row>
    <row r="99" spans="3:11" x14ac:dyDescent="0.25">
      <c r="F99" s="157"/>
    </row>
    <row r="100" spans="3:11" x14ac:dyDescent="0.25">
      <c r="E100" s="101" t="s">
        <v>224</v>
      </c>
      <c r="F100" s="101">
        <v>48677.38</v>
      </c>
    </row>
    <row r="101" spans="3:11" x14ac:dyDescent="0.25">
      <c r="C101" s="121"/>
      <c r="G101" s="121"/>
    </row>
    <row r="102" spans="3:11" ht="21" x14ac:dyDescent="0.35">
      <c r="I102" s="198" t="s">
        <v>286</v>
      </c>
      <c r="J102" s="137">
        <f>SUM(J96:J98)</f>
        <v>109618.83999999997</v>
      </c>
    </row>
    <row r="103" spans="3:11" ht="18.75" x14ac:dyDescent="0.3">
      <c r="C103" s="121"/>
      <c r="E103" s="99" t="s">
        <v>225</v>
      </c>
      <c r="F103" s="125">
        <f>SUM(F98+F100)</f>
        <v>268062.45999999996</v>
      </c>
      <c r="J103" s="157">
        <v>107900.74</v>
      </c>
      <c r="K103" s="39" t="s">
        <v>76</v>
      </c>
    </row>
    <row r="104" spans="3:11" x14ac:dyDescent="0.25">
      <c r="C104" s="121"/>
    </row>
    <row r="105" spans="3:11" ht="18.75" x14ac:dyDescent="0.3">
      <c r="J105" s="264">
        <f>J102-J103</f>
        <v>1718.0999999999622</v>
      </c>
    </row>
    <row r="110" spans="3:11" x14ac:dyDescent="0.25">
      <c r="C110" s="91"/>
    </row>
    <row r="111" spans="3:11" ht="15.75" x14ac:dyDescent="0.25">
      <c r="H111" s="318"/>
      <c r="I111" s="318"/>
    </row>
    <row r="112" spans="3:11" ht="15.75" x14ac:dyDescent="0.25">
      <c r="D112" s="132" t="s">
        <v>235</v>
      </c>
      <c r="E112" s="133">
        <v>42237.18</v>
      </c>
      <c r="I112" s="151"/>
    </row>
    <row r="113" spans="3:10" x14ac:dyDescent="0.25">
      <c r="D113" s="150" t="s">
        <v>250</v>
      </c>
      <c r="E113" s="151">
        <v>-400</v>
      </c>
      <c r="I113" s="151"/>
    </row>
    <row r="114" spans="3:10" ht="15.75" x14ac:dyDescent="0.25">
      <c r="D114" s="148" t="s">
        <v>1102</v>
      </c>
      <c r="E114" s="144">
        <v>-50</v>
      </c>
      <c r="I114" s="163"/>
    </row>
    <row r="115" spans="3:10" ht="15.75" x14ac:dyDescent="0.25">
      <c r="D115" s="148" t="s">
        <v>1103</v>
      </c>
      <c r="E115" s="144">
        <v>-80</v>
      </c>
      <c r="I115" s="163"/>
    </row>
    <row r="116" spans="3:10" ht="15.75" x14ac:dyDescent="0.25">
      <c r="C116" s="91">
        <v>46175</v>
      </c>
      <c r="D116" s="199" t="s">
        <v>1105</v>
      </c>
      <c r="E116" s="200">
        <v>1017.2</v>
      </c>
      <c r="I116" s="163"/>
    </row>
    <row r="117" spans="3:10" ht="15.75" x14ac:dyDescent="0.25">
      <c r="D117" s="148" t="s">
        <v>1106</v>
      </c>
      <c r="E117" s="144">
        <v>1080</v>
      </c>
      <c r="I117" s="163"/>
    </row>
    <row r="118" spans="3:10" ht="15.75" x14ac:dyDescent="0.25">
      <c r="D118" s="148" t="s">
        <v>1111</v>
      </c>
      <c r="E118" s="144">
        <v>-10</v>
      </c>
    </row>
    <row r="119" spans="3:10" ht="21" x14ac:dyDescent="0.35">
      <c r="D119" s="148" t="s">
        <v>1112</v>
      </c>
      <c r="E119" s="144">
        <v>-10</v>
      </c>
      <c r="I119" s="262"/>
      <c r="J119" s="263"/>
    </row>
    <row r="120" spans="3:10" ht="15.75" x14ac:dyDescent="0.25">
      <c r="D120" s="148" t="s">
        <v>1113</v>
      </c>
      <c r="E120" s="144">
        <v>-13</v>
      </c>
    </row>
    <row r="121" spans="3:10" x14ac:dyDescent="0.25">
      <c r="D121" s="71" t="s">
        <v>294</v>
      </c>
      <c r="E121" s="186">
        <v>2905</v>
      </c>
    </row>
    <row r="122" spans="3:10" x14ac:dyDescent="0.25">
      <c r="E122" s="121"/>
    </row>
    <row r="123" spans="3:10" ht="15.75" x14ac:dyDescent="0.25">
      <c r="D123" s="132" t="s">
        <v>236</v>
      </c>
      <c r="E123" s="133">
        <f>SUM(E112:E122)</f>
        <v>46676.38</v>
      </c>
    </row>
    <row r="126" spans="3:10" x14ac:dyDescent="0.25">
      <c r="E126">
        <v>-11.9</v>
      </c>
    </row>
    <row r="128" spans="3:10" x14ac:dyDescent="0.25">
      <c r="D128" s="39"/>
      <c r="E128" s="157">
        <f>SUM(E123:E127)</f>
        <v>46664.479999999996</v>
      </c>
    </row>
    <row r="132" spans="3:5" ht="15.75" x14ac:dyDescent="0.25">
      <c r="D132" s="166" t="s">
        <v>429</v>
      </c>
      <c r="E132" s="140">
        <v>186728.39</v>
      </c>
    </row>
    <row r="133" spans="3:5" ht="15.75" x14ac:dyDescent="0.25">
      <c r="D133" s="178" t="s">
        <v>272</v>
      </c>
      <c r="E133" s="212">
        <v>-412.66</v>
      </c>
    </row>
    <row r="134" spans="3:5" ht="15.75" x14ac:dyDescent="0.25">
      <c r="D134" s="178" t="s">
        <v>1101</v>
      </c>
      <c r="E134" s="212">
        <v>-2920</v>
      </c>
    </row>
    <row r="135" spans="3:5" ht="15.75" x14ac:dyDescent="0.25">
      <c r="D135" s="178" t="s">
        <v>1096</v>
      </c>
      <c r="E135" s="212">
        <v>-5.5</v>
      </c>
    </row>
    <row r="136" spans="3:5" ht="15.75" x14ac:dyDescent="0.25">
      <c r="D136" s="178" t="s">
        <v>1097</v>
      </c>
      <c r="E136" s="212">
        <v>-35</v>
      </c>
    </row>
    <row r="137" spans="3:5" ht="15.75" x14ac:dyDescent="0.25">
      <c r="D137" s="178" t="s">
        <v>1098</v>
      </c>
      <c r="E137" s="212">
        <v>-203</v>
      </c>
    </row>
    <row r="138" spans="3:5" ht="15.75" x14ac:dyDescent="0.25">
      <c r="D138" s="178" t="s">
        <v>1099</v>
      </c>
      <c r="E138" s="212">
        <v>-10.15</v>
      </c>
    </row>
    <row r="139" spans="3:5" ht="15.75" x14ac:dyDescent="0.25">
      <c r="D139" s="178" t="s">
        <v>1100</v>
      </c>
      <c r="E139" s="212">
        <v>-18.600000000000001</v>
      </c>
    </row>
    <row r="140" spans="3:5" ht="15.75" x14ac:dyDescent="0.25">
      <c r="C140" s="91">
        <v>46175</v>
      </c>
      <c r="D140" s="166" t="s">
        <v>374</v>
      </c>
      <c r="E140" s="140">
        <v>2600</v>
      </c>
    </row>
    <row r="141" spans="3:5" ht="15.75" x14ac:dyDescent="0.25">
      <c r="D141" s="166" t="s">
        <v>1105</v>
      </c>
      <c r="E141" s="140">
        <v>3000</v>
      </c>
    </row>
    <row r="142" spans="3:5" ht="15.75" x14ac:dyDescent="0.25">
      <c r="D142" s="166" t="s">
        <v>1107</v>
      </c>
      <c r="E142" s="140">
        <v>2040</v>
      </c>
    </row>
    <row r="143" spans="3:5" ht="15.75" x14ac:dyDescent="0.25">
      <c r="D143" s="166" t="s">
        <v>1114</v>
      </c>
      <c r="E143" s="140">
        <v>-39.9</v>
      </c>
    </row>
    <row r="144" spans="3:5" ht="15.75" x14ac:dyDescent="0.25">
      <c r="D144" s="166" t="s">
        <v>1115</v>
      </c>
      <c r="E144" s="140">
        <v>-1473.68</v>
      </c>
    </row>
    <row r="145" spans="4:5" ht="15.75" x14ac:dyDescent="0.25">
      <c r="D145" s="166" t="s">
        <v>1117</v>
      </c>
      <c r="E145" s="140">
        <v>2000</v>
      </c>
    </row>
    <row r="146" spans="4:5" ht="15.75" x14ac:dyDescent="0.25">
      <c r="D146" s="178" t="s">
        <v>535</v>
      </c>
      <c r="E146" s="212">
        <v>-0.5</v>
      </c>
    </row>
    <row r="147" spans="4:5" ht="15.75" x14ac:dyDescent="0.25">
      <c r="D147" s="166"/>
      <c r="E147" s="140"/>
    </row>
    <row r="148" spans="4:5" x14ac:dyDescent="0.25">
      <c r="D148" s="78"/>
      <c r="E148" s="78"/>
    </row>
    <row r="149" spans="4:5" ht="15.75" x14ac:dyDescent="0.25">
      <c r="D149" s="78" t="s">
        <v>596</v>
      </c>
      <c r="E149" s="189">
        <f>SUM(E132:E148)</f>
        <v>191249.40000000002</v>
      </c>
    </row>
    <row r="151" spans="4:5" x14ac:dyDescent="0.25">
      <c r="D151" t="s">
        <v>361</v>
      </c>
      <c r="E151" s="121">
        <v>1342</v>
      </c>
    </row>
    <row r="153" spans="4:5" x14ac:dyDescent="0.25">
      <c r="E153" s="239">
        <f>E149+E151</f>
        <v>192591.40000000002</v>
      </c>
    </row>
    <row r="163" spans="3:11" ht="18.75" x14ac:dyDescent="0.3">
      <c r="C163" s="314" t="s">
        <v>1118</v>
      </c>
      <c r="D163" s="315"/>
      <c r="E163" s="315"/>
      <c r="F163" s="315"/>
      <c r="G163" s="315"/>
      <c r="H163" s="315"/>
      <c r="I163" s="315"/>
      <c r="J163" s="315"/>
      <c r="K163" s="315"/>
    </row>
    <row r="164" spans="3:11" x14ac:dyDescent="0.25">
      <c r="C164" s="78"/>
      <c r="D164" s="78"/>
      <c r="E164" s="78"/>
      <c r="F164" s="78"/>
      <c r="G164" s="78"/>
      <c r="H164" s="78"/>
      <c r="I164" s="78"/>
      <c r="J164" s="78"/>
      <c r="K164" s="78"/>
    </row>
    <row r="165" spans="3:11" ht="15.75" x14ac:dyDescent="0.25">
      <c r="C165" s="118" t="s">
        <v>223</v>
      </c>
      <c r="D165" s="118" t="s">
        <v>206</v>
      </c>
      <c r="E165" s="118" t="s">
        <v>207</v>
      </c>
      <c r="F165" s="118" t="s">
        <v>218</v>
      </c>
      <c r="G165" s="78"/>
      <c r="H165" s="120" t="s">
        <v>6</v>
      </c>
      <c r="I165" s="120" t="s">
        <v>217</v>
      </c>
      <c r="J165" s="120" t="s">
        <v>207</v>
      </c>
      <c r="K165" s="120" t="s">
        <v>218</v>
      </c>
    </row>
    <row r="166" spans="3:11" x14ac:dyDescent="0.25">
      <c r="C166" s="269">
        <v>46087</v>
      </c>
      <c r="D166" s="270" t="s">
        <v>214</v>
      </c>
      <c r="E166" s="270" t="s">
        <v>211</v>
      </c>
      <c r="F166" s="271">
        <v>2900</v>
      </c>
      <c r="G166" s="78"/>
      <c r="H166" s="117"/>
      <c r="I166" s="78"/>
      <c r="J166" s="78"/>
      <c r="K166" s="119"/>
    </row>
    <row r="167" spans="3:11" ht="15.75" x14ac:dyDescent="0.25">
      <c r="C167" s="78"/>
      <c r="D167" s="201" t="s">
        <v>429</v>
      </c>
      <c r="E167" s="201"/>
      <c r="F167" s="183">
        <v>131488.6</v>
      </c>
      <c r="G167" s="78"/>
      <c r="H167" s="117">
        <v>46037</v>
      </c>
      <c r="I167" s="149" t="s">
        <v>66</v>
      </c>
      <c r="J167" s="78" t="s">
        <v>222</v>
      </c>
      <c r="K167" s="119">
        <v>2120</v>
      </c>
    </row>
    <row r="168" spans="3:11" ht="15.75" x14ac:dyDescent="0.25">
      <c r="C168" s="117">
        <v>46156</v>
      </c>
      <c r="D168" s="78" t="s">
        <v>353</v>
      </c>
      <c r="E168" s="166"/>
      <c r="F168" s="167">
        <v>580</v>
      </c>
      <c r="G168" s="78"/>
      <c r="H168" s="184">
        <v>46170</v>
      </c>
      <c r="I168" s="78" t="s">
        <v>1060</v>
      </c>
      <c r="J168" s="185"/>
      <c r="K168" s="140">
        <v>1400</v>
      </c>
    </row>
    <row r="169" spans="3:11" ht="15.75" x14ac:dyDescent="0.25">
      <c r="C169" s="117">
        <v>46156</v>
      </c>
      <c r="D169" s="78" t="s">
        <v>471</v>
      </c>
      <c r="E169" s="166"/>
      <c r="F169" s="167">
        <v>3902</v>
      </c>
      <c r="G169" s="78"/>
      <c r="H169" s="184">
        <v>46172</v>
      </c>
      <c r="I169" s="78" t="s">
        <v>257</v>
      </c>
      <c r="J169" s="185"/>
      <c r="K169" s="140">
        <v>2490</v>
      </c>
    </row>
    <row r="170" spans="3:11" ht="15.75" x14ac:dyDescent="0.25">
      <c r="C170" s="117">
        <v>46156</v>
      </c>
      <c r="D170" s="78" t="s">
        <v>834</v>
      </c>
      <c r="E170" s="166"/>
      <c r="F170" s="167">
        <v>2385</v>
      </c>
      <c r="G170" s="119"/>
      <c r="H170" s="184"/>
      <c r="I170" s="78" t="s">
        <v>1084</v>
      </c>
      <c r="J170" s="185"/>
      <c r="K170" s="140">
        <v>189000</v>
      </c>
    </row>
    <row r="171" spans="3:11" ht="15.75" x14ac:dyDescent="0.25">
      <c r="C171" s="117">
        <v>46161</v>
      </c>
      <c r="D171" s="78" t="s">
        <v>995</v>
      </c>
      <c r="E171" s="166"/>
      <c r="F171" s="167">
        <v>6350</v>
      </c>
      <c r="G171" s="119"/>
      <c r="H171" s="184"/>
      <c r="I171" s="78" t="s">
        <v>216</v>
      </c>
      <c r="J171" s="185"/>
      <c r="K171" s="140">
        <v>4240</v>
      </c>
    </row>
    <row r="172" spans="3:11" ht="15.75" x14ac:dyDescent="0.25">
      <c r="C172" s="117">
        <v>46163</v>
      </c>
      <c r="D172" s="78" t="s">
        <v>999</v>
      </c>
      <c r="E172" s="166"/>
      <c r="F172" s="167">
        <v>4510</v>
      </c>
      <c r="G172" s="78"/>
      <c r="H172" s="184"/>
      <c r="I172" s="78"/>
      <c r="J172" s="185"/>
      <c r="K172" s="140"/>
    </row>
    <row r="173" spans="3:11" x14ac:dyDescent="0.25">
      <c r="C173" s="257"/>
      <c r="D173" s="258" t="s">
        <v>1079</v>
      </c>
      <c r="E173" s="214"/>
      <c r="F173" s="219">
        <v>2580</v>
      </c>
      <c r="G173" s="78"/>
      <c r="H173" s="117"/>
      <c r="I173" s="78"/>
      <c r="J173" s="78"/>
      <c r="K173" s="119"/>
    </row>
    <row r="174" spans="3:11" ht="18.75" x14ac:dyDescent="0.3">
      <c r="C174" s="257"/>
      <c r="D174" s="258" t="s">
        <v>1088</v>
      </c>
      <c r="E174" s="214"/>
      <c r="F174" s="219">
        <v>2080</v>
      </c>
      <c r="G174" s="78"/>
      <c r="H174" s="78"/>
      <c r="I174" s="126" t="s">
        <v>226</v>
      </c>
      <c r="J174" s="126"/>
      <c r="K174" s="127">
        <f>SUM(K166:K173)</f>
        <v>199250</v>
      </c>
    </row>
    <row r="175" spans="3:11" x14ac:dyDescent="0.25">
      <c r="C175" s="257"/>
      <c r="D175" s="258" t="s">
        <v>1091</v>
      </c>
      <c r="E175" s="214"/>
      <c r="F175" s="219">
        <v>2550</v>
      </c>
      <c r="G175" s="78"/>
    </row>
    <row r="176" spans="3:11" x14ac:dyDescent="0.25">
      <c r="C176" s="257"/>
      <c r="D176" s="258" t="s">
        <v>1093</v>
      </c>
      <c r="E176" s="214"/>
      <c r="F176" s="219">
        <v>1050</v>
      </c>
      <c r="G176" s="78"/>
      <c r="K176" s="121"/>
    </row>
    <row r="177" spans="3:11" x14ac:dyDescent="0.25">
      <c r="C177" s="257"/>
      <c r="D177" s="258" t="s">
        <v>497</v>
      </c>
      <c r="E177" s="214"/>
      <c r="F177" s="219">
        <v>35050</v>
      </c>
      <c r="J177" s="121"/>
    </row>
    <row r="178" spans="3:11" x14ac:dyDescent="0.25">
      <c r="C178" s="257">
        <v>46179</v>
      </c>
      <c r="D178" s="258" t="s">
        <v>923</v>
      </c>
      <c r="E178" s="214"/>
      <c r="F178" s="219">
        <v>3400</v>
      </c>
      <c r="J178" s="121"/>
    </row>
    <row r="179" spans="3:11" x14ac:dyDescent="0.25">
      <c r="C179" s="257"/>
      <c r="D179" s="258" t="s">
        <v>1123</v>
      </c>
      <c r="E179" s="214"/>
      <c r="F179" s="219">
        <v>15567.9</v>
      </c>
    </row>
    <row r="180" spans="3:11" ht="15.75" x14ac:dyDescent="0.25">
      <c r="C180" s="257"/>
      <c r="D180" s="258"/>
      <c r="E180" s="214"/>
      <c r="F180" s="219"/>
      <c r="H180" s="316" t="s">
        <v>227</v>
      </c>
      <c r="I180" s="317"/>
      <c r="J180" s="140">
        <f>F189-K174</f>
        <v>63439.640000000014</v>
      </c>
    </row>
    <row r="181" spans="3:11" ht="15.75" x14ac:dyDescent="0.25">
      <c r="C181" s="257"/>
      <c r="D181" s="258"/>
      <c r="E181" s="214"/>
      <c r="F181" s="219"/>
      <c r="J181" s="89"/>
    </row>
    <row r="182" spans="3:11" ht="15.75" x14ac:dyDescent="0.25">
      <c r="C182" s="266">
        <v>46175</v>
      </c>
      <c r="D182" s="267" t="s">
        <v>1059</v>
      </c>
      <c r="E182" s="268" t="s">
        <v>1116</v>
      </c>
      <c r="F182" s="265">
        <v>1473.68</v>
      </c>
      <c r="H182" s="128" t="s">
        <v>285</v>
      </c>
      <c r="J182" s="124">
        <f>E216</f>
        <v>47616.38</v>
      </c>
    </row>
    <row r="183" spans="3:11" x14ac:dyDescent="0.25">
      <c r="C183" s="117"/>
      <c r="D183" s="78"/>
      <c r="E183" s="166"/>
      <c r="F183" s="167"/>
    </row>
    <row r="184" spans="3:11" x14ac:dyDescent="0.25">
      <c r="C184" s="78"/>
      <c r="D184" s="78"/>
      <c r="E184" s="78"/>
      <c r="F184" s="122">
        <f>SUM(F166:F183)</f>
        <v>215867.18</v>
      </c>
    </row>
    <row r="185" spans="3:11" x14ac:dyDescent="0.25">
      <c r="F185" s="157"/>
      <c r="G185" s="121"/>
    </row>
    <row r="186" spans="3:11" ht="21" x14ac:dyDescent="0.35">
      <c r="E186" s="101" t="s">
        <v>224</v>
      </c>
      <c r="F186" s="101">
        <v>46822.46</v>
      </c>
      <c r="I186" s="198" t="s">
        <v>286</v>
      </c>
      <c r="J186" s="137">
        <f>SUM(J180:J182)</f>
        <v>111056.02000000002</v>
      </c>
    </row>
    <row r="187" spans="3:11" x14ac:dyDescent="0.25">
      <c r="C187" s="121"/>
      <c r="J187" s="157">
        <v>109618.84</v>
      </c>
      <c r="K187" s="39" t="s">
        <v>76</v>
      </c>
    </row>
    <row r="189" spans="3:11" ht="18.75" x14ac:dyDescent="0.3">
      <c r="C189" s="121"/>
      <c r="E189" s="99" t="s">
        <v>225</v>
      </c>
      <c r="F189" s="125">
        <f>SUM(F184+F186)</f>
        <v>262689.64</v>
      </c>
      <c r="J189" s="264">
        <f>J186-J187</f>
        <v>1437.1800000000221</v>
      </c>
    </row>
    <row r="190" spans="3:11" x14ac:dyDescent="0.25">
      <c r="C190" s="121"/>
    </row>
    <row r="195" spans="3:10" ht="18.75" x14ac:dyDescent="0.3">
      <c r="H195" s="99"/>
      <c r="I195" s="340" t="s">
        <v>497</v>
      </c>
      <c r="J195" s="340"/>
    </row>
    <row r="196" spans="3:10" x14ac:dyDescent="0.25">
      <c r="C196" s="91"/>
      <c r="I196" s="151" t="s">
        <v>1121</v>
      </c>
      <c r="J196" s="121">
        <v>50</v>
      </c>
    </row>
    <row r="197" spans="3:10" x14ac:dyDescent="0.25">
      <c r="I197" s="151" t="s">
        <v>1122</v>
      </c>
      <c r="J197" s="121">
        <v>35000</v>
      </c>
    </row>
    <row r="198" spans="3:10" ht="15.75" x14ac:dyDescent="0.25">
      <c r="D198" s="132" t="s">
        <v>235</v>
      </c>
      <c r="E198" s="133">
        <v>42237.18</v>
      </c>
      <c r="I198" s="163"/>
      <c r="J198" s="121"/>
    </row>
    <row r="199" spans="3:10" x14ac:dyDescent="0.25">
      <c r="D199" s="150" t="s">
        <v>250</v>
      </c>
      <c r="E199" s="151">
        <v>-400</v>
      </c>
      <c r="I199" s="163"/>
      <c r="J199" s="157">
        <f>SUM(J196:J198)</f>
        <v>35050</v>
      </c>
    </row>
    <row r="200" spans="3:10" ht="15.75" x14ac:dyDescent="0.25">
      <c r="D200" s="148" t="s">
        <v>1102</v>
      </c>
      <c r="E200" s="144">
        <v>-50</v>
      </c>
      <c r="I200" s="163"/>
    </row>
    <row r="201" spans="3:10" ht="15.75" x14ac:dyDescent="0.25">
      <c r="D201" s="148" t="s">
        <v>1103</v>
      </c>
      <c r="E201" s="144">
        <v>-80</v>
      </c>
      <c r="I201" s="163"/>
    </row>
    <row r="202" spans="3:10" ht="15.75" x14ac:dyDescent="0.25">
      <c r="C202" s="91">
        <v>46175</v>
      </c>
      <c r="D202" s="199" t="s">
        <v>1105</v>
      </c>
      <c r="E202" s="200">
        <v>1017.2</v>
      </c>
    </row>
    <row r="203" spans="3:10" ht="21" x14ac:dyDescent="0.35">
      <c r="D203" s="148" t="s">
        <v>1106</v>
      </c>
      <c r="E203" s="144">
        <v>1080</v>
      </c>
      <c r="I203" s="262"/>
      <c r="J203" s="263"/>
    </row>
    <row r="204" spans="3:10" ht="15.75" x14ac:dyDescent="0.25">
      <c r="D204" s="148" t="s">
        <v>1111</v>
      </c>
      <c r="E204" s="144">
        <v>-10</v>
      </c>
    </row>
    <row r="205" spans="3:10" ht="15.75" x14ac:dyDescent="0.25">
      <c r="D205" s="148" t="s">
        <v>1112</v>
      </c>
      <c r="E205" s="144">
        <v>-10</v>
      </c>
    </row>
    <row r="206" spans="3:10" ht="15.75" x14ac:dyDescent="0.25">
      <c r="D206" s="148" t="s">
        <v>1113</v>
      </c>
      <c r="E206" s="144">
        <v>-13</v>
      </c>
    </row>
    <row r="207" spans="3:10" x14ac:dyDescent="0.25">
      <c r="D207" s="71" t="s">
        <v>294</v>
      </c>
      <c r="E207" s="186">
        <v>2905</v>
      </c>
    </row>
    <row r="208" spans="3:10" ht="15.75" x14ac:dyDescent="0.25">
      <c r="C208" s="91">
        <v>46176</v>
      </c>
      <c r="D208" s="148" t="s">
        <v>1120</v>
      </c>
      <c r="E208" s="144">
        <v>-6620</v>
      </c>
    </row>
    <row r="209" spans="4:5" x14ac:dyDescent="0.25">
      <c r="D209" s="71" t="s">
        <v>1119</v>
      </c>
      <c r="E209" s="186">
        <v>3010</v>
      </c>
    </row>
    <row r="210" spans="4:5" x14ac:dyDescent="0.25">
      <c r="D210" s="71" t="s">
        <v>525</v>
      </c>
      <c r="E210" s="186">
        <v>-20</v>
      </c>
    </row>
    <row r="211" spans="4:5" x14ac:dyDescent="0.25">
      <c r="D211" s="71" t="s">
        <v>1127</v>
      </c>
      <c r="E211" s="186">
        <v>-100</v>
      </c>
    </row>
    <row r="212" spans="4:5" x14ac:dyDescent="0.25">
      <c r="D212" s="71" t="s">
        <v>1128</v>
      </c>
      <c r="E212" s="186">
        <v>4670</v>
      </c>
    </row>
    <row r="213" spans="4:5" x14ac:dyDescent="0.25">
      <c r="D213" s="71"/>
      <c r="E213" s="186"/>
    </row>
    <row r="214" spans="4:5" x14ac:dyDescent="0.25">
      <c r="D214" s="71"/>
      <c r="E214" s="186"/>
    </row>
    <row r="215" spans="4:5" x14ac:dyDescent="0.25">
      <c r="E215" s="121"/>
    </row>
    <row r="216" spans="4:5" ht="15.75" x14ac:dyDescent="0.25">
      <c r="D216" s="132" t="s">
        <v>236</v>
      </c>
      <c r="E216" s="133">
        <f>SUM(E198:E215)</f>
        <v>47616.38</v>
      </c>
    </row>
    <row r="219" spans="4:5" x14ac:dyDescent="0.25">
      <c r="E219">
        <v>-11.9</v>
      </c>
    </row>
    <row r="221" spans="4:5" x14ac:dyDescent="0.25">
      <c r="D221" s="39"/>
      <c r="E221" s="157">
        <f>SUM(E216:E220)</f>
        <v>47604.479999999996</v>
      </c>
    </row>
    <row r="224" spans="4:5" ht="18.75" x14ac:dyDescent="0.3">
      <c r="D224" s="333" t="s">
        <v>1125</v>
      </c>
      <c r="E224" s="333"/>
    </row>
    <row r="225" spans="3:5" ht="15.75" x14ac:dyDescent="0.25">
      <c r="D225" s="166" t="s">
        <v>429</v>
      </c>
      <c r="E225" s="140">
        <v>186728.39</v>
      </c>
    </row>
    <row r="226" spans="3:5" ht="15.75" x14ac:dyDescent="0.25">
      <c r="D226" s="178" t="s">
        <v>272</v>
      </c>
      <c r="E226" s="212">
        <v>-412.66</v>
      </c>
    </row>
    <row r="227" spans="3:5" ht="15.75" x14ac:dyDescent="0.25">
      <c r="D227" s="178" t="s">
        <v>1101</v>
      </c>
      <c r="E227" s="212">
        <v>-2920</v>
      </c>
    </row>
    <row r="228" spans="3:5" ht="15.75" x14ac:dyDescent="0.25">
      <c r="D228" s="178" t="s">
        <v>1096</v>
      </c>
      <c r="E228" s="212">
        <v>-5.5</v>
      </c>
    </row>
    <row r="229" spans="3:5" ht="15.75" x14ac:dyDescent="0.25">
      <c r="D229" s="178" t="s">
        <v>1097</v>
      </c>
      <c r="E229" s="212">
        <v>-35</v>
      </c>
    </row>
    <row r="230" spans="3:5" ht="15.75" x14ac:dyDescent="0.25">
      <c r="D230" s="178" t="s">
        <v>1098</v>
      </c>
      <c r="E230" s="212">
        <v>-203</v>
      </c>
    </row>
    <row r="231" spans="3:5" ht="15.75" x14ac:dyDescent="0.25">
      <c r="D231" s="178" t="s">
        <v>1099</v>
      </c>
      <c r="E231" s="212">
        <v>-10.15</v>
      </c>
    </row>
    <row r="232" spans="3:5" ht="15.75" x14ac:dyDescent="0.25">
      <c r="D232" s="178" t="s">
        <v>1100</v>
      </c>
      <c r="E232" s="212">
        <v>-18.600000000000001</v>
      </c>
    </row>
    <row r="233" spans="3:5" ht="15.75" x14ac:dyDescent="0.25">
      <c r="C233" s="91">
        <v>46175</v>
      </c>
      <c r="D233" s="166" t="s">
        <v>374</v>
      </c>
      <c r="E233" s="140">
        <v>2600</v>
      </c>
    </row>
    <row r="234" spans="3:5" ht="15.75" x14ac:dyDescent="0.25">
      <c r="D234" s="166" t="s">
        <v>1105</v>
      </c>
      <c r="E234" s="140">
        <v>3000</v>
      </c>
    </row>
    <row r="235" spans="3:5" ht="15.75" x14ac:dyDescent="0.25">
      <c r="D235" s="166" t="s">
        <v>1107</v>
      </c>
      <c r="E235" s="140">
        <v>2040</v>
      </c>
    </row>
    <row r="236" spans="3:5" ht="15.75" x14ac:dyDescent="0.25">
      <c r="D236" s="166" t="s">
        <v>1114</v>
      </c>
      <c r="E236" s="140">
        <v>-39.9</v>
      </c>
    </row>
    <row r="237" spans="3:5" ht="15.75" x14ac:dyDescent="0.25">
      <c r="D237" s="166" t="s">
        <v>1115</v>
      </c>
      <c r="E237" s="140">
        <v>-1473.68</v>
      </c>
    </row>
    <row r="238" spans="3:5" ht="15.75" x14ac:dyDescent="0.25">
      <c r="D238" s="166" t="s">
        <v>1117</v>
      </c>
      <c r="E238" s="140">
        <v>2000</v>
      </c>
    </row>
    <row r="239" spans="3:5" ht="15.75" x14ac:dyDescent="0.25">
      <c r="D239" s="178" t="s">
        <v>535</v>
      </c>
      <c r="E239" s="212">
        <v>-0.5</v>
      </c>
    </row>
    <row r="240" spans="3:5" ht="15.75" x14ac:dyDescent="0.25">
      <c r="C240" s="91">
        <v>46145</v>
      </c>
      <c r="D240" s="178" t="s">
        <v>1124</v>
      </c>
      <c r="E240" s="212">
        <v>-50567.9</v>
      </c>
    </row>
    <row r="241" spans="4:5" ht="15.75" x14ac:dyDescent="0.25">
      <c r="D241" s="178" t="s">
        <v>535</v>
      </c>
      <c r="E241" s="212">
        <v>-2.9</v>
      </c>
    </row>
    <row r="242" spans="4:5" ht="15.75" x14ac:dyDescent="0.25">
      <c r="D242" s="166" t="s">
        <v>1126</v>
      </c>
      <c r="E242" s="140">
        <v>-830</v>
      </c>
    </row>
    <row r="243" spans="4:5" ht="15.75" x14ac:dyDescent="0.25">
      <c r="D243" s="166" t="s">
        <v>257</v>
      </c>
      <c r="E243" s="140">
        <v>-8360</v>
      </c>
    </row>
    <row r="244" spans="4:5" ht="15.75" x14ac:dyDescent="0.25">
      <c r="D244" s="166"/>
      <c r="E244" s="140"/>
    </row>
    <row r="245" spans="4:5" x14ac:dyDescent="0.25">
      <c r="D245" s="78"/>
      <c r="E245" s="78"/>
    </row>
    <row r="246" spans="4:5" ht="15.75" x14ac:dyDescent="0.25">
      <c r="D246" s="78" t="s">
        <v>596</v>
      </c>
      <c r="E246" s="189">
        <f>SUM(E225:E245)</f>
        <v>131488.60000000003</v>
      </c>
    </row>
    <row r="248" spans="4:5" x14ac:dyDescent="0.25">
      <c r="D248" t="s">
        <v>361</v>
      </c>
      <c r="E248" s="121">
        <v>1342</v>
      </c>
    </row>
    <row r="250" spans="4:5" x14ac:dyDescent="0.25">
      <c r="E250" s="239">
        <f>E246+E248</f>
        <v>132830.60000000003</v>
      </c>
    </row>
    <row r="264" spans="3:11" ht="18.75" x14ac:dyDescent="0.3">
      <c r="C264" s="314" t="s">
        <v>1130</v>
      </c>
      <c r="D264" s="315"/>
      <c r="E264" s="315"/>
      <c r="F264" s="315"/>
      <c r="G264" s="315"/>
      <c r="H264" s="315"/>
      <c r="I264" s="315"/>
      <c r="J264" s="315"/>
      <c r="K264" s="315"/>
    </row>
    <row r="265" spans="3:11" x14ac:dyDescent="0.25">
      <c r="C265" s="78"/>
      <c r="D265" s="78"/>
      <c r="E265" s="78"/>
      <c r="F265" s="78"/>
      <c r="G265" s="78"/>
      <c r="H265" s="78"/>
      <c r="I265" s="78"/>
      <c r="J265" s="78"/>
      <c r="K265" s="78"/>
    </row>
    <row r="266" spans="3:11" ht="15.75" x14ac:dyDescent="0.25">
      <c r="C266" s="118" t="s">
        <v>223</v>
      </c>
      <c r="D266" s="118" t="s">
        <v>206</v>
      </c>
      <c r="E266" s="118" t="s">
        <v>207</v>
      </c>
      <c r="F266" s="118" t="s">
        <v>218</v>
      </c>
      <c r="G266" s="78"/>
      <c r="H266" s="120" t="s">
        <v>6</v>
      </c>
      <c r="I266" s="120" t="s">
        <v>217</v>
      </c>
      <c r="J266" s="120" t="s">
        <v>207</v>
      </c>
      <c r="K266" s="120" t="s">
        <v>218</v>
      </c>
    </row>
    <row r="267" spans="3:11" x14ac:dyDescent="0.25">
      <c r="C267" s="269">
        <v>46087</v>
      </c>
      <c r="D267" s="270" t="s">
        <v>214</v>
      </c>
      <c r="E267" s="270" t="s">
        <v>211</v>
      </c>
      <c r="F267" s="271">
        <v>2900</v>
      </c>
      <c r="G267" s="78"/>
      <c r="H267" s="117"/>
      <c r="I267" s="78"/>
      <c r="J267" s="78"/>
      <c r="K267" s="119"/>
    </row>
    <row r="268" spans="3:11" ht="15.75" x14ac:dyDescent="0.25">
      <c r="C268" s="78"/>
      <c r="D268" s="201" t="s">
        <v>429</v>
      </c>
      <c r="E268" s="201"/>
      <c r="F268" s="183">
        <v>169168.78</v>
      </c>
      <c r="G268" s="78"/>
      <c r="H268" s="117">
        <v>46037</v>
      </c>
      <c r="I268" s="149" t="s">
        <v>66</v>
      </c>
      <c r="J268" s="78" t="s">
        <v>222</v>
      </c>
      <c r="K268" s="119">
        <v>2120</v>
      </c>
    </row>
    <row r="269" spans="3:11" ht="15.75" x14ac:dyDescent="0.25">
      <c r="C269" s="117">
        <v>46156</v>
      </c>
      <c r="D269" s="78" t="s">
        <v>353</v>
      </c>
      <c r="E269" s="166"/>
      <c r="F269" s="167">
        <v>1084</v>
      </c>
      <c r="G269" s="78"/>
      <c r="H269" s="184">
        <v>46170</v>
      </c>
      <c r="I269" s="78" t="s">
        <v>1060</v>
      </c>
      <c r="J269" s="185"/>
      <c r="K269" s="140">
        <v>1400</v>
      </c>
    </row>
    <row r="270" spans="3:11" ht="15.75" x14ac:dyDescent="0.25">
      <c r="C270" s="117">
        <v>46156</v>
      </c>
      <c r="D270" s="78" t="s">
        <v>471</v>
      </c>
      <c r="E270" s="166"/>
      <c r="F270" s="167">
        <v>3902</v>
      </c>
      <c r="G270" s="78"/>
      <c r="H270" s="184">
        <v>46172</v>
      </c>
      <c r="I270" s="78" t="s">
        <v>257</v>
      </c>
      <c r="J270" s="185"/>
      <c r="K270" s="140">
        <v>4890</v>
      </c>
    </row>
    <row r="271" spans="3:11" ht="15.75" x14ac:dyDescent="0.25">
      <c r="C271" s="117">
        <v>46156</v>
      </c>
      <c r="D271" s="78" t="s">
        <v>834</v>
      </c>
      <c r="E271" s="166"/>
      <c r="F271" s="167">
        <v>2385</v>
      </c>
      <c r="G271" s="119"/>
      <c r="H271" s="184"/>
      <c r="I271" s="78" t="s">
        <v>1084</v>
      </c>
      <c r="J271" s="185"/>
      <c r="K271" s="140">
        <v>189000</v>
      </c>
    </row>
    <row r="272" spans="3:11" ht="15.75" x14ac:dyDescent="0.25">
      <c r="C272" s="117">
        <v>46161</v>
      </c>
      <c r="D272" s="78" t="s">
        <v>995</v>
      </c>
      <c r="E272" s="166"/>
      <c r="F272" s="167">
        <v>6350</v>
      </c>
      <c r="G272" s="119"/>
      <c r="H272" s="184"/>
      <c r="I272" s="78" t="s">
        <v>216</v>
      </c>
      <c r="J272" s="185"/>
      <c r="K272" s="140">
        <v>6230</v>
      </c>
    </row>
    <row r="273" spans="3:11" ht="15.75" x14ac:dyDescent="0.25">
      <c r="C273" s="117">
        <v>46163</v>
      </c>
      <c r="D273" s="78" t="s">
        <v>999</v>
      </c>
      <c r="E273" s="166"/>
      <c r="F273" s="167">
        <v>4510</v>
      </c>
      <c r="G273" s="78"/>
      <c r="H273" s="184"/>
      <c r="I273" s="78"/>
      <c r="J273" s="185"/>
      <c r="K273" s="140"/>
    </row>
    <row r="274" spans="3:11" x14ac:dyDescent="0.25">
      <c r="C274" s="257"/>
      <c r="D274" s="258" t="s">
        <v>1079</v>
      </c>
      <c r="E274" s="214"/>
      <c r="F274" s="219">
        <v>2580</v>
      </c>
      <c r="G274" s="78"/>
      <c r="H274" s="117"/>
      <c r="I274" s="78"/>
      <c r="J274" s="78"/>
      <c r="K274" s="119"/>
    </row>
    <row r="275" spans="3:11" ht="18.75" x14ac:dyDescent="0.3">
      <c r="C275" s="257"/>
      <c r="D275" s="258" t="s">
        <v>1091</v>
      </c>
      <c r="E275" s="214"/>
      <c r="F275" s="219">
        <v>3750</v>
      </c>
      <c r="G275" s="78"/>
      <c r="H275" s="78"/>
      <c r="I275" s="126" t="s">
        <v>226</v>
      </c>
      <c r="J275" s="126"/>
      <c r="K275" s="127">
        <f>SUM(K267:K274)</f>
        <v>203640</v>
      </c>
    </row>
    <row r="276" spans="3:11" x14ac:dyDescent="0.25">
      <c r="C276" s="257"/>
      <c r="D276" s="258" t="s">
        <v>1093</v>
      </c>
      <c r="E276" s="214"/>
      <c r="F276" s="219">
        <v>1050</v>
      </c>
      <c r="G276" s="78"/>
    </row>
    <row r="277" spans="3:11" x14ac:dyDescent="0.25">
      <c r="C277" s="257"/>
      <c r="D277" s="258" t="s">
        <v>497</v>
      </c>
      <c r="E277" s="214"/>
      <c r="F277" s="219">
        <v>50</v>
      </c>
      <c r="G277" s="78"/>
      <c r="K277" s="121"/>
    </row>
    <row r="278" spans="3:11" x14ac:dyDescent="0.25">
      <c r="C278" s="257">
        <v>46179</v>
      </c>
      <c r="D278" s="258" t="s">
        <v>923</v>
      </c>
      <c r="E278" s="214"/>
      <c r="F278" s="219">
        <v>3400</v>
      </c>
      <c r="J278" s="121"/>
    </row>
    <row r="279" spans="3:11" x14ac:dyDescent="0.25">
      <c r="C279" s="272"/>
      <c r="D279" s="273" t="s">
        <v>1141</v>
      </c>
      <c r="E279" s="274"/>
      <c r="F279" s="275">
        <v>350</v>
      </c>
      <c r="J279" s="121"/>
    </row>
    <row r="280" spans="3:11" x14ac:dyDescent="0.25">
      <c r="C280" s="257"/>
      <c r="D280" s="258"/>
      <c r="E280" s="214"/>
      <c r="F280" s="219"/>
    </row>
    <row r="281" spans="3:11" ht="15.75" x14ac:dyDescent="0.25">
      <c r="C281" s="257"/>
      <c r="D281" s="258"/>
      <c r="E281" s="214"/>
      <c r="F281" s="219"/>
      <c r="H281" s="316" t="s">
        <v>227</v>
      </c>
      <c r="I281" s="317"/>
      <c r="J281" s="140">
        <f>F291-K275</f>
        <v>45726.320000000007</v>
      </c>
    </row>
    <row r="282" spans="3:11" ht="15.75" x14ac:dyDescent="0.25">
      <c r="C282" s="257"/>
      <c r="D282" s="258"/>
      <c r="E282" s="214"/>
      <c r="F282" s="219"/>
      <c r="J282" s="89"/>
    </row>
    <row r="283" spans="3:11" ht="15.75" x14ac:dyDescent="0.25">
      <c r="C283" s="257"/>
      <c r="D283" s="258"/>
      <c r="E283" s="214"/>
      <c r="F283" s="219"/>
      <c r="H283" s="128" t="s">
        <v>285</v>
      </c>
      <c r="J283" s="124">
        <f>E326</f>
        <v>66072.78</v>
      </c>
    </row>
    <row r="284" spans="3:11" x14ac:dyDescent="0.25">
      <c r="C284" s="266">
        <v>46175</v>
      </c>
      <c r="D284" s="267" t="s">
        <v>1059</v>
      </c>
      <c r="E284" s="268" t="s">
        <v>1116</v>
      </c>
      <c r="F284" s="265">
        <v>1473.68</v>
      </c>
    </row>
    <row r="285" spans="3:11" x14ac:dyDescent="0.25">
      <c r="C285" s="117"/>
      <c r="D285" s="78"/>
      <c r="E285" s="166"/>
      <c r="F285" s="167"/>
    </row>
    <row r="286" spans="3:11" x14ac:dyDescent="0.25">
      <c r="C286" s="78"/>
      <c r="D286" s="78"/>
      <c r="E286" s="78"/>
      <c r="F286" s="122">
        <f>SUM(F267:F285)</f>
        <v>202953.46</v>
      </c>
      <c r="G286" s="121"/>
    </row>
    <row r="287" spans="3:11" ht="21" x14ac:dyDescent="0.35">
      <c r="F287" s="157"/>
      <c r="I287" s="198" t="s">
        <v>286</v>
      </c>
      <c r="J287" s="137">
        <f>SUM(J281:J283)</f>
        <v>111799.1</v>
      </c>
    </row>
    <row r="288" spans="3:11" x14ac:dyDescent="0.25">
      <c r="E288" s="101" t="s">
        <v>224</v>
      </c>
      <c r="F288" s="101">
        <v>46412.86</v>
      </c>
      <c r="J288" s="157">
        <v>111056.02</v>
      </c>
      <c r="K288" s="39" t="s">
        <v>76</v>
      </c>
    </row>
    <row r="289" spans="3:10" x14ac:dyDescent="0.25">
      <c r="C289" s="121"/>
    </row>
    <row r="290" spans="3:10" ht="18.75" x14ac:dyDescent="0.3">
      <c r="J290" s="264">
        <f>J287-J288</f>
        <v>743.08000000000175</v>
      </c>
    </row>
    <row r="291" spans="3:10" ht="18.75" x14ac:dyDescent="0.3">
      <c r="C291" s="121"/>
      <c r="E291" s="99" t="s">
        <v>225</v>
      </c>
      <c r="F291" s="125">
        <f>SUM(F286+F288)</f>
        <v>249366.32</v>
      </c>
    </row>
    <row r="292" spans="3:10" x14ac:dyDescent="0.25">
      <c r="C292" s="121"/>
    </row>
    <row r="293" spans="3:10" x14ac:dyDescent="0.25">
      <c r="C293" s="121"/>
    </row>
    <row r="297" spans="3:10" ht="18.75" x14ac:dyDescent="0.3">
      <c r="H297" s="99"/>
      <c r="I297" s="340" t="s">
        <v>497</v>
      </c>
      <c r="J297" s="340"/>
    </row>
    <row r="298" spans="3:10" x14ac:dyDescent="0.25">
      <c r="I298" s="151" t="s">
        <v>1121</v>
      </c>
      <c r="J298" s="121">
        <v>50</v>
      </c>
    </row>
    <row r="299" spans="3:10" x14ac:dyDescent="0.25">
      <c r="C299" s="91"/>
      <c r="I299" s="151"/>
      <c r="J299" s="121"/>
    </row>
    <row r="300" spans="3:10" x14ac:dyDescent="0.25">
      <c r="I300" s="163"/>
      <c r="J300" s="121"/>
    </row>
    <row r="301" spans="3:10" ht="15.75" x14ac:dyDescent="0.25">
      <c r="D301" s="132" t="s">
        <v>235</v>
      </c>
      <c r="E301" s="133">
        <v>42237.18</v>
      </c>
      <c r="I301" s="163"/>
      <c r="J301" s="157">
        <f>SUM(J298:J300)</f>
        <v>50</v>
      </c>
    </row>
    <row r="302" spans="3:10" x14ac:dyDescent="0.25">
      <c r="D302" s="150" t="s">
        <v>250</v>
      </c>
      <c r="E302" s="151">
        <v>-400</v>
      </c>
      <c r="I302" s="163"/>
    </row>
    <row r="303" spans="3:10" ht="15.75" x14ac:dyDescent="0.25">
      <c r="D303" s="148" t="s">
        <v>1102</v>
      </c>
      <c r="E303" s="144">
        <v>-50</v>
      </c>
      <c r="I303" s="163"/>
    </row>
    <row r="304" spans="3:10" ht="15.75" x14ac:dyDescent="0.25">
      <c r="D304" s="148" t="s">
        <v>1103</v>
      </c>
      <c r="E304" s="144">
        <v>-80</v>
      </c>
    </row>
    <row r="305" spans="3:10" ht="21" x14ac:dyDescent="0.35">
      <c r="C305" s="91">
        <v>46175</v>
      </c>
      <c r="D305" s="199" t="s">
        <v>1105</v>
      </c>
      <c r="E305" s="200">
        <v>1017.2</v>
      </c>
      <c r="I305" s="262"/>
      <c r="J305" s="263"/>
    </row>
    <row r="306" spans="3:10" ht="15.75" x14ac:dyDescent="0.25">
      <c r="D306" s="148" t="s">
        <v>1106</v>
      </c>
      <c r="E306" s="144">
        <v>1080</v>
      </c>
    </row>
    <row r="307" spans="3:10" ht="15.75" x14ac:dyDescent="0.25">
      <c r="D307" s="148" t="s">
        <v>1111</v>
      </c>
      <c r="E307" s="144">
        <v>-10</v>
      </c>
    </row>
    <row r="308" spans="3:10" ht="15.75" x14ac:dyDescent="0.25">
      <c r="D308" s="148" t="s">
        <v>1112</v>
      </c>
      <c r="E308" s="144">
        <v>-10</v>
      </c>
    </row>
    <row r="309" spans="3:10" ht="15.75" x14ac:dyDescent="0.25">
      <c r="D309" s="148" t="s">
        <v>1113</v>
      </c>
      <c r="E309" s="144">
        <v>-13</v>
      </c>
    </row>
    <row r="310" spans="3:10" x14ac:dyDescent="0.25">
      <c r="D310" s="71" t="s">
        <v>294</v>
      </c>
      <c r="E310" s="186">
        <v>2905</v>
      </c>
    </row>
    <row r="311" spans="3:10" ht="15.75" x14ac:dyDescent="0.25">
      <c r="C311" s="91">
        <v>46176</v>
      </c>
      <c r="D311" s="148" t="s">
        <v>1120</v>
      </c>
      <c r="E311" s="144">
        <v>-6620</v>
      </c>
    </row>
    <row r="312" spans="3:10" x14ac:dyDescent="0.25">
      <c r="D312" s="71" t="s">
        <v>1119</v>
      </c>
      <c r="E312" s="186">
        <v>3010</v>
      </c>
      <c r="I312" s="121"/>
    </row>
    <row r="313" spans="3:10" x14ac:dyDescent="0.25">
      <c r="D313" s="71" t="s">
        <v>525</v>
      </c>
      <c r="E313" s="186">
        <v>-20</v>
      </c>
    </row>
    <row r="314" spans="3:10" x14ac:dyDescent="0.25">
      <c r="D314" s="71" t="s">
        <v>1127</v>
      </c>
      <c r="E314" s="186">
        <v>-100</v>
      </c>
    </row>
    <row r="315" spans="3:10" x14ac:dyDescent="0.25">
      <c r="D315" s="71" t="s">
        <v>1128</v>
      </c>
      <c r="E315" s="186">
        <v>4670</v>
      </c>
    </row>
    <row r="316" spans="3:10" x14ac:dyDescent="0.25">
      <c r="C316" s="91">
        <v>46177</v>
      </c>
      <c r="D316" s="71" t="s">
        <v>1131</v>
      </c>
      <c r="E316" s="186">
        <v>15567.9</v>
      </c>
    </row>
    <row r="317" spans="3:10" x14ac:dyDescent="0.25">
      <c r="D317" s="71" t="s">
        <v>1133</v>
      </c>
      <c r="E317" s="186">
        <v>-2950</v>
      </c>
    </row>
    <row r="318" spans="3:10" x14ac:dyDescent="0.25">
      <c r="D318" s="71" t="s">
        <v>1134</v>
      </c>
      <c r="E318" s="186">
        <v>-20</v>
      </c>
    </row>
    <row r="319" spans="3:10" x14ac:dyDescent="0.25">
      <c r="D319" s="71" t="s">
        <v>1136</v>
      </c>
      <c r="E319" s="186">
        <v>-3140</v>
      </c>
    </row>
    <row r="320" spans="3:10" x14ac:dyDescent="0.25">
      <c r="D320" s="71" t="s">
        <v>1113</v>
      </c>
      <c r="E320" s="186">
        <v>-13</v>
      </c>
    </row>
    <row r="321" spans="4:5" x14ac:dyDescent="0.25">
      <c r="D321" s="71" t="s">
        <v>1144</v>
      </c>
      <c r="E321" s="186">
        <v>70</v>
      </c>
    </row>
    <row r="322" spans="4:5" x14ac:dyDescent="0.25">
      <c r="D322" s="71" t="s">
        <v>374</v>
      </c>
      <c r="E322" s="186">
        <v>2080</v>
      </c>
    </row>
    <row r="323" spans="4:5" x14ac:dyDescent="0.25">
      <c r="D323" s="71" t="s">
        <v>93</v>
      </c>
      <c r="E323" s="186">
        <v>6861.5</v>
      </c>
    </row>
    <row r="324" spans="4:5" x14ac:dyDescent="0.25">
      <c r="D324" s="71"/>
      <c r="E324" s="186"/>
    </row>
    <row r="325" spans="4:5" x14ac:dyDescent="0.25">
      <c r="E325" s="121"/>
    </row>
    <row r="326" spans="4:5" ht="15.75" x14ac:dyDescent="0.25">
      <c r="D326" s="132" t="s">
        <v>236</v>
      </c>
      <c r="E326" s="133">
        <f>SUM(E301:E325)</f>
        <v>66072.78</v>
      </c>
    </row>
    <row r="329" spans="4:5" x14ac:dyDescent="0.25">
      <c r="E329">
        <v>-11.9</v>
      </c>
    </row>
    <row r="331" spans="4:5" x14ac:dyDescent="0.25">
      <c r="D331" s="39"/>
      <c r="E331" s="157">
        <f>SUM(E326:E330)</f>
        <v>66060.88</v>
      </c>
    </row>
    <row r="334" spans="4:5" ht="18.75" x14ac:dyDescent="0.3">
      <c r="D334" s="333" t="s">
        <v>1125</v>
      </c>
      <c r="E334" s="333"/>
    </row>
    <row r="335" spans="4:5" ht="15.75" x14ac:dyDescent="0.25">
      <c r="D335" s="166" t="s">
        <v>429</v>
      </c>
      <c r="E335" s="140">
        <v>186728.39</v>
      </c>
    </row>
    <row r="336" spans="4:5" ht="15.75" x14ac:dyDescent="0.25">
      <c r="D336" s="178" t="s">
        <v>272</v>
      </c>
      <c r="E336" s="212">
        <v>-412.66</v>
      </c>
    </row>
    <row r="337" spans="3:5" ht="15.75" x14ac:dyDescent="0.25">
      <c r="D337" s="178" t="s">
        <v>1101</v>
      </c>
      <c r="E337" s="212">
        <v>-2920</v>
      </c>
    </row>
    <row r="338" spans="3:5" ht="15.75" x14ac:dyDescent="0.25">
      <c r="D338" s="178" t="s">
        <v>1096</v>
      </c>
      <c r="E338" s="212">
        <v>-5.5</v>
      </c>
    </row>
    <row r="339" spans="3:5" ht="15.75" x14ac:dyDescent="0.25">
      <c r="D339" s="178" t="s">
        <v>1097</v>
      </c>
      <c r="E339" s="212">
        <v>-35</v>
      </c>
    </row>
    <row r="340" spans="3:5" ht="15.75" x14ac:dyDescent="0.25">
      <c r="D340" s="178" t="s">
        <v>1098</v>
      </c>
      <c r="E340" s="212">
        <v>-203</v>
      </c>
    </row>
    <row r="341" spans="3:5" ht="15.75" x14ac:dyDescent="0.25">
      <c r="D341" s="178" t="s">
        <v>1099</v>
      </c>
      <c r="E341" s="212">
        <v>-10.15</v>
      </c>
    </row>
    <row r="342" spans="3:5" ht="15.75" x14ac:dyDescent="0.25">
      <c r="D342" s="178" t="s">
        <v>1100</v>
      </c>
      <c r="E342" s="212">
        <v>-18.600000000000001</v>
      </c>
    </row>
    <row r="343" spans="3:5" ht="15.75" x14ac:dyDescent="0.25">
      <c r="C343" s="91">
        <v>46175</v>
      </c>
      <c r="D343" s="166" t="s">
        <v>374</v>
      </c>
      <c r="E343" s="140">
        <v>2600</v>
      </c>
    </row>
    <row r="344" spans="3:5" ht="15.75" x14ac:dyDescent="0.25">
      <c r="D344" s="166" t="s">
        <v>1105</v>
      </c>
      <c r="E344" s="140">
        <v>3000</v>
      </c>
    </row>
    <row r="345" spans="3:5" ht="15.75" x14ac:dyDescent="0.25">
      <c r="D345" s="166" t="s">
        <v>1107</v>
      </c>
      <c r="E345" s="140">
        <v>2040</v>
      </c>
    </row>
    <row r="346" spans="3:5" ht="15.75" x14ac:dyDescent="0.25">
      <c r="D346" s="166" t="s">
        <v>1114</v>
      </c>
      <c r="E346" s="140">
        <v>-39.9</v>
      </c>
    </row>
    <row r="347" spans="3:5" ht="15.75" x14ac:dyDescent="0.25">
      <c r="D347" s="166" t="s">
        <v>1115</v>
      </c>
      <c r="E347" s="140">
        <v>-1473.68</v>
      </c>
    </row>
    <row r="348" spans="3:5" ht="15.75" x14ac:dyDescent="0.25">
      <c r="D348" s="166" t="s">
        <v>1117</v>
      </c>
      <c r="E348" s="140">
        <v>2000</v>
      </c>
    </row>
    <row r="349" spans="3:5" ht="15.75" x14ac:dyDescent="0.25">
      <c r="D349" s="178" t="s">
        <v>535</v>
      </c>
      <c r="E349" s="212">
        <v>-0.5</v>
      </c>
    </row>
    <row r="350" spans="3:5" ht="15.75" x14ac:dyDescent="0.25">
      <c r="C350" s="91">
        <v>46145</v>
      </c>
      <c r="D350" s="178" t="s">
        <v>1124</v>
      </c>
      <c r="E350" s="212">
        <v>-50567.9</v>
      </c>
    </row>
    <row r="351" spans="3:5" ht="15.75" x14ac:dyDescent="0.25">
      <c r="D351" s="178" t="s">
        <v>535</v>
      </c>
      <c r="E351" s="212">
        <v>-2.9</v>
      </c>
    </row>
    <row r="352" spans="3:5" ht="15.75" x14ac:dyDescent="0.25">
      <c r="D352" s="166" t="s">
        <v>1126</v>
      </c>
      <c r="E352" s="140">
        <v>-830</v>
      </c>
    </row>
    <row r="353" spans="4:5" ht="15.75" x14ac:dyDescent="0.25">
      <c r="D353" s="166" t="s">
        <v>257</v>
      </c>
      <c r="E353" s="140">
        <v>-8360</v>
      </c>
    </row>
    <row r="354" spans="4:5" ht="15.75" x14ac:dyDescent="0.25">
      <c r="D354" s="166" t="s">
        <v>1132</v>
      </c>
      <c r="E354" s="140">
        <v>35000</v>
      </c>
    </row>
    <row r="355" spans="4:5" ht="15.75" x14ac:dyDescent="0.25">
      <c r="D355" s="166" t="s">
        <v>272</v>
      </c>
      <c r="E355" s="140">
        <v>-100</v>
      </c>
    </row>
    <row r="356" spans="4:5" ht="15.75" x14ac:dyDescent="0.25">
      <c r="D356" s="166" t="s">
        <v>250</v>
      </c>
      <c r="E356" s="140">
        <v>-437.92</v>
      </c>
    </row>
    <row r="357" spans="4:5" ht="15.75" x14ac:dyDescent="0.25">
      <c r="D357" s="166" t="s">
        <v>1135</v>
      </c>
      <c r="E357" s="140">
        <v>3140</v>
      </c>
    </row>
    <row r="358" spans="4:5" ht="15.75" x14ac:dyDescent="0.25">
      <c r="D358" s="166" t="s">
        <v>1140</v>
      </c>
      <c r="E358" s="140">
        <v>500</v>
      </c>
    </row>
    <row r="359" spans="4:5" ht="15.75" x14ac:dyDescent="0.25">
      <c r="D359" s="166" t="s">
        <v>1142</v>
      </c>
      <c r="E359" s="140">
        <v>-350</v>
      </c>
    </row>
    <row r="360" spans="4:5" ht="15.75" x14ac:dyDescent="0.25">
      <c r="D360" s="166" t="s">
        <v>1143</v>
      </c>
      <c r="E360" s="140">
        <v>-70</v>
      </c>
    </row>
    <row r="361" spans="4:5" ht="15.75" x14ac:dyDescent="0.25">
      <c r="D361" s="178" t="s">
        <v>535</v>
      </c>
      <c r="E361" s="212">
        <v>-1.9</v>
      </c>
    </row>
    <row r="362" spans="4:5" ht="15.75" x14ac:dyDescent="0.25">
      <c r="D362" s="166"/>
      <c r="E362" s="140"/>
    </row>
    <row r="363" spans="4:5" x14ac:dyDescent="0.25">
      <c r="D363" s="78"/>
      <c r="E363" s="78"/>
    </row>
    <row r="364" spans="4:5" ht="15.75" x14ac:dyDescent="0.25">
      <c r="D364" s="78" t="s">
        <v>596</v>
      </c>
      <c r="E364" s="189">
        <f>SUM(E335:E363)</f>
        <v>169168.78000000003</v>
      </c>
    </row>
    <row r="366" spans="4:5" x14ac:dyDescent="0.25">
      <c r="D366" t="s">
        <v>361</v>
      </c>
      <c r="E366" s="121">
        <v>1342</v>
      </c>
    </row>
    <row r="368" spans="4:5" x14ac:dyDescent="0.25">
      <c r="E368" s="239">
        <f>E364+E366</f>
        <v>170510.78000000003</v>
      </c>
    </row>
    <row r="374" spans="3:11" ht="18.75" x14ac:dyDescent="0.3">
      <c r="C374" s="314" t="s">
        <v>1145</v>
      </c>
      <c r="D374" s="315"/>
      <c r="E374" s="315"/>
      <c r="F374" s="315"/>
      <c r="G374" s="315"/>
      <c r="H374" s="315"/>
      <c r="I374" s="315"/>
      <c r="J374" s="315"/>
      <c r="K374" s="315"/>
    </row>
    <row r="375" spans="3:11" x14ac:dyDescent="0.25">
      <c r="C375" s="78"/>
      <c r="D375" s="78"/>
      <c r="E375" s="78"/>
      <c r="F375" s="78"/>
      <c r="G375" s="78"/>
      <c r="H375" s="78"/>
      <c r="I375" s="78"/>
      <c r="J375" s="78"/>
      <c r="K375" s="78"/>
    </row>
    <row r="376" spans="3:11" ht="15.75" x14ac:dyDescent="0.25">
      <c r="C376" s="118" t="s">
        <v>223</v>
      </c>
      <c r="D376" s="118" t="s">
        <v>206</v>
      </c>
      <c r="E376" s="118" t="s">
        <v>207</v>
      </c>
      <c r="F376" s="118" t="s">
        <v>218</v>
      </c>
      <c r="G376" s="78"/>
      <c r="H376" s="120" t="s">
        <v>6</v>
      </c>
      <c r="I376" s="120" t="s">
        <v>217</v>
      </c>
      <c r="J376" s="120" t="s">
        <v>207</v>
      </c>
      <c r="K376" s="120" t="s">
        <v>218</v>
      </c>
    </row>
    <row r="377" spans="3:11" x14ac:dyDescent="0.25">
      <c r="C377" s="276">
        <v>46178</v>
      </c>
      <c r="D377" s="247" t="s">
        <v>1151</v>
      </c>
      <c r="E377" s="118" t="s">
        <v>1146</v>
      </c>
      <c r="F377" s="248">
        <v>7670</v>
      </c>
      <c r="G377" s="78"/>
      <c r="H377" s="117"/>
      <c r="I377" s="78"/>
      <c r="J377" s="78"/>
      <c r="K377" s="119"/>
    </row>
    <row r="378" spans="3:11" x14ac:dyDescent="0.25">
      <c r="C378" s="276">
        <v>46178</v>
      </c>
      <c r="D378" s="247" t="s">
        <v>1152</v>
      </c>
      <c r="E378" s="118"/>
      <c r="F378" s="248">
        <v>15200</v>
      </c>
      <c r="G378" s="78"/>
      <c r="H378" s="117">
        <v>46037</v>
      </c>
      <c r="I378" s="149" t="s">
        <v>66</v>
      </c>
      <c r="J378" s="78" t="s">
        <v>222</v>
      </c>
      <c r="K378" s="119">
        <v>2120</v>
      </c>
    </row>
    <row r="379" spans="3:11" ht="15.75" x14ac:dyDescent="0.25">
      <c r="C379" s="269">
        <v>46087</v>
      </c>
      <c r="D379" s="270" t="s">
        <v>214</v>
      </c>
      <c r="E379" s="270" t="s">
        <v>211</v>
      </c>
      <c r="F379" s="271">
        <v>2900</v>
      </c>
      <c r="G379" s="78"/>
      <c r="H379" s="184">
        <v>46170</v>
      </c>
      <c r="I379" s="78" t="s">
        <v>1060</v>
      </c>
      <c r="J379" s="185"/>
      <c r="K379" s="140">
        <v>1400</v>
      </c>
    </row>
    <row r="380" spans="3:11" ht="15.75" x14ac:dyDescent="0.25">
      <c r="C380" s="78"/>
      <c r="D380" s="201" t="s">
        <v>429</v>
      </c>
      <c r="E380" s="201"/>
      <c r="F380" s="183">
        <v>140128.51</v>
      </c>
      <c r="G380" s="78"/>
      <c r="H380" s="184">
        <v>46172</v>
      </c>
      <c r="I380" s="78" t="s">
        <v>257</v>
      </c>
      <c r="J380" s="185"/>
      <c r="K380" s="140">
        <v>4890</v>
      </c>
    </row>
    <row r="381" spans="3:11" ht="15.75" x14ac:dyDescent="0.25">
      <c r="C381" s="117">
        <v>46156</v>
      </c>
      <c r="D381" s="78" t="s">
        <v>353</v>
      </c>
      <c r="E381" s="166"/>
      <c r="F381" s="167">
        <v>1084</v>
      </c>
      <c r="G381" s="119"/>
      <c r="H381" s="184"/>
      <c r="I381" s="78" t="s">
        <v>1084</v>
      </c>
      <c r="J381" s="185"/>
      <c r="K381" s="140">
        <v>189000</v>
      </c>
    </row>
    <row r="382" spans="3:11" ht="15.75" x14ac:dyDescent="0.25">
      <c r="C382" s="117">
        <v>46156</v>
      </c>
      <c r="D382" s="78" t="s">
        <v>471</v>
      </c>
      <c r="E382" s="166"/>
      <c r="F382" s="167">
        <v>3902</v>
      </c>
      <c r="G382" s="119"/>
      <c r="H382" s="184"/>
      <c r="I382" s="78" t="s">
        <v>216</v>
      </c>
      <c r="J382" s="185"/>
      <c r="K382" s="140">
        <v>6230</v>
      </c>
    </row>
    <row r="383" spans="3:11" ht="15.75" x14ac:dyDescent="0.25">
      <c r="C383" s="117">
        <v>46156</v>
      </c>
      <c r="D383" s="78" t="s">
        <v>148</v>
      </c>
      <c r="E383" s="166"/>
      <c r="F383" s="167">
        <v>5785</v>
      </c>
      <c r="G383" s="78"/>
      <c r="H383" s="184"/>
      <c r="I383" s="78" t="s">
        <v>1149</v>
      </c>
      <c r="J383" s="185"/>
      <c r="K383" s="140">
        <v>2900</v>
      </c>
    </row>
    <row r="384" spans="3:11" x14ac:dyDescent="0.25">
      <c r="C384" s="117">
        <v>46161</v>
      </c>
      <c r="D384" s="78" t="s">
        <v>995</v>
      </c>
      <c r="E384" s="166"/>
      <c r="F384" s="167">
        <v>2850</v>
      </c>
      <c r="G384" s="78"/>
      <c r="H384" s="117"/>
      <c r="I384" s="78"/>
      <c r="J384" s="78"/>
      <c r="K384" s="119"/>
    </row>
    <row r="385" spans="3:11" ht="18.75" x14ac:dyDescent="0.3">
      <c r="C385" s="117">
        <v>46163</v>
      </c>
      <c r="D385" s="78" t="s">
        <v>999</v>
      </c>
      <c r="E385" s="166"/>
      <c r="F385" s="167">
        <v>4510</v>
      </c>
      <c r="G385" s="78"/>
      <c r="H385" s="78"/>
      <c r="I385" s="126" t="s">
        <v>226</v>
      </c>
      <c r="J385" s="126"/>
      <c r="K385" s="127">
        <f>SUM(K377:K384)</f>
        <v>206540</v>
      </c>
    </row>
    <row r="386" spans="3:11" x14ac:dyDescent="0.25">
      <c r="C386" s="257"/>
      <c r="D386" s="258" t="s">
        <v>1079</v>
      </c>
      <c r="E386" s="214"/>
      <c r="F386" s="219">
        <v>2580</v>
      </c>
      <c r="G386" s="78"/>
    </row>
    <row r="387" spans="3:11" x14ac:dyDescent="0.25">
      <c r="C387" s="257"/>
      <c r="D387" s="258" t="s">
        <v>1091</v>
      </c>
      <c r="E387" s="214"/>
      <c r="F387" s="219">
        <v>3750</v>
      </c>
      <c r="G387" s="78"/>
      <c r="K387" s="121"/>
    </row>
    <row r="388" spans="3:11" x14ac:dyDescent="0.25">
      <c r="C388" s="257"/>
      <c r="D388" s="258" t="s">
        <v>1093</v>
      </c>
      <c r="E388" s="214"/>
      <c r="F388" s="219">
        <v>1050</v>
      </c>
      <c r="J388" s="121"/>
    </row>
    <row r="389" spans="3:11" x14ac:dyDescent="0.25">
      <c r="C389" s="257"/>
      <c r="D389" s="258" t="s">
        <v>497</v>
      </c>
      <c r="E389" s="214"/>
      <c r="F389" s="219">
        <v>50</v>
      </c>
      <c r="J389" s="121"/>
    </row>
    <row r="390" spans="3:11" x14ac:dyDescent="0.25">
      <c r="C390" s="257">
        <v>46179</v>
      </c>
      <c r="D390" s="258" t="s">
        <v>923</v>
      </c>
      <c r="E390" s="214"/>
      <c r="F390" s="219">
        <v>3400</v>
      </c>
    </row>
    <row r="391" spans="3:11" ht="15.75" x14ac:dyDescent="0.25">
      <c r="C391" s="272"/>
      <c r="D391" s="273" t="s">
        <v>1141</v>
      </c>
      <c r="E391" s="274"/>
      <c r="F391" s="275">
        <v>350</v>
      </c>
      <c r="H391" s="316" t="s">
        <v>227</v>
      </c>
      <c r="I391" s="317"/>
      <c r="J391" s="140">
        <f>F403-K385</f>
        <v>71882.770000000019</v>
      </c>
    </row>
    <row r="392" spans="3:11" ht="15.75" x14ac:dyDescent="0.25">
      <c r="C392" s="257"/>
      <c r="D392" s="258"/>
      <c r="E392" s="214"/>
      <c r="F392" s="219"/>
      <c r="J392" s="89"/>
    </row>
    <row r="393" spans="3:11" ht="15.75" x14ac:dyDescent="0.25">
      <c r="C393" s="257"/>
      <c r="D393" s="279" t="s">
        <v>1161</v>
      </c>
      <c r="E393" s="214"/>
      <c r="F393" s="212">
        <v>30898.720000000001</v>
      </c>
      <c r="H393" s="128" t="s">
        <v>285</v>
      </c>
      <c r="J393" s="124">
        <f>E442</f>
        <v>41156.18</v>
      </c>
    </row>
    <row r="394" spans="3:11" x14ac:dyDescent="0.25">
      <c r="C394" s="257"/>
      <c r="D394" s="258"/>
      <c r="E394" s="214"/>
      <c r="F394" s="219"/>
    </row>
    <row r="395" spans="3:11" x14ac:dyDescent="0.25">
      <c r="C395" s="257"/>
      <c r="D395" s="258"/>
      <c r="E395" s="214"/>
      <c r="F395" s="219"/>
    </row>
    <row r="396" spans="3:11" x14ac:dyDescent="0.25">
      <c r="C396" s="266">
        <v>46175</v>
      </c>
      <c r="D396" s="267" t="s">
        <v>1059</v>
      </c>
      <c r="E396" s="268" t="s">
        <v>1116</v>
      </c>
      <c r="F396" s="265">
        <v>1473.68</v>
      </c>
      <c r="G396" s="121"/>
    </row>
    <row r="397" spans="3:11" ht="21" x14ac:dyDescent="0.35">
      <c r="C397" s="117"/>
      <c r="D397" s="78"/>
      <c r="E397" s="166"/>
      <c r="F397" s="167"/>
      <c r="I397" s="198" t="s">
        <v>286</v>
      </c>
      <c r="J397" s="137">
        <f>SUM(J391:J393)</f>
        <v>113038.95000000001</v>
      </c>
    </row>
    <row r="398" spans="3:11" x14ac:dyDescent="0.25">
      <c r="C398" s="78"/>
      <c r="D398" s="78"/>
      <c r="E398" s="78"/>
      <c r="F398" s="122">
        <f>SUM(F377:F397)</f>
        <v>227581.91</v>
      </c>
      <c r="J398" s="157">
        <v>111799.1</v>
      </c>
      <c r="K398" s="39" t="s">
        <v>76</v>
      </c>
    </row>
    <row r="399" spans="3:11" x14ac:dyDescent="0.25">
      <c r="F399" s="157"/>
    </row>
    <row r="400" spans="3:11" ht="18.75" x14ac:dyDescent="0.3">
      <c r="E400" s="101" t="s">
        <v>224</v>
      </c>
      <c r="F400" s="101">
        <v>50840.86</v>
      </c>
      <c r="J400" s="264">
        <f>J397-J398</f>
        <v>1239.8500000000058</v>
      </c>
    </row>
    <row r="401" spans="3:10" x14ac:dyDescent="0.25">
      <c r="C401" s="121"/>
    </row>
    <row r="403" spans="3:10" ht="18.75" x14ac:dyDescent="0.3">
      <c r="C403" s="121"/>
      <c r="E403" s="99" t="s">
        <v>225</v>
      </c>
      <c r="F403" s="125">
        <f>SUM(F398+F400)</f>
        <v>278422.77</v>
      </c>
    </row>
    <row r="404" spans="3:10" x14ac:dyDescent="0.25">
      <c r="C404" s="121"/>
    </row>
    <row r="405" spans="3:10" x14ac:dyDescent="0.25">
      <c r="C405" s="121"/>
    </row>
    <row r="407" spans="3:10" ht="18.75" x14ac:dyDescent="0.3">
      <c r="H407" s="99"/>
      <c r="I407" s="340" t="s">
        <v>497</v>
      </c>
      <c r="J407" s="340"/>
    </row>
    <row r="408" spans="3:10" x14ac:dyDescent="0.25">
      <c r="I408" s="151" t="s">
        <v>1121</v>
      </c>
      <c r="J408" s="121">
        <v>50</v>
      </c>
    </row>
    <row r="409" spans="3:10" x14ac:dyDescent="0.25">
      <c r="I409" s="151"/>
      <c r="J409" s="121"/>
    </row>
    <row r="410" spans="3:10" x14ac:dyDescent="0.25">
      <c r="I410" s="163"/>
      <c r="J410" s="121"/>
    </row>
    <row r="411" spans="3:10" x14ac:dyDescent="0.25">
      <c r="C411" s="91"/>
      <c r="I411" s="163"/>
      <c r="J411" s="157">
        <f>SUM(J408:J410)</f>
        <v>50</v>
      </c>
    </row>
    <row r="412" spans="3:10" x14ac:dyDescent="0.25">
      <c r="I412" s="163"/>
    </row>
    <row r="413" spans="3:10" ht="15.75" x14ac:dyDescent="0.25">
      <c r="D413" s="132" t="s">
        <v>235</v>
      </c>
      <c r="E413" s="133">
        <v>42237.18</v>
      </c>
      <c r="I413" s="163"/>
    </row>
    <row r="414" spans="3:10" x14ac:dyDescent="0.25">
      <c r="D414" s="150" t="s">
        <v>250</v>
      </c>
      <c r="E414" s="151">
        <v>-400</v>
      </c>
    </row>
    <row r="415" spans="3:10" ht="21" x14ac:dyDescent="0.35">
      <c r="D415" s="148" t="s">
        <v>1102</v>
      </c>
      <c r="E415" s="144">
        <v>-50</v>
      </c>
      <c r="I415" s="262"/>
      <c r="J415" s="263"/>
    </row>
    <row r="416" spans="3:10" ht="15.75" x14ac:dyDescent="0.25">
      <c r="D416" s="148" t="s">
        <v>1103</v>
      </c>
      <c r="E416" s="144">
        <v>-80</v>
      </c>
    </row>
    <row r="417" spans="3:9" ht="15.75" x14ac:dyDescent="0.25">
      <c r="C417" s="91">
        <v>46175</v>
      </c>
      <c r="D417" s="199" t="s">
        <v>1105</v>
      </c>
      <c r="E417" s="200">
        <v>1017.2</v>
      </c>
    </row>
    <row r="418" spans="3:9" ht="15.75" x14ac:dyDescent="0.25">
      <c r="D418" s="148" t="s">
        <v>1106</v>
      </c>
      <c r="E418" s="144">
        <v>1080</v>
      </c>
    </row>
    <row r="419" spans="3:9" ht="15.75" x14ac:dyDescent="0.25">
      <c r="D419" s="148" t="s">
        <v>1111</v>
      </c>
      <c r="E419" s="144">
        <v>-10</v>
      </c>
    </row>
    <row r="420" spans="3:9" ht="15.75" x14ac:dyDescent="0.25">
      <c r="D420" s="148" t="s">
        <v>1112</v>
      </c>
      <c r="E420" s="144">
        <v>-10</v>
      </c>
    </row>
    <row r="421" spans="3:9" ht="15.75" x14ac:dyDescent="0.25">
      <c r="D421" s="148" t="s">
        <v>1113</v>
      </c>
      <c r="E421" s="144">
        <v>-13</v>
      </c>
    </row>
    <row r="422" spans="3:9" x14ac:dyDescent="0.25">
      <c r="D422" s="71" t="s">
        <v>294</v>
      </c>
      <c r="E422" s="186">
        <v>2905</v>
      </c>
      <c r="I422" s="121"/>
    </row>
    <row r="423" spans="3:9" ht="15.75" x14ac:dyDescent="0.25">
      <c r="C423" s="91">
        <v>46176</v>
      </c>
      <c r="D423" s="148" t="s">
        <v>1120</v>
      </c>
      <c r="E423" s="144">
        <v>-6620</v>
      </c>
    </row>
    <row r="424" spans="3:9" x14ac:dyDescent="0.25">
      <c r="D424" s="71" t="s">
        <v>1119</v>
      </c>
      <c r="E424" s="186">
        <v>3010</v>
      </c>
    </row>
    <row r="425" spans="3:9" x14ac:dyDescent="0.25">
      <c r="D425" s="71" t="s">
        <v>525</v>
      </c>
      <c r="E425" s="186">
        <v>-20</v>
      </c>
    </row>
    <row r="426" spans="3:9" x14ac:dyDescent="0.25">
      <c r="D426" s="71" t="s">
        <v>1127</v>
      </c>
      <c r="E426" s="186">
        <v>-100</v>
      </c>
    </row>
    <row r="427" spans="3:9" x14ac:dyDescent="0.25">
      <c r="D427" s="71" t="s">
        <v>1128</v>
      </c>
      <c r="E427" s="186">
        <v>4670</v>
      </c>
    </row>
    <row r="428" spans="3:9" x14ac:dyDescent="0.25">
      <c r="C428" s="91">
        <v>46177</v>
      </c>
      <c r="D428" s="71" t="s">
        <v>1131</v>
      </c>
      <c r="E428" s="186">
        <v>15567.9</v>
      </c>
    </row>
    <row r="429" spans="3:9" x14ac:dyDescent="0.25">
      <c r="D429" s="71" t="s">
        <v>1133</v>
      </c>
      <c r="E429" s="186">
        <v>-2950</v>
      </c>
    </row>
    <row r="430" spans="3:9" x14ac:dyDescent="0.25">
      <c r="D430" s="71" t="s">
        <v>1134</v>
      </c>
      <c r="E430" s="186">
        <v>-20</v>
      </c>
    </row>
    <row r="431" spans="3:9" x14ac:dyDescent="0.25">
      <c r="D431" s="71" t="s">
        <v>1136</v>
      </c>
      <c r="E431" s="186">
        <v>-3140</v>
      </c>
    </row>
    <row r="432" spans="3:9" x14ac:dyDescent="0.25">
      <c r="D432" s="71" t="s">
        <v>1113</v>
      </c>
      <c r="E432" s="186">
        <v>-13</v>
      </c>
    </row>
    <row r="433" spans="3:5" x14ac:dyDescent="0.25">
      <c r="D433" s="71" t="s">
        <v>1144</v>
      </c>
      <c r="E433" s="186">
        <v>70</v>
      </c>
    </row>
    <row r="434" spans="3:5" x14ac:dyDescent="0.25">
      <c r="D434" s="71" t="s">
        <v>374</v>
      </c>
      <c r="E434" s="186">
        <v>2080</v>
      </c>
    </row>
    <row r="435" spans="3:5" x14ac:dyDescent="0.25">
      <c r="D435" s="71" t="s">
        <v>93</v>
      </c>
      <c r="E435" s="186">
        <v>6861.5</v>
      </c>
    </row>
    <row r="436" spans="3:5" x14ac:dyDescent="0.25">
      <c r="C436" s="91">
        <v>46178</v>
      </c>
      <c r="D436" s="71" t="s">
        <v>1147</v>
      </c>
      <c r="E436" s="186">
        <v>-32900</v>
      </c>
    </row>
    <row r="437" spans="3:5" x14ac:dyDescent="0.25">
      <c r="D437" s="277" t="s">
        <v>1148</v>
      </c>
      <c r="E437" s="278">
        <v>2900</v>
      </c>
    </row>
    <row r="438" spans="3:5" x14ac:dyDescent="0.25">
      <c r="D438" s="71" t="s">
        <v>1150</v>
      </c>
      <c r="E438" s="186">
        <v>3500</v>
      </c>
    </row>
    <row r="439" spans="3:5" x14ac:dyDescent="0.25">
      <c r="D439" s="71" t="s">
        <v>93</v>
      </c>
      <c r="E439" s="186">
        <v>1583.4</v>
      </c>
    </row>
    <row r="440" spans="3:5" x14ac:dyDescent="0.25">
      <c r="D440" s="71"/>
      <c r="E440" s="186"/>
    </row>
    <row r="441" spans="3:5" x14ac:dyDescent="0.25">
      <c r="E441" s="121"/>
    </row>
    <row r="442" spans="3:5" ht="15.75" x14ac:dyDescent="0.25">
      <c r="D442" s="132" t="s">
        <v>236</v>
      </c>
      <c r="E442" s="133">
        <f>SUM(E413:E441)</f>
        <v>41156.18</v>
      </c>
    </row>
    <row r="445" spans="3:5" x14ac:dyDescent="0.25">
      <c r="E445">
        <v>-11.9</v>
      </c>
    </row>
    <row r="447" spans="3:5" x14ac:dyDescent="0.25">
      <c r="D447" s="39"/>
      <c r="E447" s="157">
        <f>SUM(E442:E446)</f>
        <v>41144.28</v>
      </c>
    </row>
    <row r="450" spans="3:5" ht="18.75" x14ac:dyDescent="0.3">
      <c r="D450" s="333" t="s">
        <v>1125</v>
      </c>
      <c r="E450" s="333"/>
    </row>
    <row r="451" spans="3:5" ht="15.75" x14ac:dyDescent="0.25">
      <c r="D451" s="166" t="s">
        <v>429</v>
      </c>
      <c r="E451" s="140">
        <v>186728.39</v>
      </c>
    </row>
    <row r="452" spans="3:5" ht="15.75" x14ac:dyDescent="0.25">
      <c r="D452" s="178" t="s">
        <v>272</v>
      </c>
      <c r="E452" s="212">
        <v>-412.66</v>
      </c>
    </row>
    <row r="453" spans="3:5" ht="15.75" x14ac:dyDescent="0.25">
      <c r="D453" s="178" t="s">
        <v>1101</v>
      </c>
      <c r="E453" s="212">
        <v>-2920</v>
      </c>
    </row>
    <row r="454" spans="3:5" ht="15.75" x14ac:dyDescent="0.25">
      <c r="D454" s="178" t="s">
        <v>1096</v>
      </c>
      <c r="E454" s="212">
        <v>-5.5</v>
      </c>
    </row>
    <row r="455" spans="3:5" ht="15.75" x14ac:dyDescent="0.25">
      <c r="D455" s="178" t="s">
        <v>1097</v>
      </c>
      <c r="E455" s="212">
        <v>-35</v>
      </c>
    </row>
    <row r="456" spans="3:5" ht="15.75" x14ac:dyDescent="0.25">
      <c r="D456" s="178" t="s">
        <v>1098</v>
      </c>
      <c r="E456" s="212">
        <v>-203</v>
      </c>
    </row>
    <row r="457" spans="3:5" ht="15.75" x14ac:dyDescent="0.25">
      <c r="C457" s="91">
        <v>46175</v>
      </c>
      <c r="D457" s="178" t="s">
        <v>1099</v>
      </c>
      <c r="E457" s="212">
        <v>-10.15</v>
      </c>
    </row>
    <row r="458" spans="3:5" ht="15.75" x14ac:dyDescent="0.25">
      <c r="D458" s="178" t="s">
        <v>1100</v>
      </c>
      <c r="E458" s="212">
        <v>-18.600000000000001</v>
      </c>
    </row>
    <row r="459" spans="3:5" ht="15.75" x14ac:dyDescent="0.25">
      <c r="D459" s="166" t="s">
        <v>374</v>
      </c>
      <c r="E459" s="140">
        <v>2600</v>
      </c>
    </row>
    <row r="460" spans="3:5" ht="15.75" x14ac:dyDescent="0.25">
      <c r="D460" s="166" t="s">
        <v>1105</v>
      </c>
      <c r="E460" s="140">
        <v>3000</v>
      </c>
    </row>
    <row r="461" spans="3:5" ht="15.75" x14ac:dyDescent="0.25">
      <c r="D461" s="166" t="s">
        <v>1107</v>
      </c>
      <c r="E461" s="140">
        <v>2040</v>
      </c>
    </row>
    <row r="462" spans="3:5" ht="15.75" x14ac:dyDescent="0.25">
      <c r="D462" s="166" t="s">
        <v>1114</v>
      </c>
      <c r="E462" s="140">
        <v>-39.9</v>
      </c>
    </row>
    <row r="463" spans="3:5" ht="15.75" x14ac:dyDescent="0.25">
      <c r="D463" s="166" t="s">
        <v>1115</v>
      </c>
      <c r="E463" s="140">
        <v>-1473.68</v>
      </c>
    </row>
    <row r="464" spans="3:5" ht="15.75" x14ac:dyDescent="0.25">
      <c r="C464" s="91">
        <v>46145</v>
      </c>
      <c r="D464" s="166" t="s">
        <v>1117</v>
      </c>
      <c r="E464" s="140">
        <v>2000</v>
      </c>
    </row>
    <row r="465" spans="4:5" ht="15.75" x14ac:dyDescent="0.25">
      <c r="D465" s="178" t="s">
        <v>535</v>
      </c>
      <c r="E465" s="212">
        <v>-0.5</v>
      </c>
    </row>
    <row r="466" spans="4:5" ht="15.75" x14ac:dyDescent="0.25">
      <c r="D466" s="178" t="s">
        <v>1124</v>
      </c>
      <c r="E466" s="212">
        <v>-50567.9</v>
      </c>
    </row>
    <row r="467" spans="4:5" ht="15.75" x14ac:dyDescent="0.25">
      <c r="D467" s="178" t="s">
        <v>535</v>
      </c>
      <c r="E467" s="212">
        <v>-2.9</v>
      </c>
    </row>
    <row r="468" spans="4:5" ht="15.75" x14ac:dyDescent="0.25">
      <c r="D468" s="166" t="s">
        <v>1126</v>
      </c>
      <c r="E468" s="140">
        <v>-830</v>
      </c>
    </row>
    <row r="469" spans="4:5" ht="15.75" x14ac:dyDescent="0.25">
      <c r="D469" s="166" t="s">
        <v>257</v>
      </c>
      <c r="E469" s="140">
        <v>-8360</v>
      </c>
    </row>
    <row r="470" spans="4:5" ht="15.75" x14ac:dyDescent="0.25">
      <c r="D470" s="166" t="s">
        <v>1132</v>
      </c>
      <c r="E470" s="140">
        <v>35000</v>
      </c>
    </row>
    <row r="471" spans="4:5" ht="15.75" x14ac:dyDescent="0.25">
      <c r="D471" s="166" t="s">
        <v>272</v>
      </c>
      <c r="E471" s="140">
        <v>-100</v>
      </c>
    </row>
    <row r="472" spans="4:5" ht="15.75" x14ac:dyDescent="0.25">
      <c r="D472" s="166" t="s">
        <v>250</v>
      </c>
      <c r="E472" s="140">
        <v>-437.92</v>
      </c>
    </row>
    <row r="473" spans="4:5" ht="15.75" x14ac:dyDescent="0.25">
      <c r="D473" s="166" t="s">
        <v>1135</v>
      </c>
      <c r="E473" s="140">
        <v>3140</v>
      </c>
    </row>
    <row r="474" spans="4:5" ht="15.75" x14ac:dyDescent="0.25">
      <c r="D474" s="166" t="s">
        <v>1140</v>
      </c>
      <c r="E474" s="140">
        <v>500</v>
      </c>
    </row>
    <row r="475" spans="4:5" ht="15.75" x14ac:dyDescent="0.25">
      <c r="D475" s="166" t="s">
        <v>1142</v>
      </c>
      <c r="E475" s="140">
        <v>-350</v>
      </c>
    </row>
    <row r="476" spans="4:5" ht="15.75" x14ac:dyDescent="0.25">
      <c r="D476" s="166" t="s">
        <v>1143</v>
      </c>
      <c r="E476" s="140">
        <v>-70</v>
      </c>
    </row>
    <row r="477" spans="4:5" ht="15.75" x14ac:dyDescent="0.25">
      <c r="D477" s="178" t="s">
        <v>535</v>
      </c>
      <c r="E477" s="212">
        <v>-1.9</v>
      </c>
    </row>
    <row r="478" spans="4:5" ht="15.75" x14ac:dyDescent="0.25">
      <c r="D478" s="178" t="s">
        <v>1153</v>
      </c>
      <c r="E478" s="212">
        <v>1860</v>
      </c>
    </row>
    <row r="479" spans="4:5" ht="15.75" x14ac:dyDescent="0.25">
      <c r="D479" s="178" t="s">
        <v>1160</v>
      </c>
      <c r="E479" s="212">
        <v>-30898.720000000001</v>
      </c>
    </row>
    <row r="480" spans="4:5" ht="15.75" x14ac:dyDescent="0.25">
      <c r="D480" s="178" t="s">
        <v>535</v>
      </c>
      <c r="E480" s="212">
        <v>-1.55</v>
      </c>
    </row>
    <row r="481" spans="4:5" x14ac:dyDescent="0.25">
      <c r="D481" s="78"/>
      <c r="E481" s="78"/>
    </row>
    <row r="482" spans="4:5" ht="15.75" x14ac:dyDescent="0.25">
      <c r="D482" s="78" t="s">
        <v>596</v>
      </c>
      <c r="E482" s="189">
        <f>SUM(E451:E481)</f>
        <v>140128.51000000004</v>
      </c>
    </row>
    <row r="484" spans="4:5" x14ac:dyDescent="0.25">
      <c r="D484" t="s">
        <v>361</v>
      </c>
      <c r="E484" s="121">
        <v>1342</v>
      </c>
    </row>
    <row r="486" spans="4:5" ht="18.75" x14ac:dyDescent="0.3">
      <c r="E486" s="280">
        <f>E482+E484</f>
        <v>141470.51000000004</v>
      </c>
    </row>
    <row r="497" spans="3:11" ht="18.75" x14ac:dyDescent="0.3">
      <c r="C497" s="314" t="s">
        <v>1167</v>
      </c>
      <c r="D497" s="315"/>
      <c r="E497" s="315"/>
      <c r="F497" s="315"/>
      <c r="G497" s="315"/>
      <c r="H497" s="315"/>
      <c r="I497" s="315"/>
      <c r="J497" s="315"/>
      <c r="K497" s="315"/>
    </row>
    <row r="498" spans="3:11" x14ac:dyDescent="0.25">
      <c r="C498" s="78"/>
      <c r="D498" s="78"/>
      <c r="E498" s="78"/>
      <c r="F498" s="78"/>
      <c r="G498" s="78"/>
      <c r="H498" s="78"/>
      <c r="I498" s="78"/>
      <c r="J498" s="78"/>
      <c r="K498" s="78"/>
    </row>
    <row r="499" spans="3:11" ht="15.75" x14ac:dyDescent="0.25">
      <c r="C499" s="118" t="s">
        <v>223</v>
      </c>
      <c r="D499" s="118" t="s">
        <v>206</v>
      </c>
      <c r="E499" s="118" t="s">
        <v>207</v>
      </c>
      <c r="F499" s="118" t="s">
        <v>218</v>
      </c>
      <c r="G499" s="78"/>
      <c r="H499" s="120" t="s">
        <v>6</v>
      </c>
      <c r="I499" s="120" t="s">
        <v>217</v>
      </c>
      <c r="J499" s="120" t="s">
        <v>207</v>
      </c>
      <c r="K499" s="120" t="s">
        <v>218</v>
      </c>
    </row>
    <row r="500" spans="3:11" x14ac:dyDescent="0.25">
      <c r="C500" s="276">
        <v>46178</v>
      </c>
      <c r="D500" s="247" t="s">
        <v>1151</v>
      </c>
      <c r="E500" s="118" t="s">
        <v>1146</v>
      </c>
      <c r="F500" s="248">
        <v>7670</v>
      </c>
      <c r="G500" s="78"/>
      <c r="H500" s="117"/>
      <c r="I500" s="78"/>
      <c r="J500" s="78"/>
      <c r="K500" s="119"/>
    </row>
    <row r="501" spans="3:11" x14ac:dyDescent="0.25">
      <c r="C501" s="276">
        <v>46178</v>
      </c>
      <c r="D501" s="247" t="s">
        <v>1152</v>
      </c>
      <c r="E501" s="118"/>
      <c r="F501" s="248">
        <v>15200</v>
      </c>
      <c r="G501" s="78"/>
      <c r="H501" s="117">
        <v>46037</v>
      </c>
      <c r="I501" s="149" t="s">
        <v>66</v>
      </c>
      <c r="J501" s="78" t="s">
        <v>222</v>
      </c>
      <c r="K501" s="119">
        <v>2120</v>
      </c>
    </row>
    <row r="502" spans="3:11" ht="15.75" x14ac:dyDescent="0.25">
      <c r="C502" s="269">
        <v>46087</v>
      </c>
      <c r="D502" s="270" t="s">
        <v>214</v>
      </c>
      <c r="E502" s="270" t="s">
        <v>211</v>
      </c>
      <c r="F502" s="271">
        <v>2800</v>
      </c>
      <c r="G502" s="78"/>
      <c r="H502" s="184">
        <v>46170</v>
      </c>
      <c r="I502" s="78" t="s">
        <v>1060</v>
      </c>
      <c r="J502" s="185"/>
      <c r="K502" s="140">
        <v>1400</v>
      </c>
    </row>
    <row r="503" spans="3:11" ht="15.75" x14ac:dyDescent="0.25">
      <c r="C503" s="78"/>
      <c r="D503" s="201" t="s">
        <v>429</v>
      </c>
      <c r="E503" s="201"/>
      <c r="F503" s="183">
        <v>134284.01999999999</v>
      </c>
      <c r="G503" s="78"/>
      <c r="H503" s="184">
        <v>46172</v>
      </c>
      <c r="I503" s="78" t="s">
        <v>257</v>
      </c>
      <c r="J503" s="185"/>
      <c r="K503" s="140">
        <v>4890</v>
      </c>
    </row>
    <row r="504" spans="3:11" ht="15.75" x14ac:dyDescent="0.25">
      <c r="C504" s="117">
        <v>46156</v>
      </c>
      <c r="D504" s="78" t="s">
        <v>353</v>
      </c>
      <c r="E504" s="166"/>
      <c r="F504" s="167">
        <v>1084</v>
      </c>
      <c r="G504" s="119"/>
      <c r="H504" s="184"/>
      <c r="I504" s="78" t="s">
        <v>1084</v>
      </c>
      <c r="J504" s="185"/>
      <c r="K504" s="140">
        <v>189000</v>
      </c>
    </row>
    <row r="505" spans="3:11" ht="15.75" x14ac:dyDescent="0.25">
      <c r="C505" s="117">
        <v>46156</v>
      </c>
      <c r="D505" s="78" t="s">
        <v>471</v>
      </c>
      <c r="E505" s="166"/>
      <c r="F505" s="167">
        <v>3902</v>
      </c>
      <c r="G505" s="119"/>
      <c r="H505" s="184"/>
      <c r="I505" s="78" t="s">
        <v>1149</v>
      </c>
      <c r="J505" s="185"/>
      <c r="K505" s="140">
        <v>2900</v>
      </c>
    </row>
    <row r="506" spans="3:11" x14ac:dyDescent="0.25">
      <c r="C506" s="117">
        <v>46156</v>
      </c>
      <c r="D506" s="78" t="s">
        <v>148</v>
      </c>
      <c r="E506" s="166"/>
      <c r="F506" s="167">
        <v>5785</v>
      </c>
      <c r="G506" s="78"/>
      <c r="H506" s="117"/>
      <c r="I506" s="78"/>
      <c r="J506" s="78"/>
      <c r="K506" s="119"/>
    </row>
    <row r="507" spans="3:11" ht="18.75" x14ac:dyDescent="0.3">
      <c r="C507" s="117">
        <v>46161</v>
      </c>
      <c r="D507" s="78" t="s">
        <v>995</v>
      </c>
      <c r="E507" s="166"/>
      <c r="F507" s="167">
        <v>2850</v>
      </c>
      <c r="G507" s="78"/>
      <c r="H507" s="78"/>
      <c r="I507" s="126" t="s">
        <v>226</v>
      </c>
      <c r="J507" s="126"/>
      <c r="K507" s="127">
        <f>SUM(K500:K506)</f>
        <v>200310</v>
      </c>
    </row>
    <row r="508" spans="3:11" x14ac:dyDescent="0.25">
      <c r="C508" s="117">
        <v>46163</v>
      </c>
      <c r="D508" s="78" t="s">
        <v>999</v>
      </c>
      <c r="E508" s="166"/>
      <c r="F508" s="167">
        <v>4510</v>
      </c>
      <c r="G508" s="78"/>
    </row>
    <row r="509" spans="3:11" x14ac:dyDescent="0.25">
      <c r="C509" s="257"/>
      <c r="D509" s="258" t="s">
        <v>1079</v>
      </c>
      <c r="E509" s="214"/>
      <c r="F509" s="219">
        <v>2580</v>
      </c>
      <c r="G509" s="78"/>
      <c r="K509" s="121"/>
    </row>
    <row r="510" spans="3:11" x14ac:dyDescent="0.25">
      <c r="C510" s="257"/>
      <c r="D510" s="258" t="s">
        <v>1162</v>
      </c>
      <c r="E510" s="214"/>
      <c r="F510" s="219">
        <v>1600</v>
      </c>
      <c r="G510" s="78"/>
      <c r="J510" s="121"/>
    </row>
    <row r="511" spans="3:11" x14ac:dyDescent="0.25">
      <c r="C511" s="257"/>
      <c r="D511" s="258" t="s">
        <v>1093</v>
      </c>
      <c r="E511" s="214"/>
      <c r="F511" s="219">
        <v>1050</v>
      </c>
      <c r="J511" s="121"/>
    </row>
    <row r="512" spans="3:11" x14ac:dyDescent="0.25">
      <c r="C512" s="257"/>
      <c r="D512" s="258" t="s">
        <v>497</v>
      </c>
      <c r="E512" s="214"/>
      <c r="F512" s="219">
        <v>50</v>
      </c>
    </row>
    <row r="513" spans="3:11" ht="15.75" x14ac:dyDescent="0.25">
      <c r="C513" s="257">
        <v>46179</v>
      </c>
      <c r="D513" s="258" t="s">
        <v>923</v>
      </c>
      <c r="E513" s="214"/>
      <c r="F513" s="219">
        <v>3400</v>
      </c>
      <c r="H513" s="316" t="s">
        <v>227</v>
      </c>
      <c r="I513" s="317"/>
      <c r="J513" s="140">
        <f>F525-K507</f>
        <v>50481.109999999986</v>
      </c>
    </row>
    <row r="514" spans="3:11" ht="15.75" x14ac:dyDescent="0.25">
      <c r="C514" s="257"/>
      <c r="D514" s="258"/>
      <c r="E514" s="214"/>
      <c r="F514" s="219"/>
      <c r="J514" s="89"/>
    </row>
    <row r="515" spans="3:11" ht="15.75" x14ac:dyDescent="0.25">
      <c r="C515" s="257"/>
      <c r="D515" s="279" t="s">
        <v>1161</v>
      </c>
      <c r="E515" s="214"/>
      <c r="F515" s="212">
        <v>10000</v>
      </c>
      <c r="H515" s="128" t="s">
        <v>285</v>
      </c>
      <c r="J515" s="124">
        <f>E571</f>
        <v>60884.9</v>
      </c>
    </row>
    <row r="516" spans="3:11" x14ac:dyDescent="0.25">
      <c r="C516" s="257"/>
      <c r="D516" s="258"/>
      <c r="E516" s="214"/>
      <c r="F516" s="219"/>
    </row>
    <row r="517" spans="3:11" x14ac:dyDescent="0.25">
      <c r="C517" s="257"/>
      <c r="D517" s="258"/>
      <c r="E517" s="214"/>
      <c r="F517" s="219"/>
    </row>
    <row r="518" spans="3:11" x14ac:dyDescent="0.25">
      <c r="C518" s="266">
        <v>46175</v>
      </c>
      <c r="D518" s="267" t="s">
        <v>1059</v>
      </c>
      <c r="E518" s="268" t="s">
        <v>1116</v>
      </c>
      <c r="F518" s="265">
        <v>1473.68</v>
      </c>
    </row>
    <row r="519" spans="3:11" ht="21" x14ac:dyDescent="0.35">
      <c r="C519" s="117"/>
      <c r="D519" s="78"/>
      <c r="E519" s="166"/>
      <c r="F519" s="167"/>
      <c r="G519" s="121"/>
      <c r="I519" s="198" t="s">
        <v>286</v>
      </c>
      <c r="J519" s="137">
        <f>SUM(J513:J515)</f>
        <v>111366.00999999998</v>
      </c>
    </row>
    <row r="520" spans="3:11" x14ac:dyDescent="0.25">
      <c r="C520" s="78"/>
      <c r="D520" s="78"/>
      <c r="E520" s="78"/>
      <c r="F520" s="122">
        <f>SUM(F500:F519)</f>
        <v>198238.69999999998</v>
      </c>
      <c r="J520" s="157">
        <v>113038.95</v>
      </c>
      <c r="K520" s="39" t="s">
        <v>76</v>
      </c>
    </row>
    <row r="521" spans="3:11" x14ac:dyDescent="0.25">
      <c r="F521" s="157"/>
    </row>
    <row r="522" spans="3:11" ht="18.75" x14ac:dyDescent="0.3">
      <c r="E522" s="101" t="s">
        <v>224</v>
      </c>
      <c r="F522" s="101">
        <v>52552.41</v>
      </c>
      <c r="J522" s="264">
        <f>J519-J520</f>
        <v>-1672.9400000000169</v>
      </c>
    </row>
    <row r="523" spans="3:11" x14ac:dyDescent="0.25">
      <c r="C523" s="121"/>
    </row>
    <row r="525" spans="3:11" ht="18.75" x14ac:dyDescent="0.3">
      <c r="C525" s="121"/>
      <c r="E525" s="99" t="s">
        <v>225</v>
      </c>
      <c r="F525" s="125">
        <f>SUM(F520+F522)</f>
        <v>250791.11</v>
      </c>
    </row>
    <row r="526" spans="3:11" x14ac:dyDescent="0.25">
      <c r="C526" s="121"/>
    </row>
    <row r="527" spans="3:11" x14ac:dyDescent="0.25">
      <c r="C527" s="121"/>
    </row>
    <row r="529" spans="3:10" ht="18.75" x14ac:dyDescent="0.3">
      <c r="H529" s="99"/>
      <c r="I529" s="340" t="s">
        <v>497</v>
      </c>
      <c r="J529" s="340"/>
    </row>
    <row r="530" spans="3:10" x14ac:dyDescent="0.25">
      <c r="I530" s="151" t="s">
        <v>1121</v>
      </c>
      <c r="J530" s="121">
        <v>50</v>
      </c>
    </row>
    <row r="531" spans="3:10" x14ac:dyDescent="0.25">
      <c r="I531" s="151"/>
      <c r="J531" s="121"/>
    </row>
    <row r="532" spans="3:10" x14ac:dyDescent="0.25">
      <c r="I532" s="163"/>
      <c r="J532" s="121"/>
    </row>
    <row r="533" spans="3:10" x14ac:dyDescent="0.25">
      <c r="C533" s="91"/>
      <c r="I533" s="163"/>
      <c r="J533" s="157">
        <f>SUM(J530:J532)</f>
        <v>50</v>
      </c>
    </row>
    <row r="534" spans="3:10" x14ac:dyDescent="0.25">
      <c r="I534" s="163"/>
    </row>
    <row r="535" spans="3:10" ht="15.75" x14ac:dyDescent="0.25">
      <c r="D535" s="132" t="s">
        <v>235</v>
      </c>
      <c r="E535" s="133">
        <v>42237.18</v>
      </c>
      <c r="I535" s="163"/>
    </row>
    <row r="536" spans="3:10" x14ac:dyDescent="0.25">
      <c r="D536" s="150" t="s">
        <v>250</v>
      </c>
      <c r="E536" s="151">
        <v>-400</v>
      </c>
    </row>
    <row r="537" spans="3:10" ht="21" x14ac:dyDescent="0.35">
      <c r="D537" s="148" t="s">
        <v>1102</v>
      </c>
      <c r="E537" s="144">
        <v>-50</v>
      </c>
      <c r="I537" s="262"/>
      <c r="J537" s="263"/>
    </row>
    <row r="538" spans="3:10" ht="15.75" x14ac:dyDescent="0.25">
      <c r="D538" s="148" t="s">
        <v>1103</v>
      </c>
      <c r="E538" s="144">
        <v>-80</v>
      </c>
    </row>
    <row r="539" spans="3:10" ht="15.75" x14ac:dyDescent="0.25">
      <c r="C539" s="91">
        <v>46175</v>
      </c>
      <c r="D539" s="199" t="s">
        <v>1105</v>
      </c>
      <c r="E539" s="200">
        <v>1017.2</v>
      </c>
    </row>
    <row r="540" spans="3:10" ht="15.75" x14ac:dyDescent="0.25">
      <c r="D540" s="148" t="s">
        <v>1106</v>
      </c>
      <c r="E540" s="144">
        <v>1080</v>
      </c>
    </row>
    <row r="541" spans="3:10" ht="15.75" x14ac:dyDescent="0.25">
      <c r="D541" s="148" t="s">
        <v>1111</v>
      </c>
      <c r="E541" s="144">
        <v>-10</v>
      </c>
    </row>
    <row r="542" spans="3:10" ht="15.75" x14ac:dyDescent="0.25">
      <c r="D542" s="148" t="s">
        <v>1112</v>
      </c>
      <c r="E542" s="144">
        <v>-10</v>
      </c>
    </row>
    <row r="543" spans="3:10" ht="15.75" x14ac:dyDescent="0.25">
      <c r="D543" s="148" t="s">
        <v>1113</v>
      </c>
      <c r="E543" s="144">
        <v>-13</v>
      </c>
    </row>
    <row r="544" spans="3:10" x14ac:dyDescent="0.25">
      <c r="D544" s="71" t="s">
        <v>294</v>
      </c>
      <c r="E544" s="186">
        <v>2905</v>
      </c>
      <c r="I544" s="121"/>
    </row>
    <row r="545" spans="3:11" ht="15.75" x14ac:dyDescent="0.25">
      <c r="C545" s="91">
        <v>46176</v>
      </c>
      <c r="D545" s="148" t="s">
        <v>1120</v>
      </c>
      <c r="E545" s="144">
        <v>-6620</v>
      </c>
      <c r="K545" s="121"/>
    </row>
    <row r="546" spans="3:11" x14ac:dyDescent="0.25">
      <c r="D546" s="71" t="s">
        <v>1119</v>
      </c>
      <c r="E546" s="186">
        <v>3010</v>
      </c>
    </row>
    <row r="547" spans="3:11" x14ac:dyDescent="0.25">
      <c r="D547" s="71" t="s">
        <v>525</v>
      </c>
      <c r="E547" s="186">
        <v>-20</v>
      </c>
    </row>
    <row r="548" spans="3:11" x14ac:dyDescent="0.25">
      <c r="D548" s="71" t="s">
        <v>1127</v>
      </c>
      <c r="E548" s="186">
        <v>-100</v>
      </c>
    </row>
    <row r="549" spans="3:11" x14ac:dyDescent="0.25">
      <c r="D549" s="71" t="s">
        <v>1128</v>
      </c>
      <c r="E549" s="186">
        <v>4670</v>
      </c>
    </row>
    <row r="550" spans="3:11" x14ac:dyDescent="0.25">
      <c r="C550" s="91">
        <v>46177</v>
      </c>
      <c r="D550" s="71" t="s">
        <v>1131</v>
      </c>
      <c r="E550" s="186">
        <v>15567.9</v>
      </c>
    </row>
    <row r="551" spans="3:11" x14ac:dyDescent="0.25">
      <c r="D551" s="71" t="s">
        <v>1133</v>
      </c>
      <c r="E551" s="186">
        <v>-2950</v>
      </c>
    </row>
    <row r="552" spans="3:11" x14ac:dyDescent="0.25">
      <c r="D552" s="71" t="s">
        <v>1134</v>
      </c>
      <c r="E552" s="186">
        <v>-20</v>
      </c>
    </row>
    <row r="553" spans="3:11" x14ac:dyDescent="0.25">
      <c r="D553" s="71" t="s">
        <v>1136</v>
      </c>
      <c r="E553" s="186">
        <v>-3140</v>
      </c>
    </row>
    <row r="554" spans="3:11" x14ac:dyDescent="0.25">
      <c r="D554" s="71" t="s">
        <v>1113</v>
      </c>
      <c r="E554" s="186">
        <v>-13</v>
      </c>
    </row>
    <row r="555" spans="3:11" x14ac:dyDescent="0.25">
      <c r="D555" s="71" t="s">
        <v>1144</v>
      </c>
      <c r="E555" s="186">
        <v>70</v>
      </c>
    </row>
    <row r="556" spans="3:11" x14ac:dyDescent="0.25">
      <c r="D556" s="71" t="s">
        <v>374</v>
      </c>
      <c r="E556" s="186">
        <v>2080</v>
      </c>
    </row>
    <row r="557" spans="3:11" x14ac:dyDescent="0.25">
      <c r="D557" s="71" t="s">
        <v>93</v>
      </c>
      <c r="E557" s="186">
        <v>6861.5</v>
      </c>
    </row>
    <row r="558" spans="3:11" x14ac:dyDescent="0.25">
      <c r="C558" s="91">
        <v>46178</v>
      </c>
      <c r="D558" s="71" t="s">
        <v>1147</v>
      </c>
      <c r="E558" s="186">
        <v>-32900</v>
      </c>
    </row>
    <row r="559" spans="3:11" x14ac:dyDescent="0.25">
      <c r="D559" s="277" t="s">
        <v>1148</v>
      </c>
      <c r="E559" s="278">
        <v>2900</v>
      </c>
    </row>
    <row r="560" spans="3:11" x14ac:dyDescent="0.25">
      <c r="D560" s="71" t="s">
        <v>1150</v>
      </c>
      <c r="E560" s="186">
        <v>3500</v>
      </c>
    </row>
    <row r="561" spans="3:5" x14ac:dyDescent="0.25">
      <c r="D561" s="71" t="s">
        <v>93</v>
      </c>
      <c r="E561" s="186">
        <v>1583.4</v>
      </c>
    </row>
    <row r="562" spans="3:5" x14ac:dyDescent="0.25">
      <c r="C562" s="187">
        <v>46148</v>
      </c>
      <c r="D562" s="139" t="s">
        <v>935</v>
      </c>
      <c r="E562" s="138">
        <v>-420</v>
      </c>
    </row>
    <row r="563" spans="3:5" x14ac:dyDescent="0.25">
      <c r="D563" s="139" t="s">
        <v>1163</v>
      </c>
      <c r="E563" s="138">
        <v>-790</v>
      </c>
    </row>
    <row r="564" spans="3:5" x14ac:dyDescent="0.25">
      <c r="D564" s="71" t="s">
        <v>577</v>
      </c>
      <c r="E564" s="186">
        <v>100</v>
      </c>
    </row>
    <row r="565" spans="3:5" x14ac:dyDescent="0.25">
      <c r="D565" s="139" t="s">
        <v>467</v>
      </c>
      <c r="E565" s="138">
        <v>-370</v>
      </c>
    </row>
    <row r="566" spans="3:5" x14ac:dyDescent="0.25">
      <c r="D566" s="139" t="s">
        <v>1164</v>
      </c>
      <c r="E566" s="138">
        <v>-40</v>
      </c>
    </row>
    <row r="567" spans="3:5" x14ac:dyDescent="0.25">
      <c r="D567" s="139" t="s">
        <v>1165</v>
      </c>
      <c r="E567" s="138">
        <v>20898.72</v>
      </c>
    </row>
    <row r="568" spans="3:5" x14ac:dyDescent="0.25">
      <c r="D568" s="163" t="s">
        <v>1166</v>
      </c>
      <c r="E568" s="164">
        <v>350</v>
      </c>
    </row>
    <row r="569" spans="3:5" x14ac:dyDescent="0.25">
      <c r="D569" s="71"/>
      <c r="E569" s="186"/>
    </row>
    <row r="570" spans="3:5" x14ac:dyDescent="0.25">
      <c r="E570" s="121"/>
    </row>
    <row r="571" spans="3:5" ht="15.75" x14ac:dyDescent="0.25">
      <c r="D571" s="132" t="s">
        <v>236</v>
      </c>
      <c r="E571" s="133">
        <f>SUM(E535:E570)</f>
        <v>60884.9</v>
      </c>
    </row>
    <row r="574" spans="3:5" x14ac:dyDescent="0.25">
      <c r="E574">
        <v>-11.9</v>
      </c>
    </row>
    <row r="576" spans="3:5" x14ac:dyDescent="0.25">
      <c r="D576" s="39"/>
      <c r="E576" s="157">
        <f>SUM(E571:E575)</f>
        <v>60873</v>
      </c>
    </row>
    <row r="579" spans="3:5" ht="18.75" x14ac:dyDescent="0.3">
      <c r="D579" s="333" t="s">
        <v>1125</v>
      </c>
      <c r="E579" s="333"/>
    </row>
    <row r="580" spans="3:5" ht="15.75" x14ac:dyDescent="0.25">
      <c r="D580" s="166" t="s">
        <v>429</v>
      </c>
      <c r="E580" s="140">
        <v>186728.39</v>
      </c>
    </row>
    <row r="581" spans="3:5" ht="15.75" x14ac:dyDescent="0.25">
      <c r="D581" s="178" t="s">
        <v>272</v>
      </c>
      <c r="E581" s="212">
        <v>-412.66</v>
      </c>
    </row>
    <row r="582" spans="3:5" ht="15.75" x14ac:dyDescent="0.25">
      <c r="D582" s="178" t="s">
        <v>1101</v>
      </c>
      <c r="E582" s="212">
        <v>-2920</v>
      </c>
    </row>
    <row r="583" spans="3:5" ht="15.75" x14ac:dyDescent="0.25">
      <c r="D583" s="178" t="s">
        <v>1096</v>
      </c>
      <c r="E583" s="212">
        <v>-5.5</v>
      </c>
    </row>
    <row r="584" spans="3:5" ht="15.75" x14ac:dyDescent="0.25">
      <c r="D584" s="178" t="s">
        <v>1097</v>
      </c>
      <c r="E584" s="212">
        <v>-35</v>
      </c>
    </row>
    <row r="585" spans="3:5" ht="15.75" x14ac:dyDescent="0.25">
      <c r="D585" s="178" t="s">
        <v>1098</v>
      </c>
      <c r="E585" s="212">
        <v>-203</v>
      </c>
    </row>
    <row r="586" spans="3:5" ht="15.75" x14ac:dyDescent="0.25">
      <c r="C586" s="91">
        <v>46175</v>
      </c>
      <c r="D586" s="178" t="s">
        <v>1099</v>
      </c>
      <c r="E586" s="212">
        <v>-10.15</v>
      </c>
    </row>
    <row r="587" spans="3:5" ht="15.75" x14ac:dyDescent="0.25">
      <c r="D587" s="178" t="s">
        <v>1100</v>
      </c>
      <c r="E587" s="212">
        <v>-18.600000000000001</v>
      </c>
    </row>
    <row r="588" spans="3:5" ht="15.75" x14ac:dyDescent="0.25">
      <c r="D588" s="166" t="s">
        <v>374</v>
      </c>
      <c r="E588" s="140">
        <v>2600</v>
      </c>
    </row>
    <row r="589" spans="3:5" ht="15.75" x14ac:dyDescent="0.25">
      <c r="D589" s="166" t="s">
        <v>1105</v>
      </c>
      <c r="E589" s="140">
        <v>3000</v>
      </c>
    </row>
    <row r="590" spans="3:5" ht="15.75" x14ac:dyDescent="0.25">
      <c r="D590" s="166" t="s">
        <v>1107</v>
      </c>
      <c r="E590" s="140">
        <v>2040</v>
      </c>
    </row>
    <row r="591" spans="3:5" ht="15.75" x14ac:dyDescent="0.25">
      <c r="D591" s="166" t="s">
        <v>1114</v>
      </c>
      <c r="E591" s="140">
        <v>-39.9</v>
      </c>
    </row>
    <row r="592" spans="3:5" ht="15.75" x14ac:dyDescent="0.25">
      <c r="D592" s="166" t="s">
        <v>1115</v>
      </c>
      <c r="E592" s="140">
        <v>-1473.68</v>
      </c>
    </row>
    <row r="593" spans="3:5" ht="15.75" x14ac:dyDescent="0.25">
      <c r="C593" s="91">
        <v>46145</v>
      </c>
      <c r="D593" s="166" t="s">
        <v>1117</v>
      </c>
      <c r="E593" s="140">
        <v>2000</v>
      </c>
    </row>
    <row r="594" spans="3:5" ht="15.75" x14ac:dyDescent="0.25">
      <c r="D594" s="178" t="s">
        <v>535</v>
      </c>
      <c r="E594" s="212">
        <v>-0.5</v>
      </c>
    </row>
    <row r="595" spans="3:5" ht="15.75" x14ac:dyDescent="0.25">
      <c r="D595" s="178" t="s">
        <v>1124</v>
      </c>
      <c r="E595" s="212">
        <v>-50567.9</v>
      </c>
    </row>
    <row r="596" spans="3:5" ht="15.75" x14ac:dyDescent="0.25">
      <c r="D596" s="178" t="s">
        <v>535</v>
      </c>
      <c r="E596" s="212">
        <v>-2.9</v>
      </c>
    </row>
    <row r="597" spans="3:5" ht="15.75" x14ac:dyDescent="0.25">
      <c r="D597" s="166" t="s">
        <v>1126</v>
      </c>
      <c r="E597" s="140">
        <v>-830</v>
      </c>
    </row>
    <row r="598" spans="3:5" ht="15.75" x14ac:dyDescent="0.25">
      <c r="D598" s="166" t="s">
        <v>257</v>
      </c>
      <c r="E598" s="140">
        <v>-8360</v>
      </c>
    </row>
    <row r="599" spans="3:5" ht="15.75" x14ac:dyDescent="0.25">
      <c r="D599" s="166" t="s">
        <v>1132</v>
      </c>
      <c r="E599" s="140">
        <v>35000</v>
      </c>
    </row>
    <row r="600" spans="3:5" ht="15.75" x14ac:dyDescent="0.25">
      <c r="D600" s="166" t="s">
        <v>272</v>
      </c>
      <c r="E600" s="140">
        <v>-100</v>
      </c>
    </row>
    <row r="601" spans="3:5" ht="15.75" x14ac:dyDescent="0.25">
      <c r="D601" s="166" t="s">
        <v>250</v>
      </c>
      <c r="E601" s="140">
        <v>-437.92</v>
      </c>
    </row>
    <row r="602" spans="3:5" ht="15.75" x14ac:dyDescent="0.25">
      <c r="D602" s="166" t="s">
        <v>1135</v>
      </c>
      <c r="E602" s="140">
        <v>3140</v>
      </c>
    </row>
    <row r="603" spans="3:5" ht="15.75" x14ac:dyDescent="0.25">
      <c r="D603" s="166" t="s">
        <v>1140</v>
      </c>
      <c r="E603" s="140">
        <v>500</v>
      </c>
    </row>
    <row r="604" spans="3:5" ht="15.75" x14ac:dyDescent="0.25">
      <c r="D604" s="166" t="s">
        <v>1142</v>
      </c>
      <c r="E604" s="140">
        <v>-350</v>
      </c>
    </row>
    <row r="605" spans="3:5" ht="15.75" x14ac:dyDescent="0.25">
      <c r="D605" s="166" t="s">
        <v>1143</v>
      </c>
      <c r="E605" s="140">
        <v>-70</v>
      </c>
    </row>
    <row r="606" spans="3:5" ht="15.75" x14ac:dyDescent="0.25">
      <c r="D606" s="178" t="s">
        <v>535</v>
      </c>
      <c r="E606" s="212">
        <v>-1.9</v>
      </c>
    </row>
    <row r="607" spans="3:5" ht="15.75" x14ac:dyDescent="0.25">
      <c r="D607" s="178" t="s">
        <v>1153</v>
      </c>
      <c r="E607" s="212">
        <v>1860</v>
      </c>
    </row>
    <row r="608" spans="3:5" ht="15.75" x14ac:dyDescent="0.25">
      <c r="D608" s="178" t="s">
        <v>1160</v>
      </c>
      <c r="E608" s="212">
        <v>-30898.720000000001</v>
      </c>
    </row>
    <row r="609" spans="4:5" ht="15.75" x14ac:dyDescent="0.25">
      <c r="D609" s="178" t="s">
        <v>535</v>
      </c>
      <c r="E609" s="212">
        <v>-1.55</v>
      </c>
    </row>
    <row r="610" spans="4:5" ht="15.75" x14ac:dyDescent="0.25">
      <c r="D610" s="214" t="s">
        <v>1140</v>
      </c>
      <c r="E610" s="210">
        <v>3000</v>
      </c>
    </row>
    <row r="611" spans="4:5" ht="15.75" x14ac:dyDescent="0.25">
      <c r="D611" s="178" t="s">
        <v>272</v>
      </c>
      <c r="E611" s="212">
        <v>-423.84</v>
      </c>
    </row>
    <row r="612" spans="4:5" ht="15.75" x14ac:dyDescent="0.25">
      <c r="D612" s="178" t="s">
        <v>216</v>
      </c>
      <c r="E612" s="212">
        <v>-8420</v>
      </c>
    </row>
    <row r="613" spans="4:5" ht="15.75" x14ac:dyDescent="0.25">
      <c r="D613" s="281" t="s">
        <v>535</v>
      </c>
      <c r="E613" s="282">
        <v>-0.65</v>
      </c>
    </row>
    <row r="614" spans="4:5" ht="15.75" x14ac:dyDescent="0.25">
      <c r="D614" s="254"/>
      <c r="E614" s="208"/>
    </row>
    <row r="615" spans="4:5" ht="15.75" x14ac:dyDescent="0.25">
      <c r="D615" s="178"/>
      <c r="E615" s="212"/>
    </row>
    <row r="616" spans="4:5" x14ac:dyDescent="0.25">
      <c r="D616" s="78"/>
      <c r="E616" s="78"/>
    </row>
    <row r="617" spans="4:5" ht="15.75" x14ac:dyDescent="0.25">
      <c r="D617" s="78" t="s">
        <v>596</v>
      </c>
      <c r="E617" s="189">
        <f>SUM(E580:E616)</f>
        <v>134284.02000000005</v>
      </c>
    </row>
    <row r="619" spans="4:5" x14ac:dyDescent="0.25">
      <c r="D619" t="s">
        <v>361</v>
      </c>
      <c r="E619" s="121">
        <v>1342</v>
      </c>
    </row>
    <row r="621" spans="4:5" ht="18.75" x14ac:dyDescent="0.3">
      <c r="E621" s="280">
        <f>E617+E619</f>
        <v>135626.02000000005</v>
      </c>
    </row>
    <row r="622" spans="4:5" x14ac:dyDescent="0.25">
      <c r="D622" t="s">
        <v>19</v>
      </c>
      <c r="E622">
        <v>2580</v>
      </c>
    </row>
    <row r="624" spans="4:5" ht="15.75" x14ac:dyDescent="0.25">
      <c r="D624" s="254" t="s">
        <v>19</v>
      </c>
      <c r="E624" s="208">
        <f>E621+E622</f>
        <v>138206.02000000005</v>
      </c>
    </row>
    <row r="638" spans="3:11" ht="18.75" x14ac:dyDescent="0.3">
      <c r="C638" s="314" t="s">
        <v>1168</v>
      </c>
      <c r="D638" s="315"/>
      <c r="E638" s="315"/>
      <c r="F638" s="315"/>
      <c r="G638" s="315"/>
      <c r="H638" s="315"/>
      <c r="I638" s="315"/>
      <c r="J638" s="315"/>
      <c r="K638" s="315"/>
    </row>
    <row r="639" spans="3:11" x14ac:dyDescent="0.25">
      <c r="C639" s="78"/>
      <c r="D639" s="78"/>
      <c r="E639" s="78"/>
      <c r="F639" s="78"/>
      <c r="G639" s="78"/>
      <c r="H639" s="78"/>
      <c r="I639" s="78"/>
      <c r="J639" s="78"/>
      <c r="K639" s="78"/>
    </row>
    <row r="640" spans="3:11" ht="15.75" x14ac:dyDescent="0.25">
      <c r="C640" s="118" t="s">
        <v>223</v>
      </c>
      <c r="D640" s="118" t="s">
        <v>206</v>
      </c>
      <c r="E640" s="118" t="s">
        <v>207</v>
      </c>
      <c r="F640" s="118" t="s">
        <v>218</v>
      </c>
      <c r="G640" s="78"/>
      <c r="H640" s="120" t="s">
        <v>6</v>
      </c>
      <c r="I640" s="120" t="s">
        <v>217</v>
      </c>
      <c r="J640" s="120" t="s">
        <v>207</v>
      </c>
      <c r="K640" s="120" t="s">
        <v>218</v>
      </c>
    </row>
    <row r="641" spans="3:11" x14ac:dyDescent="0.25">
      <c r="C641" s="276">
        <v>46178</v>
      </c>
      <c r="D641" s="247" t="s">
        <v>1151</v>
      </c>
      <c r="E641" s="118" t="s">
        <v>1146</v>
      </c>
      <c r="F641" s="248">
        <v>7670</v>
      </c>
      <c r="G641" s="78"/>
      <c r="H641" s="117"/>
      <c r="I641" s="78"/>
      <c r="J641" s="78"/>
      <c r="K641" s="119"/>
    </row>
    <row r="642" spans="3:11" x14ac:dyDescent="0.25">
      <c r="C642" s="276">
        <v>46178</v>
      </c>
      <c r="D642" s="247" t="s">
        <v>1152</v>
      </c>
      <c r="E642" s="118" t="s">
        <v>1175</v>
      </c>
      <c r="F642" s="248">
        <v>10640</v>
      </c>
      <c r="G642" s="78"/>
      <c r="H642" s="117">
        <v>46037</v>
      </c>
      <c r="I642" s="149" t="s">
        <v>66</v>
      </c>
      <c r="J642" s="78" t="s">
        <v>222</v>
      </c>
      <c r="K642" s="119">
        <v>2120</v>
      </c>
    </row>
    <row r="643" spans="3:11" ht="15.75" x14ac:dyDescent="0.25">
      <c r="C643" s="269">
        <v>46087</v>
      </c>
      <c r="D643" s="270" t="s">
        <v>214</v>
      </c>
      <c r="E643" s="270" t="s">
        <v>211</v>
      </c>
      <c r="F643" s="271">
        <v>2800</v>
      </c>
      <c r="G643" s="78"/>
      <c r="H643" s="184">
        <v>46170</v>
      </c>
      <c r="I643" s="78" t="s">
        <v>1060</v>
      </c>
      <c r="J643" s="185"/>
      <c r="K643" s="140">
        <v>1400</v>
      </c>
    </row>
    <row r="644" spans="3:11" ht="15.75" x14ac:dyDescent="0.25">
      <c r="C644" s="78"/>
      <c r="D644" s="201" t="s">
        <v>429</v>
      </c>
      <c r="E644" s="201"/>
      <c r="F644" s="183">
        <v>136714.01999999999</v>
      </c>
      <c r="G644" s="78"/>
      <c r="H644" s="184">
        <v>46172</v>
      </c>
      <c r="I644" s="78" t="s">
        <v>257</v>
      </c>
      <c r="J644" s="185"/>
      <c r="K644" s="140">
        <v>7795</v>
      </c>
    </row>
    <row r="645" spans="3:11" ht="15.75" x14ac:dyDescent="0.25">
      <c r="C645" s="117">
        <v>46156</v>
      </c>
      <c r="D645" s="78" t="s">
        <v>353</v>
      </c>
      <c r="E645" s="166"/>
      <c r="F645" s="167">
        <v>1084</v>
      </c>
      <c r="G645" s="119"/>
      <c r="H645" s="184"/>
      <c r="I645" s="78" t="s">
        <v>1084</v>
      </c>
      <c r="J645" s="185"/>
      <c r="K645" s="140">
        <v>189000</v>
      </c>
    </row>
    <row r="646" spans="3:11" ht="15.75" x14ac:dyDescent="0.25">
      <c r="C646" s="117">
        <v>46156</v>
      </c>
      <c r="D646" s="78" t="s">
        <v>471</v>
      </c>
      <c r="E646" s="166"/>
      <c r="F646" s="167">
        <v>3902</v>
      </c>
      <c r="G646" s="119"/>
      <c r="H646" s="184"/>
      <c r="I646" s="78" t="s">
        <v>1149</v>
      </c>
      <c r="J646" s="185"/>
      <c r="K646" s="140">
        <v>2900</v>
      </c>
    </row>
    <row r="647" spans="3:11" ht="15.75" x14ac:dyDescent="0.25">
      <c r="C647" s="117">
        <v>46156</v>
      </c>
      <c r="D647" s="78" t="s">
        <v>148</v>
      </c>
      <c r="E647" s="166"/>
      <c r="F647" s="167">
        <v>5785</v>
      </c>
      <c r="G647" s="78"/>
      <c r="H647" s="184"/>
      <c r="I647" s="78" t="s">
        <v>281</v>
      </c>
      <c r="J647" s="185"/>
      <c r="K647" s="140">
        <v>2350</v>
      </c>
    </row>
    <row r="648" spans="3:11" x14ac:dyDescent="0.25">
      <c r="C648" s="117">
        <v>46161</v>
      </c>
      <c r="D648" s="78" t="s">
        <v>995</v>
      </c>
      <c r="E648" s="166"/>
      <c r="F648" s="167">
        <v>2850</v>
      </c>
      <c r="G648" s="78"/>
      <c r="H648" s="117"/>
      <c r="I648" s="78"/>
      <c r="J648" s="78"/>
      <c r="K648" s="119"/>
    </row>
    <row r="649" spans="3:11" ht="18.75" x14ac:dyDescent="0.3">
      <c r="C649" s="117">
        <v>46163</v>
      </c>
      <c r="D649" s="78" t="s">
        <v>999</v>
      </c>
      <c r="E649" s="166"/>
      <c r="F649" s="167">
        <v>4510</v>
      </c>
      <c r="G649" s="78"/>
      <c r="H649" s="78"/>
      <c r="I649" s="126" t="s">
        <v>226</v>
      </c>
      <c r="J649" s="126"/>
      <c r="K649" s="127">
        <f>SUM(K641:K648)</f>
        <v>205565</v>
      </c>
    </row>
    <row r="650" spans="3:11" x14ac:dyDescent="0.25">
      <c r="C650" s="257"/>
      <c r="D650" s="258" t="s">
        <v>1093</v>
      </c>
      <c r="E650" s="214"/>
      <c r="F650" s="219">
        <v>1050</v>
      </c>
      <c r="G650" s="78"/>
    </row>
    <row r="651" spans="3:11" x14ac:dyDescent="0.25">
      <c r="C651" s="257"/>
      <c r="D651" s="258" t="s">
        <v>497</v>
      </c>
      <c r="E651" s="214"/>
      <c r="F651" s="219">
        <v>1650</v>
      </c>
      <c r="G651" s="78"/>
      <c r="K651" s="121"/>
    </row>
    <row r="652" spans="3:11" x14ac:dyDescent="0.25">
      <c r="C652" s="257">
        <v>46179</v>
      </c>
      <c r="D652" s="258" t="s">
        <v>923</v>
      </c>
      <c r="E652" s="214"/>
      <c r="F652" s="219">
        <v>6050</v>
      </c>
      <c r="J652" s="121"/>
    </row>
    <row r="653" spans="3:11" x14ac:dyDescent="0.25">
      <c r="C653" s="257"/>
      <c r="D653" s="258"/>
      <c r="E653" s="214"/>
      <c r="F653" s="219"/>
      <c r="J653" s="121"/>
    </row>
    <row r="654" spans="3:11" ht="15.75" x14ac:dyDescent="0.25">
      <c r="C654" s="257"/>
      <c r="D654" s="279" t="s">
        <v>1161</v>
      </c>
      <c r="E654" s="214"/>
      <c r="F654" s="212">
        <v>10000</v>
      </c>
    </row>
    <row r="655" spans="3:11" ht="15.75" x14ac:dyDescent="0.25">
      <c r="C655" s="257"/>
      <c r="D655" s="258"/>
      <c r="E655" s="214"/>
      <c r="F655" s="219"/>
      <c r="H655" s="316" t="s">
        <v>227</v>
      </c>
      <c r="I655" s="317"/>
      <c r="J655" s="140">
        <f>F664-K649</f>
        <v>42590.109999999986</v>
      </c>
    </row>
    <row r="656" spans="3:11" ht="15.75" x14ac:dyDescent="0.25">
      <c r="C656" s="257"/>
      <c r="D656" s="258"/>
      <c r="E656" s="214"/>
      <c r="F656" s="219"/>
      <c r="J656" s="89"/>
    </row>
    <row r="657" spans="3:11" ht="15.75" x14ac:dyDescent="0.25">
      <c r="C657" s="266">
        <v>46175</v>
      </c>
      <c r="D657" s="267" t="s">
        <v>1059</v>
      </c>
      <c r="E657" s="268" t="s">
        <v>1116</v>
      </c>
      <c r="F657" s="265">
        <v>1473.68</v>
      </c>
      <c r="H657" s="128" t="s">
        <v>285</v>
      </c>
      <c r="J657" s="124">
        <f>E682</f>
        <v>70172.399999999994</v>
      </c>
    </row>
    <row r="658" spans="3:11" x14ac:dyDescent="0.25">
      <c r="C658" s="117"/>
      <c r="D658" s="78"/>
      <c r="E658" s="166"/>
      <c r="F658" s="167"/>
    </row>
    <row r="659" spans="3:11" x14ac:dyDescent="0.25">
      <c r="C659" s="78"/>
      <c r="D659" s="78"/>
      <c r="E659" s="78"/>
      <c r="F659" s="122">
        <f>SUM(F641:F658)</f>
        <v>196178.69999999998</v>
      </c>
    </row>
    <row r="660" spans="3:11" x14ac:dyDescent="0.25">
      <c r="F660" s="157"/>
      <c r="G660" s="121"/>
    </row>
    <row r="661" spans="3:11" ht="21" x14ac:dyDescent="0.35">
      <c r="E661" s="101" t="s">
        <v>224</v>
      </c>
      <c r="F661" s="101">
        <v>51976.41</v>
      </c>
      <c r="I661" s="198" t="s">
        <v>286</v>
      </c>
      <c r="J661" s="137">
        <f>SUM(J655:J657)</f>
        <v>112762.50999999998</v>
      </c>
    </row>
    <row r="662" spans="3:11" x14ac:dyDescent="0.25">
      <c r="C662" s="121"/>
      <c r="J662" s="157">
        <v>111366.01</v>
      </c>
      <c r="K662" s="39" t="s">
        <v>76</v>
      </c>
    </row>
    <row r="664" spans="3:11" ht="18.75" x14ac:dyDescent="0.3">
      <c r="C664" s="121"/>
      <c r="E664" s="99" t="s">
        <v>225</v>
      </c>
      <c r="F664" s="125">
        <f>SUM(F659+F661)</f>
        <v>248155.11</v>
      </c>
      <c r="J664" s="264">
        <f>J661-J662</f>
        <v>1396.4999999999854</v>
      </c>
    </row>
    <row r="665" spans="3:11" x14ac:dyDescent="0.25">
      <c r="C665" s="121"/>
    </row>
    <row r="666" spans="3:11" x14ac:dyDescent="0.25">
      <c r="C666" s="121"/>
    </row>
    <row r="671" spans="3:11" ht="18.75" x14ac:dyDescent="0.3">
      <c r="H671" s="99"/>
      <c r="I671" s="340" t="s">
        <v>497</v>
      </c>
      <c r="J671" s="340"/>
    </row>
    <row r="672" spans="3:11" x14ac:dyDescent="0.25">
      <c r="C672" s="91"/>
      <c r="I672" s="151" t="s">
        <v>1121</v>
      </c>
      <c r="J672" s="121">
        <v>50</v>
      </c>
    </row>
    <row r="673" spans="4:11" x14ac:dyDescent="0.25">
      <c r="I673" s="151" t="s">
        <v>1140</v>
      </c>
      <c r="J673" s="121">
        <v>1600</v>
      </c>
    </row>
    <row r="674" spans="4:11" ht="15.75" x14ac:dyDescent="0.25">
      <c r="D674" s="132" t="s">
        <v>235</v>
      </c>
      <c r="E674" s="133">
        <v>60884.9</v>
      </c>
      <c r="I674" s="163"/>
      <c r="J674" s="121"/>
    </row>
    <row r="675" spans="4:11" ht="15.75" x14ac:dyDescent="0.25">
      <c r="D675" s="128" t="s">
        <v>1173</v>
      </c>
      <c r="E675" s="171">
        <v>-100</v>
      </c>
      <c r="I675" s="163"/>
      <c r="J675" s="157">
        <f>SUM(J672:J674)</f>
        <v>1650</v>
      </c>
    </row>
    <row r="676" spans="4:11" ht="15.75" x14ac:dyDescent="0.25">
      <c r="D676" s="128" t="s">
        <v>1113</v>
      </c>
      <c r="E676" s="171">
        <v>-13</v>
      </c>
      <c r="I676" s="163"/>
    </row>
    <row r="677" spans="4:11" ht="15.75" x14ac:dyDescent="0.25">
      <c r="D677" s="128" t="s">
        <v>1176</v>
      </c>
      <c r="E677" s="171">
        <v>150</v>
      </c>
      <c r="I677" s="163"/>
    </row>
    <row r="678" spans="4:11" ht="15.75" x14ac:dyDescent="0.25">
      <c r="D678" s="128" t="s">
        <v>1178</v>
      </c>
      <c r="E678" s="171">
        <v>-140</v>
      </c>
    </row>
    <row r="679" spans="4:11" ht="21" x14ac:dyDescent="0.35">
      <c r="D679" s="128" t="s">
        <v>1128</v>
      </c>
      <c r="E679" s="171">
        <v>9390.5</v>
      </c>
      <c r="I679" s="262"/>
      <c r="J679" s="263"/>
    </row>
    <row r="681" spans="4:11" x14ac:dyDescent="0.25">
      <c r="E681" s="121"/>
    </row>
    <row r="682" spans="4:11" ht="15.75" x14ac:dyDescent="0.25">
      <c r="D682" s="132" t="s">
        <v>236</v>
      </c>
      <c r="E682" s="133">
        <f>SUM(E674:E681)</f>
        <v>70172.399999999994</v>
      </c>
    </row>
    <row r="685" spans="4:11" x14ac:dyDescent="0.25">
      <c r="E685">
        <v>-11.9</v>
      </c>
    </row>
    <row r="686" spans="4:11" x14ac:dyDescent="0.25">
      <c r="I686" s="121"/>
    </row>
    <row r="687" spans="4:11" x14ac:dyDescent="0.25">
      <c r="D687" s="39"/>
      <c r="E687" s="157">
        <f>SUM(E682:E686)</f>
        <v>70160.5</v>
      </c>
      <c r="K687" s="121"/>
    </row>
    <row r="688" spans="4:11" x14ac:dyDescent="0.25">
      <c r="D688" s="39"/>
      <c r="E688" s="157"/>
    </row>
    <row r="691" spans="4:10" ht="18.75" x14ac:dyDescent="0.3">
      <c r="D691" s="333" t="s">
        <v>1125</v>
      </c>
      <c r="E691" s="333"/>
    </row>
    <row r="692" spans="4:10" ht="15.75" x14ac:dyDescent="0.25">
      <c r="D692" s="166" t="s">
        <v>429</v>
      </c>
      <c r="E692" s="140">
        <v>134284.01999999999</v>
      </c>
    </row>
    <row r="693" spans="4:10" x14ac:dyDescent="0.25">
      <c r="D693" t="s">
        <v>1174</v>
      </c>
      <c r="E693">
        <v>2580</v>
      </c>
    </row>
    <row r="694" spans="4:10" ht="15.75" x14ac:dyDescent="0.25">
      <c r="D694" s="166" t="s">
        <v>1177</v>
      </c>
      <c r="E694" s="140">
        <v>-150</v>
      </c>
    </row>
    <row r="695" spans="4:10" ht="15.75" x14ac:dyDescent="0.25">
      <c r="D695" s="214"/>
      <c r="E695" s="210"/>
    </row>
    <row r="696" spans="4:10" ht="15.75" x14ac:dyDescent="0.25">
      <c r="D696" s="178"/>
      <c r="E696" s="212"/>
    </row>
    <row r="697" spans="4:10" x14ac:dyDescent="0.25">
      <c r="D697" s="78"/>
      <c r="E697" s="78"/>
    </row>
    <row r="698" spans="4:10" ht="15.75" x14ac:dyDescent="0.25">
      <c r="D698" s="78" t="s">
        <v>596</v>
      </c>
      <c r="E698" s="189">
        <f>SUM(E692:E697)</f>
        <v>136714.01999999999</v>
      </c>
    </row>
    <row r="700" spans="4:10" x14ac:dyDescent="0.25">
      <c r="D700" t="s">
        <v>361</v>
      </c>
      <c r="E700" s="121">
        <v>1342</v>
      </c>
    </row>
    <row r="702" spans="4:10" ht="18.75" x14ac:dyDescent="0.3">
      <c r="E702" s="280">
        <f>E698+E700</f>
        <v>138056.01999999999</v>
      </c>
    </row>
    <row r="703" spans="4:10" x14ac:dyDescent="0.25">
      <c r="D703" t="s">
        <v>19</v>
      </c>
    </row>
    <row r="704" spans="4:10" x14ac:dyDescent="0.25">
      <c r="I704" t="s">
        <v>1179</v>
      </c>
      <c r="J704" t="s">
        <v>353</v>
      </c>
    </row>
    <row r="705" spans="3:11" ht="15.75" x14ac:dyDescent="0.25">
      <c r="D705" s="163"/>
      <c r="E705" s="200"/>
    </row>
    <row r="719" spans="3:11" ht="18.75" x14ac:dyDescent="0.3">
      <c r="C719" s="314" t="s">
        <v>1180</v>
      </c>
      <c r="D719" s="315"/>
      <c r="E719" s="315"/>
      <c r="F719" s="315"/>
      <c r="G719" s="315"/>
      <c r="H719" s="315"/>
      <c r="I719" s="315"/>
      <c r="J719" s="315"/>
      <c r="K719" s="315"/>
    </row>
    <row r="720" spans="3:11" x14ac:dyDescent="0.25">
      <c r="C720" s="78"/>
      <c r="D720" s="78"/>
      <c r="E720" s="78"/>
      <c r="F720" s="78"/>
      <c r="G720" s="78"/>
      <c r="H720" s="78"/>
      <c r="I720" s="78"/>
      <c r="J720" s="78"/>
      <c r="K720" s="78"/>
    </row>
    <row r="721" spans="3:11" ht="15.75" x14ac:dyDescent="0.25">
      <c r="C721" s="118" t="s">
        <v>223</v>
      </c>
      <c r="D721" s="118" t="s">
        <v>206</v>
      </c>
      <c r="E721" s="118" t="s">
        <v>207</v>
      </c>
      <c r="F721" s="118" t="s">
        <v>218</v>
      </c>
      <c r="G721" s="78"/>
      <c r="H721" s="120" t="s">
        <v>6</v>
      </c>
      <c r="I721" s="120" t="s">
        <v>217</v>
      </c>
      <c r="J721" s="120" t="s">
        <v>207</v>
      </c>
      <c r="K721" s="120" t="s">
        <v>218</v>
      </c>
    </row>
    <row r="722" spans="3:11" x14ac:dyDescent="0.25">
      <c r="C722" s="276">
        <v>46178</v>
      </c>
      <c r="D722" s="247" t="s">
        <v>1151</v>
      </c>
      <c r="E722" s="118" t="s">
        <v>1146</v>
      </c>
      <c r="F722" s="248">
        <v>7670</v>
      </c>
      <c r="G722" s="78"/>
      <c r="H722" s="117"/>
      <c r="I722" s="78"/>
      <c r="J722" s="78"/>
      <c r="K722" s="119"/>
    </row>
    <row r="723" spans="3:11" x14ac:dyDescent="0.25">
      <c r="C723" s="276">
        <v>46178</v>
      </c>
      <c r="D723" s="247" t="s">
        <v>1152</v>
      </c>
      <c r="E723" s="118" t="s">
        <v>1175</v>
      </c>
      <c r="F723" s="248">
        <v>10640</v>
      </c>
      <c r="G723" s="78"/>
      <c r="H723" s="117">
        <v>46037</v>
      </c>
      <c r="I723" s="149" t="s">
        <v>66</v>
      </c>
      <c r="J723" s="78" t="s">
        <v>222</v>
      </c>
      <c r="K723" s="119">
        <v>2120</v>
      </c>
    </row>
    <row r="724" spans="3:11" ht="15.75" x14ac:dyDescent="0.25">
      <c r="C724" s="269">
        <v>46087</v>
      </c>
      <c r="D724" s="270" t="s">
        <v>214</v>
      </c>
      <c r="E724" s="270" t="s">
        <v>211</v>
      </c>
      <c r="F724" s="271">
        <v>2800</v>
      </c>
      <c r="G724" s="78"/>
      <c r="H724" s="184">
        <v>46170</v>
      </c>
      <c r="I724" s="78" t="s">
        <v>1060</v>
      </c>
      <c r="J724" s="185"/>
      <c r="K724" s="140">
        <v>1400</v>
      </c>
    </row>
    <row r="725" spans="3:11" ht="15.75" x14ac:dyDescent="0.25">
      <c r="C725" s="78"/>
      <c r="D725" s="201" t="s">
        <v>429</v>
      </c>
      <c r="E725" s="201"/>
      <c r="F725" s="183">
        <v>186467.64</v>
      </c>
      <c r="G725" s="78"/>
      <c r="H725" s="184">
        <v>46172</v>
      </c>
      <c r="I725" s="78" t="s">
        <v>257</v>
      </c>
      <c r="J725" s="185"/>
      <c r="K725" s="140">
        <v>7795</v>
      </c>
    </row>
    <row r="726" spans="3:11" ht="15.75" x14ac:dyDescent="0.25">
      <c r="C726" s="117">
        <v>46156</v>
      </c>
      <c r="D726" s="78" t="s">
        <v>353</v>
      </c>
      <c r="E726" s="166"/>
      <c r="F726" s="167">
        <v>1084</v>
      </c>
      <c r="G726" s="119"/>
      <c r="H726" s="184"/>
      <c r="I726" s="78" t="s">
        <v>1084</v>
      </c>
      <c r="J726" s="185"/>
      <c r="K726" s="140">
        <v>189000</v>
      </c>
    </row>
    <row r="727" spans="3:11" ht="15.75" x14ac:dyDescent="0.25">
      <c r="C727" s="117">
        <v>46156</v>
      </c>
      <c r="D727" s="78" t="s">
        <v>471</v>
      </c>
      <c r="E727" s="166"/>
      <c r="F727" s="167">
        <v>5802</v>
      </c>
      <c r="G727" s="119"/>
      <c r="H727" s="184"/>
      <c r="I727" s="78" t="s">
        <v>1149</v>
      </c>
      <c r="J727" s="185"/>
      <c r="K727" s="140">
        <v>2900</v>
      </c>
    </row>
    <row r="728" spans="3:11" ht="15.75" x14ac:dyDescent="0.25">
      <c r="C728" s="117">
        <v>46156</v>
      </c>
      <c r="D728" s="78" t="s">
        <v>148</v>
      </c>
      <c r="E728" s="166"/>
      <c r="F728" s="167">
        <v>5785</v>
      </c>
      <c r="G728" s="78"/>
      <c r="H728" s="184"/>
      <c r="I728" s="78" t="s">
        <v>281</v>
      </c>
      <c r="J728" s="185"/>
      <c r="K728" s="140">
        <v>2350</v>
      </c>
    </row>
    <row r="729" spans="3:11" x14ac:dyDescent="0.25">
      <c r="C729" s="117">
        <v>46161</v>
      </c>
      <c r="D729" s="78" t="s">
        <v>995</v>
      </c>
      <c r="E729" s="166"/>
      <c r="F729" s="167">
        <v>4142.82</v>
      </c>
      <c r="G729" s="78"/>
      <c r="H729" s="117"/>
      <c r="I729" s="78"/>
      <c r="J729" s="78"/>
      <c r="K729" s="119"/>
    </row>
    <row r="730" spans="3:11" ht="18.75" x14ac:dyDescent="0.3">
      <c r="C730" s="117">
        <v>46163</v>
      </c>
      <c r="D730" s="78" t="s">
        <v>999</v>
      </c>
      <c r="E730" s="166"/>
      <c r="F730" s="167">
        <v>4510</v>
      </c>
      <c r="G730" s="78"/>
      <c r="H730" s="78"/>
      <c r="I730" s="126" t="s">
        <v>226</v>
      </c>
      <c r="J730" s="126"/>
      <c r="K730" s="127">
        <f>SUM(K722:K729)</f>
        <v>205565</v>
      </c>
    </row>
    <row r="731" spans="3:11" x14ac:dyDescent="0.25">
      <c r="C731" s="257"/>
      <c r="D731" s="258" t="s">
        <v>1093</v>
      </c>
      <c r="E731" s="214"/>
      <c r="F731" s="219">
        <v>1050</v>
      </c>
      <c r="G731" s="78"/>
    </row>
    <row r="732" spans="3:11" x14ac:dyDescent="0.25">
      <c r="C732" s="257"/>
      <c r="D732" s="258" t="s">
        <v>497</v>
      </c>
      <c r="E732" s="214"/>
      <c r="F732" s="219">
        <v>16650</v>
      </c>
      <c r="G732" s="78"/>
      <c r="K732" s="121"/>
    </row>
    <row r="733" spans="3:11" x14ac:dyDescent="0.25">
      <c r="C733" s="257">
        <v>46179</v>
      </c>
      <c r="D733" s="258" t="s">
        <v>923</v>
      </c>
      <c r="E733" s="214"/>
      <c r="F733" s="219">
        <v>6050</v>
      </c>
      <c r="J733" s="121"/>
    </row>
    <row r="734" spans="3:11" x14ac:dyDescent="0.25">
      <c r="C734" s="257"/>
      <c r="D734" s="283" t="s">
        <v>1184</v>
      </c>
      <c r="E734" s="214" t="s">
        <v>883</v>
      </c>
      <c r="F734" s="284">
        <v>250</v>
      </c>
      <c r="J734" s="121"/>
    </row>
    <row r="735" spans="3:11" x14ac:dyDescent="0.25">
      <c r="C735" s="257"/>
      <c r="D735" s="258"/>
      <c r="E735" s="214"/>
      <c r="F735" s="219"/>
    </row>
    <row r="736" spans="3:11" ht="15.75" x14ac:dyDescent="0.25">
      <c r="C736" s="257"/>
      <c r="D736" s="258"/>
      <c r="E736" s="214"/>
      <c r="F736" s="219"/>
      <c r="H736" s="316" t="s">
        <v>227</v>
      </c>
      <c r="I736" s="317"/>
      <c r="J736" s="140">
        <f>F747-K730</f>
        <v>97000.710000000021</v>
      </c>
    </row>
    <row r="737" spans="3:11" ht="15.75" x14ac:dyDescent="0.25">
      <c r="C737" s="257"/>
      <c r="D737" s="279"/>
      <c r="E737" s="214"/>
      <c r="F737" s="212"/>
      <c r="J737" s="89"/>
    </row>
    <row r="738" spans="3:11" ht="15.75" x14ac:dyDescent="0.25">
      <c r="C738" s="257"/>
      <c r="D738" s="258"/>
      <c r="E738" s="214"/>
      <c r="F738" s="219"/>
      <c r="H738" s="128" t="s">
        <v>285</v>
      </c>
      <c r="J738" s="124">
        <f>E771</f>
        <v>16620.599999999995</v>
      </c>
    </row>
    <row r="739" spans="3:11" x14ac:dyDescent="0.25">
      <c r="C739" s="257"/>
      <c r="D739" s="258"/>
      <c r="E739" s="214"/>
      <c r="F739" s="219"/>
    </row>
    <row r="740" spans="3:11" x14ac:dyDescent="0.25">
      <c r="C740" s="266">
        <v>46175</v>
      </c>
      <c r="D740" s="267" t="s">
        <v>1059</v>
      </c>
      <c r="E740" s="268" t="s">
        <v>1116</v>
      </c>
      <c r="F740" s="265">
        <v>1473.68</v>
      </c>
    </row>
    <row r="741" spans="3:11" x14ac:dyDescent="0.25">
      <c r="C741" s="117"/>
      <c r="D741" s="78"/>
      <c r="E741" s="166"/>
      <c r="F741" s="167"/>
      <c r="G741" s="121"/>
    </row>
    <row r="742" spans="3:11" ht="21" x14ac:dyDescent="0.35">
      <c r="C742" s="78"/>
      <c r="D742" s="78"/>
      <c r="E742" s="78"/>
      <c r="F742" s="122">
        <f>SUM(F722:F741)</f>
        <v>254375.14</v>
      </c>
      <c r="I742" s="198" t="s">
        <v>286</v>
      </c>
      <c r="J742" s="137">
        <f>SUM(J736:J738)</f>
        <v>113621.31000000001</v>
      </c>
    </row>
    <row r="743" spans="3:11" x14ac:dyDescent="0.25">
      <c r="F743" s="157"/>
      <c r="J743" s="157">
        <v>112762.51</v>
      </c>
      <c r="K743" s="39" t="s">
        <v>76</v>
      </c>
    </row>
    <row r="744" spans="3:11" x14ac:dyDescent="0.25">
      <c r="E744" s="101" t="s">
        <v>224</v>
      </c>
      <c r="F744" s="101">
        <v>48190.57</v>
      </c>
    </row>
    <row r="745" spans="3:11" ht="18.75" x14ac:dyDescent="0.3">
      <c r="C745" s="121"/>
      <c r="J745" s="264">
        <f>J742-J743</f>
        <v>858.80000000001746</v>
      </c>
    </row>
    <row r="747" spans="3:11" ht="18.75" x14ac:dyDescent="0.3">
      <c r="C747" s="121"/>
      <c r="E747" s="99" t="s">
        <v>225</v>
      </c>
      <c r="F747" s="125">
        <f>SUM(F742+F744)</f>
        <v>302565.71000000002</v>
      </c>
    </row>
    <row r="748" spans="3:11" x14ac:dyDescent="0.25">
      <c r="C748" s="121"/>
    </row>
    <row r="749" spans="3:11" x14ac:dyDescent="0.25">
      <c r="C749" s="121"/>
    </row>
    <row r="752" spans="3:11" ht="18.75" x14ac:dyDescent="0.3">
      <c r="H752" s="99"/>
      <c r="I752" s="340" t="s">
        <v>497</v>
      </c>
      <c r="J752" s="340"/>
    </row>
    <row r="753" spans="3:11" x14ac:dyDescent="0.25">
      <c r="I753" s="151" t="s">
        <v>1121</v>
      </c>
      <c r="J753" s="121">
        <v>50</v>
      </c>
    </row>
    <row r="754" spans="3:11" x14ac:dyDescent="0.25">
      <c r="I754" s="151" t="s">
        <v>1140</v>
      </c>
      <c r="J754" s="121">
        <v>1600</v>
      </c>
    </row>
    <row r="755" spans="3:11" x14ac:dyDescent="0.25">
      <c r="C755" s="91"/>
      <c r="I755" s="163" t="s">
        <v>1190</v>
      </c>
      <c r="J755" s="121">
        <v>15000</v>
      </c>
    </row>
    <row r="756" spans="3:11" x14ac:dyDescent="0.25">
      <c r="I756" s="163"/>
    </row>
    <row r="757" spans="3:11" ht="15.75" x14ac:dyDescent="0.25">
      <c r="D757" s="132" t="s">
        <v>235</v>
      </c>
      <c r="E757" s="133">
        <v>60884.9</v>
      </c>
      <c r="I757" s="163"/>
      <c r="J757" s="157">
        <f>SUM(J753:J755)</f>
        <v>16650</v>
      </c>
    </row>
    <row r="758" spans="3:11" ht="15.75" x14ac:dyDescent="0.25">
      <c r="D758" s="148" t="s">
        <v>1173</v>
      </c>
      <c r="E758" s="144">
        <v>-100</v>
      </c>
      <c r="I758" s="163"/>
    </row>
    <row r="759" spans="3:11" ht="15.75" x14ac:dyDescent="0.25">
      <c r="D759" s="148" t="s">
        <v>1113</v>
      </c>
      <c r="E759" s="144">
        <v>-13</v>
      </c>
    </row>
    <row r="760" spans="3:11" ht="21" x14ac:dyDescent="0.35">
      <c r="D760" s="128" t="s">
        <v>1176</v>
      </c>
      <c r="E760" s="171">
        <v>150</v>
      </c>
      <c r="I760" s="262"/>
      <c r="J760" s="263"/>
    </row>
    <row r="761" spans="3:11" ht="15.75" x14ac:dyDescent="0.25">
      <c r="D761" s="148" t="s">
        <v>1178</v>
      </c>
      <c r="E761" s="144">
        <v>-140</v>
      </c>
    </row>
    <row r="762" spans="3:11" ht="15.75" x14ac:dyDescent="0.25">
      <c r="D762" s="128" t="s">
        <v>1128</v>
      </c>
      <c r="E762" s="171">
        <v>9390.5</v>
      </c>
    </row>
    <row r="763" spans="3:11" ht="15.75" x14ac:dyDescent="0.25">
      <c r="C763" s="91">
        <v>46182</v>
      </c>
      <c r="D763" s="128" t="s">
        <v>1181</v>
      </c>
      <c r="E763" s="171">
        <v>3500</v>
      </c>
    </row>
    <row r="764" spans="3:11" ht="15.75" x14ac:dyDescent="0.25">
      <c r="D764" s="148" t="s">
        <v>954</v>
      </c>
      <c r="E764" s="144">
        <v>-40</v>
      </c>
    </row>
    <row r="765" spans="3:11" ht="15.75" x14ac:dyDescent="0.25">
      <c r="D765" s="128" t="s">
        <v>1187</v>
      </c>
      <c r="E765" s="171">
        <v>10000</v>
      </c>
      <c r="H765" s="121"/>
    </row>
    <row r="766" spans="3:11" ht="15.75" x14ac:dyDescent="0.25">
      <c r="D766" s="128" t="s">
        <v>963</v>
      </c>
      <c r="E766" s="171">
        <v>-68000</v>
      </c>
    </row>
    <row r="767" spans="3:11" ht="15.75" x14ac:dyDescent="0.25">
      <c r="D767" s="128"/>
      <c r="E767" s="171"/>
      <c r="I767" s="121"/>
    </row>
    <row r="768" spans="3:11" ht="15.75" x14ac:dyDescent="0.25">
      <c r="D768" s="128"/>
      <c r="E768" s="171"/>
      <c r="K768" s="121"/>
    </row>
    <row r="769" spans="3:9" ht="15.75" x14ac:dyDescent="0.25">
      <c r="E769" s="171">
        <v>988.2</v>
      </c>
    </row>
    <row r="770" spans="3:9" x14ac:dyDescent="0.25">
      <c r="E770" s="121"/>
    </row>
    <row r="771" spans="3:9" ht="15.75" x14ac:dyDescent="0.25">
      <c r="D771" s="132" t="s">
        <v>236</v>
      </c>
      <c r="E771" s="133">
        <f>SUM(E757:E770)</f>
        <v>16620.599999999995</v>
      </c>
    </row>
    <row r="774" spans="3:9" x14ac:dyDescent="0.25">
      <c r="E774">
        <v>-11.9</v>
      </c>
    </row>
    <row r="776" spans="3:9" x14ac:dyDescent="0.25">
      <c r="D776" s="39"/>
      <c r="E776" s="157">
        <f>SUM(E771:E775)</f>
        <v>16608.699999999993</v>
      </c>
    </row>
    <row r="777" spans="3:9" x14ac:dyDescent="0.25">
      <c r="D777" s="39"/>
      <c r="E777" s="157"/>
    </row>
    <row r="780" spans="3:9" ht="18.75" x14ac:dyDescent="0.3">
      <c r="D780" s="333" t="s">
        <v>1125</v>
      </c>
      <c r="E780" s="333"/>
    </row>
    <row r="781" spans="3:9" ht="15.75" x14ac:dyDescent="0.25">
      <c r="D781" s="166" t="s">
        <v>429</v>
      </c>
      <c r="E781" s="140">
        <v>134284.01999999999</v>
      </c>
    </row>
    <row r="782" spans="3:9" ht="15.75" x14ac:dyDescent="0.25">
      <c r="C782" s="91">
        <v>46182</v>
      </c>
      <c r="D782" t="s">
        <v>1174</v>
      </c>
      <c r="E782" s="171">
        <v>2580</v>
      </c>
    </row>
    <row r="783" spans="3:9" ht="15.75" x14ac:dyDescent="0.25">
      <c r="D783" s="178" t="s">
        <v>1177</v>
      </c>
      <c r="E783" s="212">
        <v>-150</v>
      </c>
    </row>
    <row r="784" spans="3:9" ht="15.75" x14ac:dyDescent="0.25">
      <c r="D784" s="178" t="s">
        <v>886</v>
      </c>
      <c r="E784" s="212">
        <v>-1500</v>
      </c>
      <c r="I784" t="s">
        <v>1191</v>
      </c>
    </row>
    <row r="785" spans="4:10" ht="15.75" x14ac:dyDescent="0.25">
      <c r="D785" s="178" t="s">
        <v>1188</v>
      </c>
      <c r="E785" s="212">
        <v>-20</v>
      </c>
      <c r="I785" t="s">
        <v>1179</v>
      </c>
      <c r="J785" t="s">
        <v>353</v>
      </c>
    </row>
    <row r="786" spans="4:10" ht="15.75" x14ac:dyDescent="0.25">
      <c r="D786" s="178" t="s">
        <v>1189</v>
      </c>
      <c r="E786" s="212">
        <v>-1350</v>
      </c>
    </row>
    <row r="787" spans="4:10" ht="15.75" x14ac:dyDescent="0.25">
      <c r="D787" s="178" t="s">
        <v>250</v>
      </c>
      <c r="E787" s="212">
        <v>-373.63</v>
      </c>
    </row>
    <row r="788" spans="4:10" ht="15.75" x14ac:dyDescent="0.25">
      <c r="D788" s="178" t="s">
        <v>964</v>
      </c>
      <c r="E788" s="212">
        <v>35000</v>
      </c>
    </row>
    <row r="789" spans="4:10" ht="15.75" x14ac:dyDescent="0.25">
      <c r="D789" s="178" t="s">
        <v>964</v>
      </c>
      <c r="E789" s="212">
        <v>18000</v>
      </c>
    </row>
    <row r="790" spans="4:10" ht="15.75" x14ac:dyDescent="0.25">
      <c r="D790" s="178" t="s">
        <v>535</v>
      </c>
      <c r="E790" s="212">
        <v>-2.75</v>
      </c>
    </row>
    <row r="791" spans="4:10" ht="15.75" x14ac:dyDescent="0.25">
      <c r="D791" s="178"/>
      <c r="E791" s="212"/>
    </row>
    <row r="792" spans="4:10" ht="15.75" x14ac:dyDescent="0.25">
      <c r="D792" s="178"/>
      <c r="E792" s="212"/>
    </row>
    <row r="793" spans="4:10" x14ac:dyDescent="0.25">
      <c r="D793" s="78"/>
      <c r="E793" s="78"/>
    </row>
    <row r="794" spans="4:10" ht="15.75" x14ac:dyDescent="0.25">
      <c r="D794" s="78" t="s">
        <v>596</v>
      </c>
      <c r="E794" s="189">
        <f>SUM(E781:E793)</f>
        <v>186467.63999999998</v>
      </c>
    </row>
    <row r="796" spans="4:10" x14ac:dyDescent="0.25">
      <c r="D796" t="s">
        <v>361</v>
      </c>
      <c r="E796" s="121">
        <v>1342</v>
      </c>
    </row>
    <row r="798" spans="4:10" ht="18.75" x14ac:dyDescent="0.3">
      <c r="E798" s="280">
        <f>E794+E796</f>
        <v>187809.63999999998</v>
      </c>
    </row>
    <row r="799" spans="4:10" x14ac:dyDescent="0.25">
      <c r="D799" t="s">
        <v>19</v>
      </c>
    </row>
    <row r="801" spans="3:11" ht="15.75" x14ac:dyDescent="0.25">
      <c r="D801" s="163"/>
      <c r="E801" s="200"/>
    </row>
    <row r="811" spans="3:11" ht="18.75" x14ac:dyDescent="0.3">
      <c r="C811" s="314" t="s">
        <v>1192</v>
      </c>
      <c r="D811" s="315"/>
      <c r="E811" s="315"/>
      <c r="F811" s="315"/>
      <c r="G811" s="315"/>
      <c r="H811" s="315"/>
      <c r="I811" s="315"/>
      <c r="J811" s="315"/>
      <c r="K811" s="315"/>
    </row>
    <row r="812" spans="3:11" x14ac:dyDescent="0.25">
      <c r="C812" s="78"/>
      <c r="D812" s="78"/>
      <c r="E812" s="78"/>
      <c r="F812" s="78"/>
      <c r="G812" s="78"/>
      <c r="H812" s="78"/>
      <c r="I812" s="78"/>
      <c r="J812" s="78"/>
      <c r="K812" s="78"/>
    </row>
    <row r="813" spans="3:11" ht="15.75" x14ac:dyDescent="0.25">
      <c r="C813" s="118" t="s">
        <v>223</v>
      </c>
      <c r="D813" s="118" t="s">
        <v>206</v>
      </c>
      <c r="E813" s="118" t="s">
        <v>207</v>
      </c>
      <c r="F813" s="118" t="s">
        <v>218</v>
      </c>
      <c r="G813" s="78"/>
      <c r="H813" s="120" t="s">
        <v>6</v>
      </c>
      <c r="I813" s="120" t="s">
        <v>217</v>
      </c>
      <c r="J813" s="120" t="s">
        <v>207</v>
      </c>
      <c r="K813" s="120" t="s">
        <v>218</v>
      </c>
    </row>
    <row r="814" spans="3:11" x14ac:dyDescent="0.25">
      <c r="C814" s="276">
        <v>46178</v>
      </c>
      <c r="D814" s="247" t="s">
        <v>1151</v>
      </c>
      <c r="E814" s="118" t="s">
        <v>1194</v>
      </c>
      <c r="F814" s="248">
        <v>6195</v>
      </c>
      <c r="G814" s="78"/>
      <c r="H814" s="117"/>
      <c r="I814" s="78"/>
      <c r="J814" s="78"/>
      <c r="K814" s="119"/>
    </row>
    <row r="815" spans="3:11" x14ac:dyDescent="0.25">
      <c r="C815" s="276">
        <v>46178</v>
      </c>
      <c r="D815" s="247" t="s">
        <v>1152</v>
      </c>
      <c r="E815" s="118" t="s">
        <v>1204</v>
      </c>
      <c r="F815" s="248">
        <v>8360</v>
      </c>
      <c r="G815" s="78"/>
      <c r="H815" s="117">
        <v>46037</v>
      </c>
      <c r="I815" s="149" t="s">
        <v>66</v>
      </c>
      <c r="J815" s="78" t="s">
        <v>222</v>
      </c>
      <c r="K815" s="119">
        <v>2120</v>
      </c>
    </row>
    <row r="816" spans="3:11" ht="15.75" x14ac:dyDescent="0.25">
      <c r="C816" s="269">
        <v>46087</v>
      </c>
      <c r="D816" s="270" t="s">
        <v>214</v>
      </c>
      <c r="E816" s="270" t="s">
        <v>211</v>
      </c>
      <c r="F816" s="271">
        <v>2800</v>
      </c>
      <c r="G816" s="78"/>
      <c r="H816" s="184">
        <v>46170</v>
      </c>
      <c r="I816" s="78" t="s">
        <v>1060</v>
      </c>
      <c r="J816" s="185"/>
      <c r="K816" s="140">
        <v>1400</v>
      </c>
    </row>
    <row r="817" spans="3:11" ht="15.75" x14ac:dyDescent="0.25">
      <c r="C817" s="78"/>
      <c r="D817" s="201" t="s">
        <v>429</v>
      </c>
      <c r="E817" s="201"/>
      <c r="F817" s="183">
        <v>180074.91</v>
      </c>
      <c r="G817" s="78"/>
      <c r="H817" s="184"/>
      <c r="I817" s="78" t="s">
        <v>1084</v>
      </c>
      <c r="J817" s="185"/>
      <c r="K817" s="140">
        <v>189000</v>
      </c>
    </row>
    <row r="818" spans="3:11" ht="15.75" x14ac:dyDescent="0.25">
      <c r="C818" s="117">
        <v>46156</v>
      </c>
      <c r="D818" s="78" t="s">
        <v>353</v>
      </c>
      <c r="E818" s="166"/>
      <c r="F818" s="167">
        <v>1084</v>
      </c>
      <c r="G818" s="119"/>
      <c r="H818" s="184"/>
      <c r="I818" s="78" t="s">
        <v>1149</v>
      </c>
      <c r="J818" s="185"/>
      <c r="K818" s="140">
        <v>4800</v>
      </c>
    </row>
    <row r="819" spans="3:11" ht="15.75" x14ac:dyDescent="0.25">
      <c r="C819" s="117">
        <v>46156</v>
      </c>
      <c r="D819" s="78" t="s">
        <v>471</v>
      </c>
      <c r="E819" s="166"/>
      <c r="F819" s="167">
        <v>5802</v>
      </c>
      <c r="G819" s="119"/>
      <c r="H819" s="184"/>
      <c r="I819" s="78" t="s">
        <v>281</v>
      </c>
      <c r="J819" s="185"/>
      <c r="K819" s="140">
        <v>4470</v>
      </c>
    </row>
    <row r="820" spans="3:11" x14ac:dyDescent="0.25">
      <c r="C820" s="117">
        <v>46156</v>
      </c>
      <c r="D820" s="78" t="s">
        <v>148</v>
      </c>
      <c r="E820" s="166"/>
      <c r="F820" s="167">
        <v>5785</v>
      </c>
      <c r="G820" s="78"/>
      <c r="H820" s="117"/>
      <c r="I820" s="78"/>
      <c r="J820" s="78"/>
      <c r="K820" s="119"/>
    </row>
    <row r="821" spans="3:11" ht="18.75" x14ac:dyDescent="0.3">
      <c r="C821" s="117">
        <v>46161</v>
      </c>
      <c r="D821" s="78" t="s">
        <v>995</v>
      </c>
      <c r="E821" s="166"/>
      <c r="F821" s="167">
        <v>4142.82</v>
      </c>
      <c r="G821" s="78"/>
      <c r="H821" s="78"/>
      <c r="I821" s="126" t="s">
        <v>226</v>
      </c>
      <c r="J821" s="126"/>
      <c r="K821" s="127">
        <f>SUM(K814:K820)</f>
        <v>201790</v>
      </c>
    </row>
    <row r="822" spans="3:11" x14ac:dyDescent="0.25">
      <c r="C822" s="117">
        <v>46163</v>
      </c>
      <c r="D822" s="78" t="s">
        <v>999</v>
      </c>
      <c r="E822" s="166"/>
      <c r="F822" s="167">
        <v>4510</v>
      </c>
      <c r="G822" s="78"/>
    </row>
    <row r="823" spans="3:11" x14ac:dyDescent="0.25">
      <c r="C823" s="257"/>
      <c r="D823" s="258" t="s">
        <v>1093</v>
      </c>
      <c r="E823" s="214"/>
      <c r="F823" s="219">
        <v>1050</v>
      </c>
      <c r="G823" s="78"/>
      <c r="K823" s="121"/>
    </row>
    <row r="824" spans="3:11" x14ac:dyDescent="0.25">
      <c r="C824" s="257"/>
      <c r="D824" s="258" t="s">
        <v>497</v>
      </c>
      <c r="E824" s="214"/>
      <c r="F824" s="219">
        <v>1650</v>
      </c>
      <c r="G824" s="78"/>
      <c r="J824" s="121"/>
    </row>
    <row r="825" spans="3:11" x14ac:dyDescent="0.25">
      <c r="C825" s="257">
        <v>46179</v>
      </c>
      <c r="D825" s="258" t="s">
        <v>923</v>
      </c>
      <c r="E825" s="214"/>
      <c r="F825" s="219">
        <v>8650</v>
      </c>
      <c r="J825" s="121"/>
    </row>
    <row r="826" spans="3:11" x14ac:dyDescent="0.25">
      <c r="C826" s="257"/>
      <c r="D826" s="258"/>
      <c r="E826" s="214"/>
      <c r="F826" s="219"/>
    </row>
    <row r="827" spans="3:11" ht="15.75" x14ac:dyDescent="0.25">
      <c r="C827" s="257"/>
      <c r="D827" s="258"/>
      <c r="E827" s="214"/>
      <c r="F827" s="285"/>
      <c r="H827" s="316" t="s">
        <v>227</v>
      </c>
      <c r="I827" s="317"/>
      <c r="J827" s="140">
        <f>F839-K821</f>
        <v>91399.010000000009</v>
      </c>
    </row>
    <row r="828" spans="3:11" ht="15.75" x14ac:dyDescent="0.25">
      <c r="C828" s="257"/>
      <c r="D828" s="258"/>
      <c r="E828" s="214"/>
      <c r="F828" s="219"/>
      <c r="J828" s="89"/>
    </row>
    <row r="829" spans="3:11" ht="15.75" x14ac:dyDescent="0.25">
      <c r="C829" s="257"/>
      <c r="D829" s="286" t="s">
        <v>1197</v>
      </c>
      <c r="E829" s="254"/>
      <c r="F829" s="287">
        <v>13421.03</v>
      </c>
      <c r="H829" s="128" t="s">
        <v>285</v>
      </c>
      <c r="J829" s="124">
        <f>E869</f>
        <v>23365.099999999995</v>
      </c>
    </row>
    <row r="830" spans="3:11" x14ac:dyDescent="0.25">
      <c r="C830" s="257"/>
      <c r="D830" s="258"/>
      <c r="E830" s="214"/>
      <c r="F830" s="219"/>
    </row>
    <row r="831" spans="3:11" x14ac:dyDescent="0.25">
      <c r="C831" s="257"/>
      <c r="D831" s="258"/>
      <c r="E831" s="214"/>
      <c r="F831" s="219"/>
    </row>
    <row r="832" spans="3:11" x14ac:dyDescent="0.25">
      <c r="C832" s="266">
        <v>46175</v>
      </c>
      <c r="D832" s="267" t="s">
        <v>1059</v>
      </c>
      <c r="E832" s="268" t="s">
        <v>1116</v>
      </c>
      <c r="F832" s="265">
        <v>1473.68</v>
      </c>
    </row>
    <row r="833" spans="3:13" ht="21" x14ac:dyDescent="0.35">
      <c r="C833" s="117"/>
      <c r="D833" s="78"/>
      <c r="E833" s="166"/>
      <c r="F833" s="167"/>
      <c r="G833" s="121"/>
      <c r="I833" s="198" t="s">
        <v>286</v>
      </c>
      <c r="J833" s="137">
        <f>SUM(J827:J829)</f>
        <v>114764.11</v>
      </c>
    </row>
    <row r="834" spans="3:13" x14ac:dyDescent="0.25">
      <c r="C834" s="78"/>
      <c r="D834" s="78"/>
      <c r="E834" s="78"/>
      <c r="F834" s="122">
        <f>SUM(F814:F833)</f>
        <v>244998.44</v>
      </c>
      <c r="J834" s="157">
        <v>113621.31</v>
      </c>
      <c r="K834" s="39" t="s">
        <v>76</v>
      </c>
    </row>
    <row r="835" spans="3:13" x14ac:dyDescent="0.25">
      <c r="F835" s="157"/>
    </row>
    <row r="836" spans="3:13" ht="18.75" x14ac:dyDescent="0.3">
      <c r="E836" s="101" t="s">
        <v>224</v>
      </c>
      <c r="F836" s="101">
        <v>48190.57</v>
      </c>
      <c r="J836" s="264">
        <f>J833-J834</f>
        <v>1142.8000000000029</v>
      </c>
    </row>
    <row r="837" spans="3:13" x14ac:dyDescent="0.25">
      <c r="C837" s="121"/>
      <c r="M837" s="121"/>
    </row>
    <row r="839" spans="3:13" ht="18.75" x14ac:dyDescent="0.3">
      <c r="C839" s="121"/>
      <c r="E839" s="99" t="s">
        <v>225</v>
      </c>
      <c r="F839" s="125">
        <f>SUM(F834+F836)</f>
        <v>293189.01</v>
      </c>
    </row>
    <row r="840" spans="3:13" x14ac:dyDescent="0.25">
      <c r="C840" s="121"/>
      <c r="L840">
        <f>5*760</f>
        <v>3800</v>
      </c>
    </row>
    <row r="841" spans="3:13" x14ac:dyDescent="0.25">
      <c r="C841" s="121"/>
    </row>
    <row r="843" spans="3:13" ht="18.75" x14ac:dyDescent="0.3">
      <c r="H843" s="99"/>
      <c r="I843" s="340" t="s">
        <v>497</v>
      </c>
      <c r="J843" s="340"/>
    </row>
    <row r="844" spans="3:13" x14ac:dyDescent="0.25">
      <c r="I844" s="151" t="s">
        <v>1121</v>
      </c>
      <c r="J844" s="121">
        <v>50</v>
      </c>
    </row>
    <row r="845" spans="3:13" x14ac:dyDescent="0.25">
      <c r="I845" s="151" t="s">
        <v>1140</v>
      </c>
      <c r="J845" s="121">
        <v>1600</v>
      </c>
    </row>
    <row r="846" spans="3:13" x14ac:dyDescent="0.25">
      <c r="I846" s="163"/>
      <c r="J846" s="121"/>
    </row>
    <row r="847" spans="3:13" x14ac:dyDescent="0.25">
      <c r="C847" s="91"/>
      <c r="I847" s="163"/>
    </row>
    <row r="848" spans="3:13" x14ac:dyDescent="0.25">
      <c r="I848" s="163"/>
      <c r="J848" s="157">
        <f>SUM(J844:J846)</f>
        <v>1650</v>
      </c>
    </row>
    <row r="849" spans="3:11" ht="15.75" x14ac:dyDescent="0.25">
      <c r="D849" s="132" t="s">
        <v>235</v>
      </c>
      <c r="E849" s="133">
        <v>60884.9</v>
      </c>
      <c r="I849" s="163"/>
    </row>
    <row r="850" spans="3:11" ht="15.75" x14ac:dyDescent="0.25">
      <c r="D850" s="148" t="s">
        <v>1173</v>
      </c>
      <c r="E850" s="144">
        <v>-100</v>
      </c>
    </row>
    <row r="851" spans="3:11" ht="21" x14ac:dyDescent="0.35">
      <c r="D851" s="148" t="s">
        <v>1113</v>
      </c>
      <c r="E851" s="144">
        <v>-13</v>
      </c>
      <c r="I851" s="262"/>
      <c r="J851" s="263"/>
    </row>
    <row r="852" spans="3:11" ht="15.75" x14ac:dyDescent="0.25">
      <c r="D852" s="128" t="s">
        <v>1176</v>
      </c>
      <c r="E852" s="171">
        <v>150</v>
      </c>
    </row>
    <row r="853" spans="3:11" ht="15.75" x14ac:dyDescent="0.25">
      <c r="D853" s="148" t="s">
        <v>1178</v>
      </c>
      <c r="E853" s="144">
        <v>-140</v>
      </c>
    </row>
    <row r="854" spans="3:11" ht="15.75" x14ac:dyDescent="0.25">
      <c r="D854" s="128" t="s">
        <v>1128</v>
      </c>
      <c r="E854" s="171">
        <v>9390.5</v>
      </c>
    </row>
    <row r="855" spans="3:11" ht="15.75" x14ac:dyDescent="0.25">
      <c r="C855" s="91">
        <v>46182</v>
      </c>
      <c r="D855" s="128" t="s">
        <v>1181</v>
      </c>
      <c r="E855" s="171">
        <v>3500</v>
      </c>
    </row>
    <row r="856" spans="3:11" ht="15.75" x14ac:dyDescent="0.25">
      <c r="D856" s="148" t="s">
        <v>954</v>
      </c>
      <c r="E856" s="144">
        <v>-40</v>
      </c>
      <c r="H856" s="121"/>
    </row>
    <row r="857" spans="3:11" ht="15.75" x14ac:dyDescent="0.25">
      <c r="D857" s="128" t="s">
        <v>1187</v>
      </c>
      <c r="E857" s="171">
        <v>10000</v>
      </c>
    </row>
    <row r="858" spans="3:11" ht="15.75" x14ac:dyDescent="0.25">
      <c r="D858" s="128" t="s">
        <v>963</v>
      </c>
      <c r="E858" s="171">
        <v>-68000</v>
      </c>
      <c r="I858" s="121"/>
    </row>
    <row r="859" spans="3:11" ht="15.75" x14ac:dyDescent="0.25">
      <c r="C859" s="91">
        <v>46183</v>
      </c>
      <c r="D859" s="128" t="s">
        <v>1193</v>
      </c>
      <c r="E859" s="171">
        <v>260</v>
      </c>
      <c r="K859" s="121"/>
    </row>
    <row r="860" spans="3:11" ht="15.75" x14ac:dyDescent="0.25">
      <c r="D860" s="128" t="s">
        <v>272</v>
      </c>
      <c r="E860" s="171">
        <v>-197.5</v>
      </c>
    </row>
    <row r="861" spans="3:11" ht="15.75" x14ac:dyDescent="0.25">
      <c r="D861" s="128" t="s">
        <v>1200</v>
      </c>
      <c r="E861" s="171">
        <v>-30</v>
      </c>
    </row>
    <row r="862" spans="3:11" ht="15.75" x14ac:dyDescent="0.25">
      <c r="D862" s="128" t="s">
        <v>1113</v>
      </c>
      <c r="E862" s="171">
        <v>-13</v>
      </c>
    </row>
    <row r="863" spans="3:11" ht="15.75" x14ac:dyDescent="0.25">
      <c r="D863" s="148" t="s">
        <v>954</v>
      </c>
      <c r="E863" s="144">
        <v>-150</v>
      </c>
    </row>
    <row r="864" spans="3:11" ht="15.75" x14ac:dyDescent="0.25">
      <c r="D864" s="148" t="s">
        <v>1201</v>
      </c>
      <c r="E864" s="144">
        <v>988.2</v>
      </c>
    </row>
    <row r="865" spans="3:10" ht="15.75" x14ac:dyDescent="0.25">
      <c r="D865" s="148" t="s">
        <v>1202</v>
      </c>
      <c r="E865" s="144">
        <v>6875</v>
      </c>
    </row>
    <row r="866" spans="3:10" ht="15.75" x14ac:dyDescent="0.25">
      <c r="D866" s="128"/>
      <c r="E866" s="171"/>
    </row>
    <row r="867" spans="3:10" ht="15.75" x14ac:dyDescent="0.25">
      <c r="E867" s="171"/>
    </row>
    <row r="868" spans="3:10" x14ac:dyDescent="0.25">
      <c r="E868" s="121"/>
    </row>
    <row r="869" spans="3:10" ht="15.75" x14ac:dyDescent="0.25">
      <c r="D869" s="132" t="s">
        <v>236</v>
      </c>
      <c r="E869" s="133">
        <f>SUM(E849:E868)</f>
        <v>23365.099999999995</v>
      </c>
    </row>
    <row r="872" spans="3:10" x14ac:dyDescent="0.25">
      <c r="E872">
        <v>-11.9</v>
      </c>
    </row>
    <row r="874" spans="3:10" x14ac:dyDescent="0.25">
      <c r="D874" s="39"/>
      <c r="E874" s="157">
        <f>SUM(E869:E873)</f>
        <v>23353.199999999993</v>
      </c>
    </row>
    <row r="875" spans="3:10" x14ac:dyDescent="0.25">
      <c r="D875" s="39"/>
      <c r="E875" s="157"/>
      <c r="I875" t="s">
        <v>1191</v>
      </c>
    </row>
    <row r="876" spans="3:10" x14ac:dyDescent="0.25">
      <c r="I876" t="s">
        <v>1179</v>
      </c>
      <c r="J876" t="s">
        <v>353</v>
      </c>
    </row>
    <row r="878" spans="3:10" ht="18.75" x14ac:dyDescent="0.3">
      <c r="C878" s="91">
        <v>46182</v>
      </c>
      <c r="D878" s="333" t="s">
        <v>1125</v>
      </c>
      <c r="E878" s="333"/>
    </row>
    <row r="879" spans="3:10" ht="15.75" x14ac:dyDescent="0.25">
      <c r="D879" s="166" t="s">
        <v>429</v>
      </c>
      <c r="E879" s="140">
        <v>134284.01999999999</v>
      </c>
    </row>
    <row r="880" spans="3:10" ht="15.75" x14ac:dyDescent="0.25">
      <c r="D880" t="s">
        <v>1174</v>
      </c>
      <c r="E880" s="171">
        <v>2580</v>
      </c>
    </row>
    <row r="881" spans="4:5" ht="15.75" x14ac:dyDescent="0.25">
      <c r="D881" s="178" t="s">
        <v>1177</v>
      </c>
      <c r="E881" s="212">
        <v>-150</v>
      </c>
    </row>
    <row r="882" spans="4:5" ht="15.75" x14ac:dyDescent="0.25">
      <c r="D882" s="178" t="s">
        <v>886</v>
      </c>
      <c r="E882" s="212">
        <v>-1500</v>
      </c>
    </row>
    <row r="883" spans="4:5" ht="15.75" x14ac:dyDescent="0.25">
      <c r="D883" s="178" t="s">
        <v>1188</v>
      </c>
      <c r="E883" s="212">
        <v>-20</v>
      </c>
    </row>
    <row r="884" spans="4:5" ht="15.75" x14ac:dyDescent="0.25">
      <c r="D884" s="178" t="s">
        <v>1189</v>
      </c>
      <c r="E884" s="212">
        <v>-1350</v>
      </c>
    </row>
    <row r="885" spans="4:5" ht="15.75" x14ac:dyDescent="0.25">
      <c r="D885" s="178" t="s">
        <v>250</v>
      </c>
      <c r="E885" s="212">
        <v>-373.63</v>
      </c>
    </row>
    <row r="886" spans="4:5" ht="15.75" x14ac:dyDescent="0.25">
      <c r="D886" s="178" t="s">
        <v>964</v>
      </c>
      <c r="E886" s="212">
        <v>35000</v>
      </c>
    </row>
    <row r="887" spans="4:5" ht="15.75" x14ac:dyDescent="0.25">
      <c r="D887" s="178" t="s">
        <v>964</v>
      </c>
      <c r="E887" s="212">
        <v>18000</v>
      </c>
    </row>
    <row r="888" spans="4:5" ht="15.75" x14ac:dyDescent="0.25">
      <c r="D888" s="178" t="s">
        <v>535</v>
      </c>
      <c r="E888" s="212">
        <v>-2.75</v>
      </c>
    </row>
    <row r="889" spans="4:5" ht="15.75" x14ac:dyDescent="0.25">
      <c r="D889" s="214" t="s">
        <v>1195</v>
      </c>
      <c r="E889" s="210">
        <v>15000</v>
      </c>
    </row>
    <row r="890" spans="4:5" ht="15.75" x14ac:dyDescent="0.25">
      <c r="D890" s="214" t="s">
        <v>1196</v>
      </c>
      <c r="E890" s="210">
        <v>1900</v>
      </c>
    </row>
    <row r="891" spans="4:5" ht="15.75" x14ac:dyDescent="0.25">
      <c r="D891" s="214" t="s">
        <v>1198</v>
      </c>
      <c r="E891" s="210">
        <v>-13421.03</v>
      </c>
    </row>
    <row r="892" spans="4:5" ht="15.75" x14ac:dyDescent="0.25">
      <c r="D892" s="178" t="s">
        <v>535</v>
      </c>
      <c r="E892" s="212">
        <v>-1.7</v>
      </c>
    </row>
    <row r="893" spans="4:5" ht="15.75" x14ac:dyDescent="0.25">
      <c r="D893" s="178" t="s">
        <v>82</v>
      </c>
      <c r="E893" s="212">
        <v>-9870</v>
      </c>
    </row>
    <row r="894" spans="4:5" ht="15.75" x14ac:dyDescent="0.25">
      <c r="D894" s="178"/>
      <c r="E894" s="212"/>
    </row>
    <row r="895" spans="4:5" x14ac:dyDescent="0.25">
      <c r="D895" s="78"/>
      <c r="E895" s="78"/>
    </row>
    <row r="896" spans="4:5" ht="15.75" x14ac:dyDescent="0.25">
      <c r="D896" s="78" t="s">
        <v>596</v>
      </c>
      <c r="E896" s="189">
        <f>SUM(E879:E895)</f>
        <v>180074.90999999997</v>
      </c>
    </row>
    <row r="898" spans="4:5" x14ac:dyDescent="0.25">
      <c r="D898" t="s">
        <v>361</v>
      </c>
      <c r="E898" s="121">
        <v>1342</v>
      </c>
    </row>
    <row r="900" spans="4:5" ht="18.75" x14ac:dyDescent="0.3">
      <c r="E900" s="280">
        <f>E896+E898</f>
        <v>181416.90999999997</v>
      </c>
    </row>
    <row r="902" spans="4:5" x14ac:dyDescent="0.25">
      <c r="D902" t="s">
        <v>1199</v>
      </c>
      <c r="E902">
        <v>5100</v>
      </c>
    </row>
    <row r="904" spans="4:5" x14ac:dyDescent="0.25">
      <c r="E904" s="121">
        <f>E900+E902</f>
        <v>186516.90999999997</v>
      </c>
    </row>
    <row r="918" spans="3:11" ht="18.75" x14ac:dyDescent="0.3">
      <c r="C918" s="314" t="s">
        <v>1210</v>
      </c>
      <c r="D918" s="315"/>
      <c r="E918" s="315"/>
      <c r="F918" s="315"/>
      <c r="G918" s="315"/>
      <c r="H918" s="315"/>
      <c r="I918" s="315"/>
      <c r="J918" s="315"/>
      <c r="K918" s="315"/>
    </row>
    <row r="919" spans="3:11" x14ac:dyDescent="0.25">
      <c r="C919" s="78"/>
      <c r="D919" s="78"/>
      <c r="E919" s="78"/>
      <c r="F919" s="78"/>
      <c r="G919" s="78"/>
      <c r="H919" s="78"/>
      <c r="I919" s="78"/>
      <c r="J919" s="78"/>
      <c r="K919" s="78"/>
    </row>
    <row r="920" spans="3:11" ht="15.75" x14ac:dyDescent="0.25">
      <c r="C920" s="118" t="s">
        <v>223</v>
      </c>
      <c r="D920" s="118" t="s">
        <v>206</v>
      </c>
      <c r="E920" s="118" t="s">
        <v>207</v>
      </c>
      <c r="F920" s="118" t="s">
        <v>218</v>
      </c>
      <c r="G920" s="78"/>
      <c r="H920" s="120" t="s">
        <v>6</v>
      </c>
      <c r="I920" s="120" t="s">
        <v>217</v>
      </c>
      <c r="J920" s="120" t="s">
        <v>207</v>
      </c>
      <c r="K920" s="120" t="s">
        <v>218</v>
      </c>
    </row>
    <row r="921" spans="3:11" x14ac:dyDescent="0.25">
      <c r="C921" s="276">
        <v>46178</v>
      </c>
      <c r="D921" s="247" t="s">
        <v>1151</v>
      </c>
      <c r="E921" s="118" t="s">
        <v>1194</v>
      </c>
      <c r="F921" s="248">
        <v>6195</v>
      </c>
      <c r="G921" s="78"/>
      <c r="H921" s="117"/>
      <c r="I921" s="78"/>
      <c r="J921" s="78"/>
      <c r="K921" s="119"/>
    </row>
    <row r="922" spans="3:11" x14ac:dyDescent="0.25">
      <c r="C922" s="276">
        <v>46178</v>
      </c>
      <c r="D922" s="247" t="s">
        <v>1152</v>
      </c>
      <c r="E922" s="118" t="s">
        <v>1203</v>
      </c>
      <c r="F922" s="248">
        <v>3800</v>
      </c>
      <c r="G922" s="78"/>
      <c r="H922" s="117">
        <v>46037</v>
      </c>
      <c r="I922" s="149" t="s">
        <v>66</v>
      </c>
      <c r="J922" s="78" t="s">
        <v>222</v>
      </c>
      <c r="K922" s="119">
        <v>2120</v>
      </c>
    </row>
    <row r="923" spans="3:11" ht="15.75" x14ac:dyDescent="0.25">
      <c r="C923" s="269">
        <v>46087</v>
      </c>
      <c r="D923" s="270" t="s">
        <v>214</v>
      </c>
      <c r="E923" s="270" t="s">
        <v>211</v>
      </c>
      <c r="F923" s="271">
        <v>2800</v>
      </c>
      <c r="G923" s="78"/>
      <c r="H923" s="184">
        <v>46170</v>
      </c>
      <c r="I923" s="78" t="s">
        <v>1060</v>
      </c>
      <c r="J923" s="185"/>
      <c r="K923" s="140">
        <v>1400</v>
      </c>
    </row>
    <row r="924" spans="3:11" ht="15.75" x14ac:dyDescent="0.25">
      <c r="C924" s="78"/>
      <c r="D924" s="201" t="s">
        <v>429</v>
      </c>
      <c r="E924" s="201"/>
      <c r="F924" s="183">
        <v>169323.42</v>
      </c>
      <c r="G924" s="78"/>
      <c r="H924" s="184"/>
      <c r="I924" s="78" t="s">
        <v>1084</v>
      </c>
      <c r="J924" s="185"/>
      <c r="K924" s="140">
        <v>189000</v>
      </c>
    </row>
    <row r="925" spans="3:11" ht="15.75" x14ac:dyDescent="0.25">
      <c r="C925" s="117">
        <v>46156</v>
      </c>
      <c r="D925" s="78" t="s">
        <v>353</v>
      </c>
      <c r="E925" s="166"/>
      <c r="F925" s="167">
        <v>1084</v>
      </c>
      <c r="G925" s="119"/>
      <c r="H925" s="184"/>
      <c r="I925" s="78" t="s">
        <v>1149</v>
      </c>
      <c r="J925" s="185"/>
      <c r="K925" s="140">
        <v>4800</v>
      </c>
    </row>
    <row r="926" spans="3:11" ht="15.75" x14ac:dyDescent="0.25">
      <c r="C926" s="117">
        <v>46156</v>
      </c>
      <c r="D926" s="78" t="s">
        <v>471</v>
      </c>
      <c r="E926" s="166"/>
      <c r="F926" s="167">
        <v>5802</v>
      </c>
      <c r="G926" s="119"/>
      <c r="H926" s="184"/>
      <c r="I926" s="78" t="s">
        <v>281</v>
      </c>
      <c r="J926" s="185"/>
      <c r="K926" s="140">
        <v>6660</v>
      </c>
    </row>
    <row r="927" spans="3:11" x14ac:dyDescent="0.25">
      <c r="C927" s="117">
        <v>46156</v>
      </c>
      <c r="D927" s="78" t="s">
        <v>148</v>
      </c>
      <c r="E927" s="166"/>
      <c r="F927" s="167">
        <v>5785</v>
      </c>
      <c r="G927" s="78"/>
      <c r="H927" s="117"/>
      <c r="I927" s="78"/>
      <c r="J927" s="78"/>
      <c r="K927" s="119"/>
    </row>
    <row r="928" spans="3:11" ht="18.75" x14ac:dyDescent="0.3">
      <c r="C928" s="117">
        <v>46161</v>
      </c>
      <c r="D928" s="78" t="s">
        <v>995</v>
      </c>
      <c r="E928" s="166"/>
      <c r="F928" s="167">
        <v>4142.82</v>
      </c>
      <c r="G928" s="78"/>
      <c r="H928" s="78"/>
      <c r="I928" s="126" t="s">
        <v>226</v>
      </c>
      <c r="J928" s="126"/>
      <c r="K928" s="127">
        <f>SUM(K921:K927)</f>
        <v>203980</v>
      </c>
    </row>
    <row r="929" spans="3:13" x14ac:dyDescent="0.25">
      <c r="C929" s="117">
        <v>46163</v>
      </c>
      <c r="D929" s="78" t="s">
        <v>999</v>
      </c>
      <c r="E929" s="166"/>
      <c r="F929" s="167">
        <v>4510</v>
      </c>
      <c r="G929" s="78"/>
    </row>
    <row r="930" spans="3:13" x14ac:dyDescent="0.25">
      <c r="C930" s="257"/>
      <c r="D930" s="258" t="s">
        <v>1093</v>
      </c>
      <c r="E930" s="214"/>
      <c r="F930" s="219">
        <v>1050</v>
      </c>
      <c r="G930" s="78"/>
      <c r="K930" s="121"/>
    </row>
    <row r="931" spans="3:13" x14ac:dyDescent="0.25">
      <c r="C931" s="257"/>
      <c r="D931" s="258" t="s">
        <v>497</v>
      </c>
      <c r="E931" s="214"/>
      <c r="F931" s="219">
        <v>1650</v>
      </c>
      <c r="G931" s="78"/>
      <c r="J931" s="121"/>
    </row>
    <row r="932" spans="3:13" x14ac:dyDescent="0.25">
      <c r="C932" s="257">
        <v>46179</v>
      </c>
      <c r="D932" s="258" t="s">
        <v>923</v>
      </c>
      <c r="E932" s="214"/>
      <c r="F932" s="219">
        <v>8650</v>
      </c>
      <c r="J932" s="121"/>
    </row>
    <row r="933" spans="3:13" x14ac:dyDescent="0.25">
      <c r="C933" s="257"/>
      <c r="D933" s="258"/>
      <c r="E933" s="214"/>
      <c r="F933" s="219"/>
    </row>
    <row r="934" spans="3:13" ht="15.75" x14ac:dyDescent="0.25">
      <c r="C934" s="257"/>
      <c r="D934" s="258"/>
      <c r="E934" s="214"/>
      <c r="F934" s="219"/>
      <c r="H934" s="316" t="s">
        <v>227</v>
      </c>
      <c r="I934" s="317"/>
      <c r="J934" s="140">
        <f>F947-K928</f>
        <v>87120.81</v>
      </c>
    </row>
    <row r="935" spans="3:13" ht="15.75" x14ac:dyDescent="0.25">
      <c r="C935" s="257"/>
      <c r="D935" s="258"/>
      <c r="E935" s="214"/>
      <c r="F935" s="285"/>
      <c r="J935" s="89"/>
    </row>
    <row r="936" spans="3:13" ht="15.75" x14ac:dyDescent="0.25">
      <c r="C936" s="257"/>
      <c r="D936" s="258"/>
      <c r="E936" s="214"/>
      <c r="F936" s="219"/>
      <c r="H936" s="128" t="s">
        <v>285</v>
      </c>
      <c r="J936" s="124">
        <f>E979</f>
        <v>28725.099999999995</v>
      </c>
    </row>
    <row r="937" spans="3:13" ht="15.75" x14ac:dyDescent="0.25">
      <c r="C937" s="257"/>
      <c r="D937" s="286" t="s">
        <v>1197</v>
      </c>
      <c r="E937" s="254"/>
      <c r="F937" s="287">
        <v>29271.32</v>
      </c>
    </row>
    <row r="938" spans="3:13" x14ac:dyDescent="0.25">
      <c r="C938" s="257"/>
      <c r="D938" s="258"/>
      <c r="E938" s="214"/>
      <c r="F938" s="219"/>
    </row>
    <row r="939" spans="3:13" x14ac:dyDescent="0.25">
      <c r="C939" s="257"/>
      <c r="D939" s="258"/>
      <c r="E939" s="214"/>
      <c r="F939" s="219"/>
    </row>
    <row r="940" spans="3:13" ht="21" x14ac:dyDescent="0.35">
      <c r="C940" s="266">
        <v>46175</v>
      </c>
      <c r="D940" s="267" t="s">
        <v>1059</v>
      </c>
      <c r="E940" s="268" t="s">
        <v>1116</v>
      </c>
      <c r="F940" s="265">
        <v>1473.68</v>
      </c>
      <c r="G940" s="121"/>
      <c r="I940" s="198" t="s">
        <v>286</v>
      </c>
      <c r="J940" s="137">
        <f>SUM(J934:J936)</f>
        <v>115845.90999999999</v>
      </c>
    </row>
    <row r="941" spans="3:13" x14ac:dyDescent="0.25">
      <c r="C941" s="117"/>
      <c r="D941" s="78"/>
      <c r="E941" s="166"/>
      <c r="F941" s="167"/>
      <c r="J941" s="157">
        <v>114764.11</v>
      </c>
      <c r="K941" s="39" t="s">
        <v>76</v>
      </c>
    </row>
    <row r="942" spans="3:13" x14ac:dyDescent="0.25">
      <c r="C942" s="78"/>
      <c r="D942" s="78"/>
      <c r="E942" s="78"/>
      <c r="F942" s="122">
        <f>SUM(F921:F941)</f>
        <v>245537.24000000002</v>
      </c>
    </row>
    <row r="943" spans="3:13" ht="18.75" x14ac:dyDescent="0.3">
      <c r="F943" s="157"/>
      <c r="J943" s="264">
        <f>J940-J941</f>
        <v>1081.7999999999884</v>
      </c>
    </row>
    <row r="944" spans="3:13" x14ac:dyDescent="0.25">
      <c r="E944" s="101" t="s">
        <v>224</v>
      </c>
      <c r="F944" s="101">
        <v>45563.57</v>
      </c>
      <c r="M944" s="121"/>
    </row>
    <row r="945" spans="3:12" x14ac:dyDescent="0.25">
      <c r="C945" s="121"/>
    </row>
    <row r="947" spans="3:12" ht="18.75" x14ac:dyDescent="0.3">
      <c r="C947" s="121"/>
      <c r="E947" s="99" t="s">
        <v>225</v>
      </c>
      <c r="F947" s="125">
        <f>SUM(F942+F944)</f>
        <v>291100.81</v>
      </c>
      <c r="L947">
        <f>5*760</f>
        <v>3800</v>
      </c>
    </row>
    <row r="948" spans="3:12" x14ac:dyDescent="0.25">
      <c r="C948" s="121"/>
    </row>
    <row r="949" spans="3:12" x14ac:dyDescent="0.25">
      <c r="C949" s="121"/>
    </row>
    <row r="950" spans="3:12" ht="18.75" x14ac:dyDescent="0.3">
      <c r="H950" s="99"/>
      <c r="I950" s="340" t="s">
        <v>497</v>
      </c>
      <c r="J950" s="340"/>
    </row>
    <row r="951" spans="3:12" x14ac:dyDescent="0.25">
      <c r="I951" s="151" t="s">
        <v>1121</v>
      </c>
      <c r="J951" s="121">
        <v>50</v>
      </c>
    </row>
    <row r="952" spans="3:12" x14ac:dyDescent="0.25">
      <c r="I952" s="151" t="s">
        <v>1140</v>
      </c>
      <c r="J952" s="121">
        <v>1600</v>
      </c>
    </row>
    <row r="953" spans="3:12" x14ac:dyDescent="0.25">
      <c r="I953" s="163"/>
      <c r="J953" s="121"/>
    </row>
    <row r="954" spans="3:12" x14ac:dyDescent="0.25">
      <c r="I954" s="163"/>
    </row>
    <row r="955" spans="3:12" x14ac:dyDescent="0.25">
      <c r="C955" s="91"/>
      <c r="I955" s="163"/>
      <c r="J955" s="157">
        <f>SUM(J951:J953)</f>
        <v>1650</v>
      </c>
    </row>
    <row r="956" spans="3:12" x14ac:dyDescent="0.25">
      <c r="I956" s="163"/>
    </row>
    <row r="957" spans="3:12" ht="15.75" x14ac:dyDescent="0.25">
      <c r="D957" s="132" t="s">
        <v>235</v>
      </c>
      <c r="E957" s="133">
        <v>60884.9</v>
      </c>
    </row>
    <row r="958" spans="3:12" ht="21" x14ac:dyDescent="0.35">
      <c r="D958" s="148" t="s">
        <v>1173</v>
      </c>
      <c r="E958" s="144">
        <v>-100</v>
      </c>
      <c r="I958" s="262"/>
      <c r="J958" s="263"/>
    </row>
    <row r="959" spans="3:12" ht="15.75" x14ac:dyDescent="0.25">
      <c r="D959" s="148" t="s">
        <v>1113</v>
      </c>
      <c r="E959" s="144">
        <v>-13</v>
      </c>
    </row>
    <row r="960" spans="3:12" ht="15.75" x14ac:dyDescent="0.25">
      <c r="D960" s="128" t="s">
        <v>1176</v>
      </c>
      <c r="E960" s="171">
        <v>150</v>
      </c>
    </row>
    <row r="961" spans="3:11" ht="15.75" x14ac:dyDescent="0.25">
      <c r="D961" s="148" t="s">
        <v>1178</v>
      </c>
      <c r="E961" s="144">
        <v>-140</v>
      </c>
    </row>
    <row r="962" spans="3:11" ht="15.75" x14ac:dyDescent="0.25">
      <c r="D962" s="128" t="s">
        <v>1128</v>
      </c>
      <c r="E962" s="171">
        <v>9390.5</v>
      </c>
    </row>
    <row r="963" spans="3:11" ht="15.75" x14ac:dyDescent="0.25">
      <c r="C963" s="91">
        <v>46182</v>
      </c>
      <c r="D963" s="128" t="s">
        <v>1181</v>
      </c>
      <c r="E963" s="171">
        <v>3500</v>
      </c>
      <c r="H963" s="121"/>
    </row>
    <row r="964" spans="3:11" ht="15.75" x14ac:dyDescent="0.25">
      <c r="D964" s="148" t="s">
        <v>954</v>
      </c>
      <c r="E964" s="144">
        <v>-40</v>
      </c>
    </row>
    <row r="965" spans="3:11" ht="15.75" x14ac:dyDescent="0.25">
      <c r="D965" s="128" t="s">
        <v>1187</v>
      </c>
      <c r="E965" s="171">
        <v>10000</v>
      </c>
      <c r="I965" s="121"/>
    </row>
    <row r="966" spans="3:11" ht="15.75" x14ac:dyDescent="0.25">
      <c r="D966" s="128" t="s">
        <v>963</v>
      </c>
      <c r="E966" s="171">
        <v>-68000</v>
      </c>
      <c r="K966" s="121"/>
    </row>
    <row r="967" spans="3:11" ht="15.75" x14ac:dyDescent="0.25">
      <c r="C967" s="91">
        <v>46183</v>
      </c>
      <c r="D967" s="128" t="s">
        <v>1193</v>
      </c>
      <c r="E967" s="171">
        <v>260</v>
      </c>
    </row>
    <row r="968" spans="3:11" ht="15.75" x14ac:dyDescent="0.25">
      <c r="D968" s="128" t="s">
        <v>272</v>
      </c>
      <c r="E968" s="171">
        <v>-197.5</v>
      </c>
    </row>
    <row r="969" spans="3:11" ht="15.75" x14ac:dyDescent="0.25">
      <c r="D969" s="128" t="s">
        <v>1200</v>
      </c>
      <c r="E969" s="171">
        <v>-30</v>
      </c>
    </row>
    <row r="970" spans="3:11" ht="15.75" x14ac:dyDescent="0.25">
      <c r="D970" s="128" t="s">
        <v>1113</v>
      </c>
      <c r="E970" s="171">
        <v>-13</v>
      </c>
    </row>
    <row r="971" spans="3:11" ht="15.75" x14ac:dyDescent="0.25">
      <c r="D971" s="148" t="s">
        <v>954</v>
      </c>
      <c r="E971" s="144">
        <v>-150</v>
      </c>
    </row>
    <row r="972" spans="3:11" ht="15.75" x14ac:dyDescent="0.25">
      <c r="D972" s="148" t="s">
        <v>1201</v>
      </c>
      <c r="E972" s="144">
        <v>988.2</v>
      </c>
    </row>
    <row r="973" spans="3:11" ht="15.75" x14ac:dyDescent="0.25">
      <c r="D973" s="148" t="s">
        <v>1202</v>
      </c>
      <c r="E973" s="144">
        <v>6875</v>
      </c>
    </row>
    <row r="974" spans="3:11" ht="15.75" x14ac:dyDescent="0.25">
      <c r="C974" s="91">
        <v>46184</v>
      </c>
      <c r="D974" s="148" t="s">
        <v>1206</v>
      </c>
      <c r="E974" s="144">
        <v>2610</v>
      </c>
    </row>
    <row r="975" spans="3:11" ht="15.75" x14ac:dyDescent="0.25">
      <c r="D975" s="199" t="s">
        <v>357</v>
      </c>
      <c r="E975" s="200">
        <v>2750</v>
      </c>
    </row>
    <row r="976" spans="3:11" ht="15.75" x14ac:dyDescent="0.25">
      <c r="D976" s="128"/>
      <c r="E976" s="171"/>
    </row>
    <row r="977" spans="3:10" ht="15.75" x14ac:dyDescent="0.25">
      <c r="E977" s="171"/>
    </row>
    <row r="978" spans="3:10" x14ac:dyDescent="0.25">
      <c r="E978" s="121"/>
    </row>
    <row r="979" spans="3:10" ht="15.75" x14ac:dyDescent="0.25">
      <c r="D979" s="132" t="s">
        <v>236</v>
      </c>
      <c r="E979" s="133">
        <f>SUM(E957:E978)</f>
        <v>28725.099999999995</v>
      </c>
    </row>
    <row r="982" spans="3:10" x14ac:dyDescent="0.25">
      <c r="E982">
        <v>-11.9</v>
      </c>
      <c r="I982" t="s">
        <v>1191</v>
      </c>
    </row>
    <row r="983" spans="3:10" x14ac:dyDescent="0.25">
      <c r="I983" t="s">
        <v>1179</v>
      </c>
      <c r="J983" t="s">
        <v>353</v>
      </c>
    </row>
    <row r="984" spans="3:10" x14ac:dyDescent="0.25">
      <c r="D984" s="39"/>
      <c r="E984" s="157">
        <f>SUM(E979:E983)</f>
        <v>28713.199999999993</v>
      </c>
    </row>
    <row r="985" spans="3:10" x14ac:dyDescent="0.25">
      <c r="D985" s="39"/>
      <c r="E985" s="157"/>
    </row>
    <row r="988" spans="3:10" ht="18.75" x14ac:dyDescent="0.3">
      <c r="C988" s="91">
        <v>46182</v>
      </c>
      <c r="D988" s="333" t="s">
        <v>1125</v>
      </c>
      <c r="E988" s="333"/>
    </row>
    <row r="989" spans="3:10" ht="15.75" x14ac:dyDescent="0.25">
      <c r="D989" s="166" t="s">
        <v>429</v>
      </c>
      <c r="E989" s="140">
        <v>134284.01999999999</v>
      </c>
    </row>
    <row r="990" spans="3:10" ht="15.75" x14ac:dyDescent="0.25">
      <c r="D990" t="s">
        <v>1174</v>
      </c>
      <c r="E990" s="171">
        <v>2580</v>
      </c>
    </row>
    <row r="991" spans="3:10" ht="15.75" x14ac:dyDescent="0.25">
      <c r="D991" s="178" t="s">
        <v>1177</v>
      </c>
      <c r="E991" s="212">
        <v>-150</v>
      </c>
    </row>
    <row r="992" spans="3:10" ht="15.75" x14ac:dyDescent="0.25">
      <c r="D992" s="178" t="s">
        <v>886</v>
      </c>
      <c r="E992" s="212">
        <v>-1500</v>
      </c>
    </row>
    <row r="993" spans="3:5" ht="15.75" x14ac:dyDescent="0.25">
      <c r="D993" s="178" t="s">
        <v>1188</v>
      </c>
      <c r="E993" s="212">
        <v>-20</v>
      </c>
    </row>
    <row r="994" spans="3:5" ht="15.75" x14ac:dyDescent="0.25">
      <c r="D994" s="178" t="s">
        <v>1189</v>
      </c>
      <c r="E994" s="212">
        <v>-1350</v>
      </c>
    </row>
    <row r="995" spans="3:5" ht="15.75" x14ac:dyDescent="0.25">
      <c r="D995" s="178" t="s">
        <v>250</v>
      </c>
      <c r="E995" s="212">
        <v>-373.63</v>
      </c>
    </row>
    <row r="996" spans="3:5" ht="15.75" x14ac:dyDescent="0.25">
      <c r="D996" s="178" t="s">
        <v>964</v>
      </c>
      <c r="E996" s="212">
        <v>35000</v>
      </c>
    </row>
    <row r="997" spans="3:5" ht="15.75" x14ac:dyDescent="0.25">
      <c r="D997" s="178" t="s">
        <v>964</v>
      </c>
      <c r="E997" s="212">
        <v>18000</v>
      </c>
    </row>
    <row r="998" spans="3:5" ht="15.75" x14ac:dyDescent="0.25">
      <c r="D998" s="178" t="s">
        <v>535</v>
      </c>
      <c r="E998" s="212">
        <v>-2.75</v>
      </c>
    </row>
    <row r="999" spans="3:5" ht="15.75" x14ac:dyDescent="0.25">
      <c r="C999" s="91">
        <v>46183</v>
      </c>
      <c r="D999" s="214" t="s">
        <v>1195</v>
      </c>
      <c r="E999" s="210">
        <v>15000</v>
      </c>
    </row>
    <row r="1000" spans="3:5" ht="15.75" x14ac:dyDescent="0.25">
      <c r="D1000" s="214" t="s">
        <v>1196</v>
      </c>
      <c r="E1000" s="210">
        <v>1900</v>
      </c>
    </row>
    <row r="1001" spans="3:5" ht="15.75" x14ac:dyDescent="0.25">
      <c r="D1001" s="214" t="s">
        <v>1198</v>
      </c>
      <c r="E1001" s="210">
        <v>-13421.03</v>
      </c>
    </row>
    <row r="1002" spans="3:5" ht="15.75" x14ac:dyDescent="0.25">
      <c r="D1002" s="178" t="s">
        <v>535</v>
      </c>
      <c r="E1002" s="212">
        <v>-1.7</v>
      </c>
    </row>
    <row r="1003" spans="3:5" ht="15.75" x14ac:dyDescent="0.25">
      <c r="D1003" s="178" t="s">
        <v>82</v>
      </c>
      <c r="E1003" s="212">
        <v>-9870</v>
      </c>
    </row>
    <row r="1004" spans="3:5" x14ac:dyDescent="0.25">
      <c r="C1004" s="91">
        <v>46184</v>
      </c>
      <c r="D1004" t="s">
        <v>1205</v>
      </c>
      <c r="E1004">
        <v>5100</v>
      </c>
    </row>
    <row r="1005" spans="3:5" ht="15.75" x14ac:dyDescent="0.25">
      <c r="D1005" s="178" t="s">
        <v>1208</v>
      </c>
      <c r="E1005" s="212">
        <v>-15850.29</v>
      </c>
    </row>
    <row r="1006" spans="3:5" ht="15.75" x14ac:dyDescent="0.25">
      <c r="D1006" s="178" t="s">
        <v>535</v>
      </c>
      <c r="E1006" s="212">
        <v>-1.2</v>
      </c>
    </row>
    <row r="1007" spans="3:5" ht="15.75" x14ac:dyDescent="0.25">
      <c r="D1007" s="178"/>
      <c r="E1007" s="212"/>
    </row>
    <row r="1008" spans="3:5" x14ac:dyDescent="0.25">
      <c r="D1008" s="78"/>
      <c r="E1008" s="78"/>
    </row>
    <row r="1009" spans="4:8" ht="15.75" x14ac:dyDescent="0.25">
      <c r="D1009" s="78" t="s">
        <v>596</v>
      </c>
      <c r="E1009" s="189">
        <f>SUM(E989:E1008)</f>
        <v>169323.41999999995</v>
      </c>
    </row>
    <row r="1011" spans="4:8" x14ac:dyDescent="0.25">
      <c r="D1011" t="s">
        <v>361</v>
      </c>
      <c r="E1011" s="121">
        <v>1342</v>
      </c>
    </row>
    <row r="1013" spans="4:8" ht="18.75" x14ac:dyDescent="0.3">
      <c r="E1013" s="280">
        <f>E1009+E1011</f>
        <v>170665.41999999995</v>
      </c>
    </row>
    <row r="1017" spans="4:8" x14ac:dyDescent="0.25">
      <c r="E1017" s="121"/>
    </row>
    <row r="1018" spans="4:8" x14ac:dyDescent="0.25">
      <c r="H1018" s="121">
        <f>F1028/590</f>
        <v>10.5</v>
      </c>
    </row>
    <row r="1025" spans="3:11" ht="18.75" x14ac:dyDescent="0.3">
      <c r="C1025" s="314" t="s">
        <v>1209</v>
      </c>
      <c r="D1025" s="315"/>
      <c r="E1025" s="315"/>
      <c r="F1025" s="315"/>
      <c r="G1025" s="315"/>
      <c r="H1025" s="315"/>
      <c r="I1025" s="315"/>
      <c r="J1025" s="315"/>
      <c r="K1025" s="315"/>
    </row>
    <row r="1026" spans="3:11" x14ac:dyDescent="0.25">
      <c r="C1026" s="78"/>
      <c r="D1026" s="78"/>
      <c r="E1026" s="78"/>
      <c r="F1026" s="78"/>
      <c r="G1026" s="78"/>
      <c r="H1026" s="78"/>
      <c r="I1026" s="78"/>
      <c r="J1026" s="78"/>
      <c r="K1026" s="78"/>
    </row>
    <row r="1027" spans="3:11" ht="15.75" x14ac:dyDescent="0.25">
      <c r="C1027" s="118" t="s">
        <v>223</v>
      </c>
      <c r="D1027" s="118" t="s">
        <v>206</v>
      </c>
      <c r="E1027" s="118" t="s">
        <v>207</v>
      </c>
      <c r="F1027" s="118" t="s">
        <v>218</v>
      </c>
      <c r="G1027" s="78"/>
      <c r="H1027" s="120" t="s">
        <v>6</v>
      </c>
      <c r="I1027" s="120" t="s">
        <v>217</v>
      </c>
      <c r="J1027" s="120" t="s">
        <v>207</v>
      </c>
      <c r="K1027" s="120" t="s">
        <v>218</v>
      </c>
    </row>
    <row r="1028" spans="3:11" x14ac:dyDescent="0.25">
      <c r="C1028" s="276">
        <v>46178</v>
      </c>
      <c r="D1028" s="247" t="s">
        <v>1151</v>
      </c>
      <c r="E1028" s="118" t="s">
        <v>1194</v>
      </c>
      <c r="F1028" s="248">
        <v>6195</v>
      </c>
      <c r="G1028" s="78"/>
      <c r="H1028" s="117"/>
      <c r="I1028" s="78"/>
      <c r="J1028" s="78"/>
      <c r="K1028" s="119"/>
    </row>
    <row r="1029" spans="3:11" x14ac:dyDescent="0.25">
      <c r="C1029" s="276">
        <v>46178</v>
      </c>
      <c r="D1029" s="247" t="s">
        <v>1152</v>
      </c>
      <c r="E1029" s="118" t="s">
        <v>1215</v>
      </c>
      <c r="F1029" s="248">
        <v>3800</v>
      </c>
      <c r="G1029" s="78"/>
      <c r="H1029" s="117">
        <v>46037</v>
      </c>
      <c r="I1029" s="149" t="s">
        <v>66</v>
      </c>
      <c r="J1029" s="78" t="s">
        <v>222</v>
      </c>
      <c r="K1029" s="119">
        <v>2120</v>
      </c>
    </row>
    <row r="1030" spans="3:11" ht="15.75" x14ac:dyDescent="0.25">
      <c r="C1030" s="269">
        <v>46087</v>
      </c>
      <c r="D1030" s="270" t="s">
        <v>214</v>
      </c>
      <c r="E1030" s="270" t="s">
        <v>211</v>
      </c>
      <c r="F1030" s="271">
        <v>2800</v>
      </c>
      <c r="G1030" s="78"/>
      <c r="H1030" s="184">
        <v>46170</v>
      </c>
      <c r="I1030" s="78" t="s">
        <v>1060</v>
      </c>
      <c r="J1030" s="185"/>
      <c r="K1030" s="140">
        <v>1400</v>
      </c>
    </row>
    <row r="1031" spans="3:11" ht="15.75" x14ac:dyDescent="0.25">
      <c r="C1031" s="78"/>
      <c r="D1031" s="201" t="s">
        <v>429</v>
      </c>
      <c r="E1031" s="201"/>
      <c r="F1031" s="183">
        <v>170801.57</v>
      </c>
      <c r="G1031" s="78"/>
      <c r="H1031" s="184"/>
      <c r="I1031" s="78" t="s">
        <v>1084</v>
      </c>
      <c r="J1031" s="185"/>
      <c r="K1031" s="140">
        <v>189000</v>
      </c>
    </row>
    <row r="1032" spans="3:11" ht="15.75" x14ac:dyDescent="0.25">
      <c r="C1032" s="117">
        <v>46156</v>
      </c>
      <c r="D1032" s="78" t="s">
        <v>353</v>
      </c>
      <c r="E1032" s="166"/>
      <c r="F1032" s="167">
        <v>1084</v>
      </c>
      <c r="G1032" s="119"/>
      <c r="H1032" s="184"/>
      <c r="I1032" s="78" t="s">
        <v>1149</v>
      </c>
      <c r="J1032" s="185"/>
      <c r="K1032" s="140">
        <v>4800</v>
      </c>
    </row>
    <row r="1033" spans="3:11" ht="15.75" x14ac:dyDescent="0.25">
      <c r="C1033" s="117">
        <v>46156</v>
      </c>
      <c r="D1033" s="78" t="s">
        <v>471</v>
      </c>
      <c r="E1033" s="166"/>
      <c r="F1033" s="167">
        <v>3902</v>
      </c>
      <c r="G1033" s="119"/>
      <c r="H1033" s="184"/>
      <c r="I1033" s="78" t="s">
        <v>281</v>
      </c>
      <c r="J1033" s="185"/>
      <c r="K1033" s="140">
        <v>6660</v>
      </c>
    </row>
    <row r="1034" spans="3:11" x14ac:dyDescent="0.25">
      <c r="C1034" s="117">
        <v>46156</v>
      </c>
      <c r="D1034" s="78" t="s">
        <v>148</v>
      </c>
      <c r="E1034" s="166"/>
      <c r="F1034" s="167">
        <v>5785</v>
      </c>
      <c r="G1034" s="78"/>
      <c r="H1034" s="117"/>
      <c r="I1034" s="78"/>
      <c r="J1034" s="78"/>
      <c r="K1034" s="119"/>
    </row>
    <row r="1035" spans="3:11" ht="18.75" x14ac:dyDescent="0.3">
      <c r="C1035" s="117">
        <v>46161</v>
      </c>
      <c r="D1035" s="78" t="s">
        <v>995</v>
      </c>
      <c r="E1035" s="166"/>
      <c r="F1035" s="167">
        <v>4142.82</v>
      </c>
      <c r="G1035" s="78"/>
      <c r="H1035" s="78"/>
      <c r="I1035" s="126" t="s">
        <v>226</v>
      </c>
      <c r="J1035" s="126"/>
      <c r="K1035" s="127">
        <f>SUM(K1028:K1034)</f>
        <v>203980</v>
      </c>
    </row>
    <row r="1036" spans="3:11" x14ac:dyDescent="0.25">
      <c r="C1036" s="117">
        <v>46163</v>
      </c>
      <c r="D1036" s="78" t="s">
        <v>999</v>
      </c>
      <c r="E1036" s="166"/>
      <c r="F1036" s="167">
        <v>4510</v>
      </c>
      <c r="G1036" s="78"/>
    </row>
    <row r="1037" spans="3:11" x14ac:dyDescent="0.25">
      <c r="C1037" s="257"/>
      <c r="D1037" s="258" t="s">
        <v>1093</v>
      </c>
      <c r="E1037" s="214"/>
      <c r="F1037" s="219">
        <v>1050</v>
      </c>
      <c r="G1037" s="78"/>
      <c r="K1037" s="121"/>
    </row>
    <row r="1038" spans="3:11" x14ac:dyDescent="0.25">
      <c r="C1038" s="257"/>
      <c r="D1038" s="258" t="s">
        <v>497</v>
      </c>
      <c r="E1038" s="214"/>
      <c r="F1038" s="219">
        <v>2570</v>
      </c>
      <c r="G1038" s="78"/>
      <c r="J1038" s="121"/>
    </row>
    <row r="1039" spans="3:11" x14ac:dyDescent="0.25">
      <c r="C1039" s="257">
        <v>46179</v>
      </c>
      <c r="D1039" s="258" t="s">
        <v>923</v>
      </c>
      <c r="E1039" s="214"/>
      <c r="F1039" s="219">
        <v>8650</v>
      </c>
      <c r="J1039" s="121"/>
    </row>
    <row r="1040" spans="3:11" x14ac:dyDescent="0.25">
      <c r="C1040" s="257"/>
      <c r="D1040" s="258"/>
      <c r="E1040" s="214"/>
      <c r="F1040" s="219"/>
    </row>
    <row r="1041" spans="3:13" ht="15.75" x14ac:dyDescent="0.25">
      <c r="C1041" s="257"/>
      <c r="D1041" s="258"/>
      <c r="E1041" s="214"/>
      <c r="F1041" s="219"/>
      <c r="H1041" s="316" t="s">
        <v>227</v>
      </c>
      <c r="I1041" s="317"/>
      <c r="J1041" s="140">
        <f>F1054-K1035</f>
        <v>86791.160000000033</v>
      </c>
    </row>
    <row r="1042" spans="3:13" ht="15.75" x14ac:dyDescent="0.25">
      <c r="C1042" s="257"/>
      <c r="D1042" s="258" t="s">
        <v>93</v>
      </c>
      <c r="E1042" s="214"/>
      <c r="F1042" s="285">
        <v>488.4</v>
      </c>
      <c r="J1042" s="89"/>
    </row>
    <row r="1043" spans="3:13" ht="15.75" x14ac:dyDescent="0.25">
      <c r="C1043" s="257"/>
      <c r="D1043" s="258"/>
      <c r="E1043" s="214"/>
      <c r="F1043" s="219"/>
      <c r="H1043" s="128" t="s">
        <v>285</v>
      </c>
      <c r="J1043" s="124">
        <f>E1086</f>
        <v>28725.099999999995</v>
      </c>
    </row>
    <row r="1044" spans="3:13" ht="15.75" x14ac:dyDescent="0.25">
      <c r="C1044" s="257"/>
      <c r="D1044" s="286" t="s">
        <v>1197</v>
      </c>
      <c r="E1044" s="254" t="s">
        <v>1214</v>
      </c>
      <c r="F1044" s="287">
        <v>29271.32</v>
      </c>
    </row>
    <row r="1045" spans="3:13" x14ac:dyDescent="0.25">
      <c r="C1045" s="257"/>
      <c r="D1045" s="258"/>
      <c r="E1045" s="214"/>
      <c r="F1045" s="219"/>
    </row>
    <row r="1046" spans="3:13" x14ac:dyDescent="0.25">
      <c r="C1046" s="257"/>
      <c r="D1046" s="258"/>
      <c r="E1046" s="214"/>
      <c r="F1046" s="219"/>
    </row>
    <row r="1047" spans="3:13" ht="21" x14ac:dyDescent="0.35">
      <c r="C1047" s="266">
        <v>46175</v>
      </c>
      <c r="D1047" s="267" t="s">
        <v>1059</v>
      </c>
      <c r="E1047" s="268" t="s">
        <v>1116</v>
      </c>
      <c r="F1047" s="265">
        <v>1473.68</v>
      </c>
      <c r="G1047" s="121"/>
      <c r="I1047" s="198" t="s">
        <v>286</v>
      </c>
      <c r="J1047" s="137">
        <f>SUM(J1041:J1043)</f>
        <v>115516.26000000002</v>
      </c>
    </row>
    <row r="1048" spans="3:13" x14ac:dyDescent="0.25">
      <c r="C1048" s="117"/>
      <c r="D1048" s="78"/>
      <c r="E1048" s="166"/>
      <c r="F1048" s="167"/>
      <c r="J1048" s="157">
        <v>115845.91</v>
      </c>
      <c r="K1048" s="39" t="s">
        <v>76</v>
      </c>
    </row>
    <row r="1049" spans="3:13" x14ac:dyDescent="0.25">
      <c r="C1049" s="78"/>
      <c r="D1049" s="78"/>
      <c r="E1049" s="78"/>
      <c r="F1049" s="122">
        <f>SUM(F1028:F1048)</f>
        <v>246523.79</v>
      </c>
    </row>
    <row r="1050" spans="3:13" ht="18.75" x14ac:dyDescent="0.3">
      <c r="F1050" s="157"/>
      <c r="J1050" s="264">
        <f>J1047-J1048</f>
        <v>-329.64999999997963</v>
      </c>
    </row>
    <row r="1051" spans="3:13" x14ac:dyDescent="0.25">
      <c r="E1051" s="101" t="s">
        <v>224</v>
      </c>
      <c r="F1051" s="101">
        <v>44247.37</v>
      </c>
    </row>
    <row r="1052" spans="3:13" x14ac:dyDescent="0.25">
      <c r="C1052" s="121"/>
      <c r="M1052" s="121"/>
    </row>
    <row r="1053" spans="3:13" x14ac:dyDescent="0.25">
      <c r="G1053">
        <v>44247.37</v>
      </c>
      <c r="L1053">
        <f>5802-1900</f>
        <v>3902</v>
      </c>
    </row>
    <row r="1054" spans="3:13" ht="18.75" x14ac:dyDescent="0.3">
      <c r="C1054" s="121"/>
      <c r="E1054" s="99" t="s">
        <v>225</v>
      </c>
      <c r="F1054" s="125">
        <f>SUM(F1049+F1051)</f>
        <v>290771.16000000003</v>
      </c>
    </row>
    <row r="1055" spans="3:13" x14ac:dyDescent="0.25">
      <c r="C1055" s="121"/>
    </row>
    <row r="1056" spans="3:13" x14ac:dyDescent="0.25">
      <c r="C1056" s="121"/>
    </row>
    <row r="1057" spans="3:10" ht="18.75" x14ac:dyDescent="0.3">
      <c r="H1057" s="99"/>
      <c r="I1057" s="340" t="s">
        <v>497</v>
      </c>
      <c r="J1057" s="340"/>
    </row>
    <row r="1058" spans="3:10" x14ac:dyDescent="0.25">
      <c r="I1058" s="151" t="s">
        <v>1121</v>
      </c>
      <c r="J1058" s="121">
        <v>50</v>
      </c>
    </row>
    <row r="1059" spans="3:10" x14ac:dyDescent="0.25">
      <c r="I1059" s="151" t="s">
        <v>1140</v>
      </c>
      <c r="J1059" s="121">
        <v>1600</v>
      </c>
    </row>
    <row r="1060" spans="3:10" x14ac:dyDescent="0.25">
      <c r="H1060" s="91">
        <v>46185</v>
      </c>
      <c r="I1060" s="151" t="s">
        <v>1140</v>
      </c>
      <c r="J1060" s="121">
        <v>920</v>
      </c>
    </row>
    <row r="1061" spans="3:10" x14ac:dyDescent="0.25">
      <c r="I1061" s="163"/>
    </row>
    <row r="1062" spans="3:10" x14ac:dyDescent="0.25">
      <c r="C1062" s="91"/>
      <c r="I1062" s="163"/>
      <c r="J1062" s="157">
        <f>SUM(J1058:J1060)</f>
        <v>2570</v>
      </c>
    </row>
    <row r="1063" spans="3:10" x14ac:dyDescent="0.25">
      <c r="I1063" s="163"/>
    </row>
    <row r="1064" spans="3:10" ht="15.75" x14ac:dyDescent="0.25">
      <c r="D1064" s="132" t="s">
        <v>235</v>
      </c>
      <c r="E1064" s="133">
        <v>60884.9</v>
      </c>
    </row>
    <row r="1065" spans="3:10" ht="21" x14ac:dyDescent="0.35">
      <c r="D1065" s="148" t="s">
        <v>1173</v>
      </c>
      <c r="E1065" s="144">
        <v>-100</v>
      </c>
      <c r="I1065" s="262"/>
      <c r="J1065" s="263"/>
    </row>
    <row r="1066" spans="3:10" ht="15.75" x14ac:dyDescent="0.25">
      <c r="D1066" s="148" t="s">
        <v>1113</v>
      </c>
      <c r="E1066" s="144">
        <v>-13</v>
      </c>
    </row>
    <row r="1067" spans="3:10" ht="15.75" x14ac:dyDescent="0.25">
      <c r="D1067" s="128" t="s">
        <v>1176</v>
      </c>
      <c r="E1067" s="171">
        <v>150</v>
      </c>
    </row>
    <row r="1068" spans="3:10" ht="15.75" x14ac:dyDescent="0.25">
      <c r="D1068" s="148" t="s">
        <v>1178</v>
      </c>
      <c r="E1068" s="144">
        <v>-140</v>
      </c>
    </row>
    <row r="1069" spans="3:10" ht="15.75" x14ac:dyDescent="0.25">
      <c r="D1069" s="128" t="s">
        <v>1128</v>
      </c>
      <c r="E1069" s="171">
        <v>9390.5</v>
      </c>
    </row>
    <row r="1070" spans="3:10" ht="15.75" x14ac:dyDescent="0.25">
      <c r="C1070" s="91">
        <v>46182</v>
      </c>
      <c r="D1070" s="128" t="s">
        <v>1181</v>
      </c>
      <c r="E1070" s="171">
        <v>3500</v>
      </c>
      <c r="H1070" s="121"/>
    </row>
    <row r="1071" spans="3:10" ht="15.75" x14ac:dyDescent="0.25">
      <c r="D1071" s="148" t="s">
        <v>954</v>
      </c>
      <c r="E1071" s="144">
        <v>-40</v>
      </c>
    </row>
    <row r="1072" spans="3:10" ht="15.75" x14ac:dyDescent="0.25">
      <c r="D1072" s="128" t="s">
        <v>1187</v>
      </c>
      <c r="E1072" s="171">
        <v>10000</v>
      </c>
      <c r="I1072" s="121"/>
    </row>
    <row r="1073" spans="3:11" ht="15.75" x14ac:dyDescent="0.25">
      <c r="D1073" s="128" t="s">
        <v>963</v>
      </c>
      <c r="E1073" s="171">
        <v>-68000</v>
      </c>
      <c r="K1073" s="121"/>
    </row>
    <row r="1074" spans="3:11" ht="15.75" x14ac:dyDescent="0.25">
      <c r="C1074" s="91">
        <v>46183</v>
      </c>
      <c r="D1074" s="128" t="s">
        <v>1193</v>
      </c>
      <c r="E1074" s="171">
        <v>260</v>
      </c>
    </row>
    <row r="1075" spans="3:11" ht="15.75" x14ac:dyDescent="0.25">
      <c r="D1075" s="128" t="s">
        <v>272</v>
      </c>
      <c r="E1075" s="171">
        <v>-197.5</v>
      </c>
    </row>
    <row r="1076" spans="3:11" ht="15.75" x14ac:dyDescent="0.25">
      <c r="D1076" s="128" t="s">
        <v>1200</v>
      </c>
      <c r="E1076" s="171">
        <v>-30</v>
      </c>
    </row>
    <row r="1077" spans="3:11" ht="15.75" x14ac:dyDescent="0.25">
      <c r="D1077" s="128" t="s">
        <v>1113</v>
      </c>
      <c r="E1077" s="171">
        <v>-13</v>
      </c>
    </row>
    <row r="1078" spans="3:11" ht="15.75" x14ac:dyDescent="0.25">
      <c r="D1078" s="148" t="s">
        <v>954</v>
      </c>
      <c r="E1078" s="144">
        <v>-150</v>
      </c>
    </row>
    <row r="1079" spans="3:11" ht="15.75" x14ac:dyDescent="0.25">
      <c r="D1079" s="148" t="s">
        <v>1201</v>
      </c>
      <c r="E1079" s="144">
        <v>988.2</v>
      </c>
    </row>
    <row r="1080" spans="3:11" ht="15.75" x14ac:dyDescent="0.25">
      <c r="D1080" s="148" t="s">
        <v>1202</v>
      </c>
      <c r="E1080" s="144">
        <v>6875</v>
      </c>
    </row>
    <row r="1081" spans="3:11" ht="15.75" x14ac:dyDescent="0.25">
      <c r="C1081" s="91">
        <v>46184</v>
      </c>
      <c r="D1081" s="148" t="s">
        <v>1206</v>
      </c>
      <c r="E1081" s="144">
        <v>2610</v>
      </c>
    </row>
    <row r="1082" spans="3:11" ht="15.75" x14ac:dyDescent="0.25">
      <c r="D1082" s="199" t="s">
        <v>357</v>
      </c>
      <c r="E1082" s="200">
        <v>2750</v>
      </c>
    </row>
    <row r="1083" spans="3:11" ht="15.75" x14ac:dyDescent="0.25">
      <c r="D1083" s="128"/>
      <c r="E1083" s="171"/>
    </row>
    <row r="1084" spans="3:11" ht="15.75" x14ac:dyDescent="0.25">
      <c r="E1084" s="171"/>
    </row>
    <row r="1085" spans="3:11" x14ac:dyDescent="0.25">
      <c r="E1085" s="121"/>
    </row>
    <row r="1086" spans="3:11" ht="15.75" x14ac:dyDescent="0.25">
      <c r="D1086" s="132" t="s">
        <v>236</v>
      </c>
      <c r="E1086" s="133">
        <f>SUM(E1064:E1085)</f>
        <v>28725.099999999995</v>
      </c>
    </row>
    <row r="1089" spans="3:10" x14ac:dyDescent="0.25">
      <c r="E1089">
        <v>-11.9</v>
      </c>
      <c r="I1089" t="s">
        <v>1191</v>
      </c>
    </row>
    <row r="1090" spans="3:10" x14ac:dyDescent="0.25">
      <c r="I1090" t="s">
        <v>1179</v>
      </c>
      <c r="J1090" t="s">
        <v>353</v>
      </c>
    </row>
    <row r="1091" spans="3:10" x14ac:dyDescent="0.25">
      <c r="D1091" s="39"/>
      <c r="E1091" s="157">
        <f>SUM(E1086:E1090)</f>
        <v>28713.199999999993</v>
      </c>
    </row>
    <row r="1092" spans="3:10" x14ac:dyDescent="0.25">
      <c r="D1092" s="39"/>
      <c r="E1092" s="157"/>
    </row>
    <row r="1095" spans="3:10" ht="18.75" x14ac:dyDescent="0.3">
      <c r="C1095" s="91">
        <v>46182</v>
      </c>
      <c r="D1095" s="333" t="s">
        <v>1125</v>
      </c>
      <c r="E1095" s="333"/>
    </row>
    <row r="1096" spans="3:10" ht="15.75" x14ac:dyDescent="0.25">
      <c r="D1096" s="166" t="s">
        <v>429</v>
      </c>
      <c r="E1096" s="140">
        <v>134284.01999999999</v>
      </c>
    </row>
    <row r="1097" spans="3:10" ht="15.75" x14ac:dyDescent="0.25">
      <c r="D1097" t="s">
        <v>1174</v>
      </c>
      <c r="E1097" s="171">
        <v>2580</v>
      </c>
    </row>
    <row r="1098" spans="3:10" ht="15.75" x14ac:dyDescent="0.25">
      <c r="D1098" s="178" t="s">
        <v>1177</v>
      </c>
      <c r="E1098" s="212">
        <v>-150</v>
      </c>
    </row>
    <row r="1099" spans="3:10" ht="15.75" x14ac:dyDescent="0.25">
      <c r="D1099" s="178" t="s">
        <v>886</v>
      </c>
      <c r="E1099" s="212">
        <v>-1500</v>
      </c>
    </row>
    <row r="1100" spans="3:10" ht="15.75" x14ac:dyDescent="0.25">
      <c r="D1100" s="178" t="s">
        <v>1188</v>
      </c>
      <c r="E1100" s="212">
        <v>-20</v>
      </c>
    </row>
    <row r="1101" spans="3:10" ht="15.75" x14ac:dyDescent="0.25">
      <c r="D1101" s="178" t="s">
        <v>1189</v>
      </c>
      <c r="E1101" s="212">
        <v>-1350</v>
      </c>
    </row>
    <row r="1102" spans="3:10" ht="15.75" x14ac:dyDescent="0.25">
      <c r="D1102" s="178" t="s">
        <v>250</v>
      </c>
      <c r="E1102" s="212">
        <v>-373.63</v>
      </c>
    </row>
    <row r="1103" spans="3:10" ht="15.75" x14ac:dyDescent="0.25">
      <c r="D1103" s="178" t="s">
        <v>964</v>
      </c>
      <c r="E1103" s="212">
        <v>35000</v>
      </c>
    </row>
    <row r="1104" spans="3:10" ht="15.75" x14ac:dyDescent="0.25">
      <c r="D1104" s="178" t="s">
        <v>964</v>
      </c>
      <c r="E1104" s="212">
        <v>18000</v>
      </c>
    </row>
    <row r="1105" spans="3:5" ht="15.75" x14ac:dyDescent="0.25">
      <c r="D1105" s="178" t="s">
        <v>535</v>
      </c>
      <c r="E1105" s="212">
        <v>-2.75</v>
      </c>
    </row>
    <row r="1106" spans="3:5" ht="15.75" x14ac:dyDescent="0.25">
      <c r="C1106" s="91">
        <v>46183</v>
      </c>
      <c r="D1106" s="214" t="s">
        <v>1195</v>
      </c>
      <c r="E1106" s="210">
        <v>15000</v>
      </c>
    </row>
    <row r="1107" spans="3:5" ht="15.75" x14ac:dyDescent="0.25">
      <c r="D1107" s="214" t="s">
        <v>1196</v>
      </c>
      <c r="E1107" s="210">
        <v>1900</v>
      </c>
    </row>
    <row r="1108" spans="3:5" ht="15.75" x14ac:dyDescent="0.25">
      <c r="D1108" s="214" t="s">
        <v>1198</v>
      </c>
      <c r="E1108" s="210">
        <v>-13421.03</v>
      </c>
    </row>
    <row r="1109" spans="3:5" ht="15.75" x14ac:dyDescent="0.25">
      <c r="D1109" s="178" t="s">
        <v>535</v>
      </c>
      <c r="E1109" s="212">
        <v>-1.7</v>
      </c>
    </row>
    <row r="1110" spans="3:5" ht="15.75" x14ac:dyDescent="0.25">
      <c r="D1110" s="178" t="s">
        <v>82</v>
      </c>
      <c r="E1110" s="212">
        <v>-9870</v>
      </c>
    </row>
    <row r="1111" spans="3:5" x14ac:dyDescent="0.25">
      <c r="C1111" s="91">
        <v>46184</v>
      </c>
      <c r="D1111" t="s">
        <v>1205</v>
      </c>
      <c r="E1111">
        <v>5100</v>
      </c>
    </row>
    <row r="1112" spans="3:5" ht="15.75" x14ac:dyDescent="0.25">
      <c r="D1112" s="178" t="s">
        <v>1208</v>
      </c>
      <c r="E1112" s="212">
        <v>-15850.29</v>
      </c>
    </row>
    <row r="1113" spans="3:5" ht="15.75" x14ac:dyDescent="0.25">
      <c r="D1113" s="178" t="s">
        <v>535</v>
      </c>
      <c r="E1113" s="212">
        <v>-1.2</v>
      </c>
    </row>
    <row r="1114" spans="3:5" ht="15.75" x14ac:dyDescent="0.25">
      <c r="C1114" s="91">
        <v>46185</v>
      </c>
      <c r="D1114" s="178" t="s">
        <v>272</v>
      </c>
      <c r="E1114" s="212">
        <v>-421.8</v>
      </c>
    </row>
    <row r="1115" spans="3:5" ht="15.75" x14ac:dyDescent="0.25">
      <c r="D1115" s="214" t="s">
        <v>471</v>
      </c>
      <c r="E1115" s="210">
        <v>1900</v>
      </c>
    </row>
    <row r="1116" spans="3:5" ht="15.75" x14ac:dyDescent="0.25">
      <c r="D1116" s="214" t="s">
        <v>535</v>
      </c>
      <c r="E1116" s="210">
        <v>-0.05</v>
      </c>
    </row>
    <row r="1117" spans="3:5" ht="15.75" x14ac:dyDescent="0.25">
      <c r="D1117" s="214"/>
      <c r="E1117" s="210"/>
    </row>
    <row r="1118" spans="3:5" ht="15.75" x14ac:dyDescent="0.25">
      <c r="D1118" s="178"/>
      <c r="E1118" s="212"/>
    </row>
    <row r="1119" spans="3:5" x14ac:dyDescent="0.25">
      <c r="D1119" s="78"/>
      <c r="E1119" s="78"/>
    </row>
    <row r="1120" spans="3:5" ht="15.75" x14ac:dyDescent="0.25">
      <c r="D1120" s="78" t="s">
        <v>596</v>
      </c>
      <c r="E1120" s="189">
        <f>SUM(E1096:E1119)</f>
        <v>170801.56999999998</v>
      </c>
    </row>
    <row r="1122" spans="3:11" x14ac:dyDescent="0.25">
      <c r="D1122" t="s">
        <v>361</v>
      </c>
      <c r="E1122" s="121">
        <v>1342</v>
      </c>
      <c r="H1122" s="121"/>
    </row>
    <row r="1124" spans="3:11" ht="18.75" x14ac:dyDescent="0.3">
      <c r="E1124" s="280">
        <f>E1120+E1122</f>
        <v>172143.56999999998</v>
      </c>
    </row>
    <row r="1128" spans="3:11" x14ac:dyDescent="0.25">
      <c r="E1128" s="121"/>
      <c r="F1128">
        <f>30-23.5</f>
        <v>6.5</v>
      </c>
    </row>
    <row r="1135" spans="3:11" ht="18.75" x14ac:dyDescent="0.3">
      <c r="C1135" s="314" t="s">
        <v>1216</v>
      </c>
      <c r="D1135" s="315"/>
      <c r="E1135" s="315"/>
      <c r="F1135" s="315"/>
      <c r="G1135" s="315"/>
      <c r="H1135" s="315"/>
      <c r="I1135" s="315"/>
      <c r="J1135" s="315"/>
      <c r="K1135" s="315"/>
    </row>
    <row r="1136" spans="3:11" x14ac:dyDescent="0.25">
      <c r="C1136" s="78"/>
      <c r="D1136" s="78"/>
      <c r="E1136" s="78"/>
      <c r="F1136" s="78"/>
      <c r="G1136" s="78"/>
      <c r="H1136" s="78"/>
      <c r="I1136" s="78"/>
      <c r="J1136" s="78"/>
      <c r="K1136" s="78"/>
    </row>
    <row r="1137" spans="3:11" ht="15.75" x14ac:dyDescent="0.25">
      <c r="C1137" s="118" t="s">
        <v>223</v>
      </c>
      <c r="D1137" s="118" t="s">
        <v>206</v>
      </c>
      <c r="E1137" s="118" t="s">
        <v>207</v>
      </c>
      <c r="F1137" s="118" t="s">
        <v>218</v>
      </c>
      <c r="G1137" s="78"/>
      <c r="H1137" s="120" t="s">
        <v>6</v>
      </c>
      <c r="I1137" s="120" t="s">
        <v>217</v>
      </c>
      <c r="J1137" s="120" t="s">
        <v>207</v>
      </c>
      <c r="K1137" s="120" t="s">
        <v>218</v>
      </c>
    </row>
    <row r="1138" spans="3:11" x14ac:dyDescent="0.25">
      <c r="C1138" s="276">
        <v>46178</v>
      </c>
      <c r="D1138" s="247" t="s">
        <v>1151</v>
      </c>
      <c r="E1138" s="118" t="s">
        <v>1218</v>
      </c>
      <c r="F1138" s="248">
        <v>3835</v>
      </c>
      <c r="G1138" s="78"/>
      <c r="H1138" s="117"/>
      <c r="I1138" s="78"/>
      <c r="J1138" s="78"/>
      <c r="K1138" s="119"/>
    </row>
    <row r="1139" spans="3:11" x14ac:dyDescent="0.25">
      <c r="C1139" s="276">
        <v>46178</v>
      </c>
      <c r="D1139" s="247" t="s">
        <v>1152</v>
      </c>
      <c r="E1139" s="118" t="s">
        <v>1217</v>
      </c>
      <c r="F1139" s="248">
        <v>3800</v>
      </c>
      <c r="G1139" s="78"/>
      <c r="H1139" s="117">
        <v>46037</v>
      </c>
      <c r="I1139" s="149" t="s">
        <v>66</v>
      </c>
      <c r="J1139" s="78" t="s">
        <v>222</v>
      </c>
      <c r="K1139" s="119">
        <v>2120</v>
      </c>
    </row>
    <row r="1140" spans="3:11" ht="15.75" x14ac:dyDescent="0.25">
      <c r="C1140" s="269">
        <v>46087</v>
      </c>
      <c r="D1140" s="270" t="s">
        <v>214</v>
      </c>
      <c r="E1140" s="270" t="s">
        <v>211</v>
      </c>
      <c r="F1140" s="271">
        <v>2700</v>
      </c>
      <c r="G1140" s="78"/>
      <c r="H1140" s="184">
        <v>46170</v>
      </c>
      <c r="I1140" s="78" t="s">
        <v>1060</v>
      </c>
      <c r="J1140" s="185"/>
      <c r="K1140" s="140">
        <v>1400</v>
      </c>
    </row>
    <row r="1141" spans="3:11" ht="15.75" x14ac:dyDescent="0.25">
      <c r="C1141" s="78"/>
      <c r="D1141" s="201" t="s">
        <v>429</v>
      </c>
      <c r="E1141" s="201"/>
      <c r="F1141" s="183">
        <v>170801.57</v>
      </c>
      <c r="G1141" s="78"/>
      <c r="H1141" s="184"/>
      <c r="I1141" s="78" t="s">
        <v>1084</v>
      </c>
      <c r="J1141" s="185"/>
      <c r="K1141" s="140">
        <v>189000</v>
      </c>
    </row>
    <row r="1142" spans="3:11" ht="15.75" x14ac:dyDescent="0.25">
      <c r="C1142" s="117">
        <v>46156</v>
      </c>
      <c r="D1142" s="78" t="s">
        <v>353</v>
      </c>
      <c r="E1142" s="166"/>
      <c r="F1142" s="167">
        <v>1084</v>
      </c>
      <c r="G1142" s="119"/>
      <c r="H1142" s="184"/>
      <c r="I1142" s="78" t="s">
        <v>281</v>
      </c>
      <c r="J1142" s="185"/>
      <c r="K1142" s="140">
        <v>8850</v>
      </c>
    </row>
    <row r="1143" spans="3:11" x14ac:dyDescent="0.25">
      <c r="C1143" s="117">
        <v>46156</v>
      </c>
      <c r="D1143" s="78" t="s">
        <v>471</v>
      </c>
      <c r="E1143" s="166"/>
      <c r="F1143" s="167">
        <v>3902</v>
      </c>
      <c r="G1143" s="119"/>
      <c r="H1143" s="117"/>
      <c r="I1143" s="78"/>
      <c r="J1143" s="78"/>
      <c r="K1143" s="119"/>
    </row>
    <row r="1144" spans="3:11" ht="18.75" x14ac:dyDescent="0.3">
      <c r="C1144" s="117">
        <v>46156</v>
      </c>
      <c r="D1144" s="78" t="s">
        <v>148</v>
      </c>
      <c r="E1144" s="166"/>
      <c r="F1144" s="167">
        <v>5785</v>
      </c>
      <c r="G1144" s="78"/>
      <c r="H1144" s="78"/>
      <c r="I1144" s="126" t="s">
        <v>226</v>
      </c>
      <c r="J1144" s="126"/>
      <c r="K1144" s="127">
        <f>SUM(K1138:K1143)</f>
        <v>201370</v>
      </c>
    </row>
    <row r="1145" spans="3:11" x14ac:dyDescent="0.25">
      <c r="C1145" s="117">
        <v>46161</v>
      </c>
      <c r="D1145" s="78" t="s">
        <v>995</v>
      </c>
      <c r="E1145" s="166"/>
      <c r="F1145" s="167">
        <v>4142.82</v>
      </c>
      <c r="G1145" s="78"/>
    </row>
    <row r="1146" spans="3:11" x14ac:dyDescent="0.25">
      <c r="C1146" s="117">
        <v>46163</v>
      </c>
      <c r="D1146" s="78" t="s">
        <v>999</v>
      </c>
      <c r="E1146" s="166"/>
      <c r="F1146" s="167">
        <v>4510</v>
      </c>
      <c r="G1146" s="78"/>
      <c r="K1146" s="121"/>
    </row>
    <row r="1147" spans="3:11" x14ac:dyDescent="0.25">
      <c r="C1147" s="257"/>
      <c r="D1147" s="258" t="s">
        <v>1093</v>
      </c>
      <c r="E1147" s="214"/>
      <c r="F1147" s="219">
        <v>1050</v>
      </c>
      <c r="G1147" s="78"/>
      <c r="J1147" s="121"/>
    </row>
    <row r="1148" spans="3:11" x14ac:dyDescent="0.25">
      <c r="C1148" s="257">
        <v>46179</v>
      </c>
      <c r="D1148" s="258" t="s">
        <v>923</v>
      </c>
      <c r="E1148" s="214"/>
      <c r="F1148" s="219">
        <v>8650</v>
      </c>
      <c r="G1148" s="78"/>
      <c r="J1148" s="121"/>
    </row>
    <row r="1149" spans="3:11" x14ac:dyDescent="0.25">
      <c r="C1149" s="257"/>
      <c r="D1149" s="258"/>
      <c r="E1149" s="214"/>
      <c r="F1149" s="219"/>
    </row>
    <row r="1150" spans="3:11" ht="15.75" x14ac:dyDescent="0.25">
      <c r="C1150" s="257"/>
      <c r="D1150" s="258"/>
      <c r="E1150" s="214"/>
      <c r="F1150" s="219"/>
      <c r="H1150" s="316" t="s">
        <v>227</v>
      </c>
      <c r="I1150" s="317"/>
      <c r="J1150" s="140">
        <f>F1163-K1144</f>
        <v>85681.56</v>
      </c>
    </row>
    <row r="1151" spans="3:11" ht="15.75" x14ac:dyDescent="0.25">
      <c r="C1151" s="257"/>
      <c r="D1151" s="258" t="s">
        <v>93</v>
      </c>
      <c r="E1151" s="214"/>
      <c r="F1151" s="285"/>
      <c r="J1151" s="89"/>
    </row>
    <row r="1152" spans="3:11" ht="15.75" x14ac:dyDescent="0.25">
      <c r="C1152" s="257"/>
      <c r="D1152" s="258"/>
      <c r="E1152" s="214"/>
      <c r="F1152" s="219"/>
      <c r="H1152" s="128" t="s">
        <v>285</v>
      </c>
      <c r="J1152" s="124">
        <f>E1202</f>
        <v>29286.399999999998</v>
      </c>
    </row>
    <row r="1153" spans="3:13" ht="15.75" x14ac:dyDescent="0.25">
      <c r="C1153" s="257"/>
      <c r="D1153" s="286" t="s">
        <v>1197</v>
      </c>
      <c r="E1153" s="254" t="s">
        <v>1214</v>
      </c>
      <c r="F1153" s="287">
        <v>29271.32</v>
      </c>
    </row>
    <row r="1154" spans="3:13" x14ac:dyDescent="0.25">
      <c r="C1154" s="257"/>
      <c r="D1154" s="258"/>
      <c r="E1154" s="214"/>
      <c r="F1154" s="219"/>
    </row>
    <row r="1155" spans="3:13" x14ac:dyDescent="0.25">
      <c r="C1155" s="257"/>
      <c r="D1155" s="258"/>
      <c r="E1155" s="214"/>
      <c r="F1155" s="219"/>
    </row>
    <row r="1156" spans="3:13" ht="21" x14ac:dyDescent="0.35">
      <c r="C1156" s="266">
        <v>46175</v>
      </c>
      <c r="D1156" s="267" t="s">
        <v>1059</v>
      </c>
      <c r="E1156" s="268" t="s">
        <v>1116</v>
      </c>
      <c r="F1156" s="265">
        <v>1473.68</v>
      </c>
      <c r="I1156" s="198" t="s">
        <v>286</v>
      </c>
      <c r="J1156" s="137">
        <f>SUM(J1150:J1152)</f>
        <v>114967.95999999999</v>
      </c>
    </row>
    <row r="1157" spans="3:13" x14ac:dyDescent="0.25">
      <c r="C1157" s="117"/>
      <c r="D1157" s="78"/>
      <c r="E1157" s="166"/>
      <c r="F1157" s="167"/>
      <c r="G1157" s="121"/>
      <c r="J1157" s="157">
        <v>115516.26</v>
      </c>
      <c r="K1157" s="39" t="s">
        <v>76</v>
      </c>
    </row>
    <row r="1158" spans="3:13" x14ac:dyDescent="0.25">
      <c r="C1158" s="78"/>
      <c r="D1158" s="78"/>
      <c r="E1158" s="78"/>
      <c r="F1158" s="122">
        <f>SUM(F1138:F1157)</f>
        <v>241005.39</v>
      </c>
    </row>
    <row r="1159" spans="3:13" ht="18.75" x14ac:dyDescent="0.3">
      <c r="F1159" s="157"/>
      <c r="J1159" s="264">
        <f>J1156-J1157</f>
        <v>-548.30000000000291</v>
      </c>
    </row>
    <row r="1160" spans="3:13" x14ac:dyDescent="0.25">
      <c r="E1160" s="101" t="s">
        <v>224</v>
      </c>
      <c r="F1160" s="101">
        <v>46046.17</v>
      </c>
    </row>
    <row r="1161" spans="3:13" x14ac:dyDescent="0.25">
      <c r="C1161" s="121"/>
    </row>
    <row r="1162" spans="3:13" x14ac:dyDescent="0.25">
      <c r="M1162" s="121"/>
    </row>
    <row r="1163" spans="3:13" ht="18.75" x14ac:dyDescent="0.3">
      <c r="C1163" s="121"/>
      <c r="E1163" s="99" t="s">
        <v>225</v>
      </c>
      <c r="F1163" s="125">
        <f>SUM(F1158+F1160)</f>
        <v>287051.56</v>
      </c>
      <c r="L1163">
        <f>5802-1900</f>
        <v>3902</v>
      </c>
    </row>
    <row r="1164" spans="3:13" x14ac:dyDescent="0.25">
      <c r="C1164" s="121"/>
    </row>
    <row r="1165" spans="3:13" x14ac:dyDescent="0.25">
      <c r="C1165" s="121"/>
    </row>
    <row r="1166" spans="3:13" ht="21" x14ac:dyDescent="0.35">
      <c r="H1166" s="99"/>
      <c r="I1166" s="341"/>
      <c r="J1166" s="341"/>
      <c r="L1166">
        <f>30-23.5</f>
        <v>6.5</v>
      </c>
    </row>
    <row r="1167" spans="3:13" x14ac:dyDescent="0.25">
      <c r="I1167" s="151"/>
      <c r="J1167" s="121"/>
      <c r="L1167">
        <f>L1166*590</f>
        <v>3835</v>
      </c>
    </row>
    <row r="1168" spans="3:13" x14ac:dyDescent="0.25">
      <c r="I1168" s="151"/>
      <c r="J1168" s="121"/>
    </row>
    <row r="1169" spans="3:11" x14ac:dyDescent="0.25">
      <c r="H1169" s="91"/>
      <c r="I1169" s="151"/>
      <c r="J1169" s="121"/>
    </row>
    <row r="1170" spans="3:11" x14ac:dyDescent="0.25">
      <c r="I1170" s="163"/>
    </row>
    <row r="1171" spans="3:11" x14ac:dyDescent="0.25">
      <c r="C1171" s="91"/>
      <c r="I1171" s="163"/>
      <c r="J1171" s="157"/>
    </row>
    <row r="1172" spans="3:11" x14ac:dyDescent="0.25">
      <c r="I1172" s="163"/>
      <c r="J1172" s="121"/>
    </row>
    <row r="1173" spans="3:11" ht="15.75" x14ac:dyDescent="0.25">
      <c r="D1173" s="132" t="s">
        <v>235</v>
      </c>
      <c r="E1173" s="133">
        <v>60884.9</v>
      </c>
    </row>
    <row r="1174" spans="3:11" ht="21" x14ac:dyDescent="0.35">
      <c r="D1174" s="148" t="s">
        <v>1173</v>
      </c>
      <c r="E1174" s="144">
        <v>-100</v>
      </c>
      <c r="I1174" s="262"/>
      <c r="J1174" s="262"/>
    </row>
    <row r="1175" spans="3:11" ht="15.75" x14ac:dyDescent="0.25">
      <c r="D1175" s="148" t="s">
        <v>1113</v>
      </c>
      <c r="E1175" s="144">
        <v>-13</v>
      </c>
    </row>
    <row r="1176" spans="3:11" ht="15.75" x14ac:dyDescent="0.25">
      <c r="D1176" s="128" t="s">
        <v>1176</v>
      </c>
      <c r="E1176" s="171">
        <v>150</v>
      </c>
    </row>
    <row r="1177" spans="3:11" ht="15.75" x14ac:dyDescent="0.25">
      <c r="D1177" s="148" t="s">
        <v>1178</v>
      </c>
      <c r="E1177" s="144">
        <v>-140</v>
      </c>
    </row>
    <row r="1178" spans="3:11" ht="15.75" x14ac:dyDescent="0.25">
      <c r="D1178" s="128" t="s">
        <v>1128</v>
      </c>
      <c r="E1178" s="171">
        <v>9390.5</v>
      </c>
    </row>
    <row r="1179" spans="3:11" ht="15.75" x14ac:dyDescent="0.25">
      <c r="C1179" s="91">
        <v>46182</v>
      </c>
      <c r="D1179" s="128" t="s">
        <v>1181</v>
      </c>
      <c r="E1179" s="171">
        <v>3500</v>
      </c>
      <c r="H1179" s="121"/>
    </row>
    <row r="1180" spans="3:11" ht="15.75" x14ac:dyDescent="0.25">
      <c r="D1180" s="148" t="s">
        <v>954</v>
      </c>
      <c r="E1180" s="144">
        <v>-40</v>
      </c>
    </row>
    <row r="1181" spans="3:11" ht="15.75" x14ac:dyDescent="0.25">
      <c r="D1181" s="128" t="s">
        <v>1187</v>
      </c>
      <c r="E1181" s="171">
        <v>10000</v>
      </c>
      <c r="I1181" s="121"/>
    </row>
    <row r="1182" spans="3:11" ht="15.75" x14ac:dyDescent="0.25">
      <c r="D1182" s="128" t="s">
        <v>963</v>
      </c>
      <c r="E1182" s="171">
        <v>-68000</v>
      </c>
      <c r="K1182" s="121"/>
    </row>
    <row r="1183" spans="3:11" ht="15.75" x14ac:dyDescent="0.25">
      <c r="C1183" s="91">
        <v>46183</v>
      </c>
      <c r="D1183" s="128" t="s">
        <v>1193</v>
      </c>
      <c r="E1183" s="171">
        <v>260</v>
      </c>
    </row>
    <row r="1184" spans="3:11" ht="15.75" x14ac:dyDescent="0.25">
      <c r="D1184" s="128" t="s">
        <v>272</v>
      </c>
      <c r="E1184" s="171">
        <v>-197.5</v>
      </c>
    </row>
    <row r="1185" spans="3:5" ht="15.75" x14ac:dyDescent="0.25">
      <c r="D1185" s="128" t="s">
        <v>1200</v>
      </c>
      <c r="E1185" s="171">
        <v>-30</v>
      </c>
    </row>
    <row r="1186" spans="3:5" ht="15.75" x14ac:dyDescent="0.25">
      <c r="D1186" s="128" t="s">
        <v>1113</v>
      </c>
      <c r="E1186" s="171">
        <v>-13</v>
      </c>
    </row>
    <row r="1187" spans="3:5" ht="15.75" x14ac:dyDescent="0.25">
      <c r="D1187" s="148" t="s">
        <v>954</v>
      </c>
      <c r="E1187" s="144">
        <v>-150</v>
      </c>
    </row>
    <row r="1188" spans="3:5" ht="15.75" x14ac:dyDescent="0.25">
      <c r="D1188" s="148" t="s">
        <v>1201</v>
      </c>
      <c r="E1188" s="144">
        <v>988.2</v>
      </c>
    </row>
    <row r="1189" spans="3:5" ht="15.75" x14ac:dyDescent="0.25">
      <c r="D1189" s="148" t="s">
        <v>1202</v>
      </c>
      <c r="E1189" s="144">
        <v>6875</v>
      </c>
    </row>
    <row r="1190" spans="3:5" ht="15.75" x14ac:dyDescent="0.25">
      <c r="C1190" s="91">
        <v>46184</v>
      </c>
      <c r="D1190" s="148" t="s">
        <v>1206</v>
      </c>
      <c r="E1190" s="144">
        <v>2610</v>
      </c>
    </row>
    <row r="1191" spans="3:5" ht="15.75" x14ac:dyDescent="0.25">
      <c r="D1191" s="199" t="s">
        <v>357</v>
      </c>
      <c r="E1191" s="200">
        <v>2750</v>
      </c>
    </row>
    <row r="1192" spans="3:5" ht="15.75" x14ac:dyDescent="0.25">
      <c r="C1192" s="91">
        <v>46186</v>
      </c>
      <c r="D1192" s="199" t="s">
        <v>467</v>
      </c>
      <c r="E1192" s="200">
        <v>-388</v>
      </c>
    </row>
    <row r="1193" spans="3:5" ht="15.75" x14ac:dyDescent="0.25">
      <c r="D1193" s="199" t="s">
        <v>1219</v>
      </c>
      <c r="E1193" s="200">
        <v>488.4</v>
      </c>
    </row>
    <row r="1194" spans="3:5" ht="15.75" x14ac:dyDescent="0.25">
      <c r="D1194" s="199" t="s">
        <v>1220</v>
      </c>
      <c r="E1194" s="171">
        <v>3530.9</v>
      </c>
    </row>
    <row r="1195" spans="3:5" ht="15.75" x14ac:dyDescent="0.25">
      <c r="D1195" s="128" t="s">
        <v>935</v>
      </c>
      <c r="E1195" s="171">
        <v>-410</v>
      </c>
    </row>
    <row r="1196" spans="3:5" ht="15.75" x14ac:dyDescent="0.25">
      <c r="D1196" s="128" t="s">
        <v>576</v>
      </c>
      <c r="E1196" s="171">
        <v>-530</v>
      </c>
    </row>
    <row r="1197" spans="3:5" ht="15.75" x14ac:dyDescent="0.25">
      <c r="D1197" s="128" t="s">
        <v>788</v>
      </c>
      <c r="E1197" s="171">
        <v>100</v>
      </c>
    </row>
    <row r="1198" spans="3:5" ht="15.75" x14ac:dyDescent="0.25">
      <c r="D1198" s="148" t="s">
        <v>1221</v>
      </c>
      <c r="E1198" s="144">
        <v>-2230</v>
      </c>
    </row>
    <row r="1199" spans="3:5" ht="15.75" x14ac:dyDescent="0.25">
      <c r="D1199" s="128"/>
      <c r="E1199" s="171"/>
    </row>
    <row r="1200" spans="3:5" ht="15.75" x14ac:dyDescent="0.25">
      <c r="E1200" s="171"/>
    </row>
    <row r="1201" spans="3:5" x14ac:dyDescent="0.25">
      <c r="E1201" s="121"/>
    </row>
    <row r="1202" spans="3:5" ht="15.75" x14ac:dyDescent="0.25">
      <c r="D1202" s="132" t="s">
        <v>236</v>
      </c>
      <c r="E1202" s="133">
        <f>SUM(E1173:E1201)</f>
        <v>29286.399999999998</v>
      </c>
    </row>
    <row r="1205" spans="3:5" x14ac:dyDescent="0.25">
      <c r="E1205">
        <v>-11.9</v>
      </c>
    </row>
    <row r="1207" spans="3:5" x14ac:dyDescent="0.25">
      <c r="D1207" s="39"/>
      <c r="E1207" s="157">
        <f>SUM(E1202:E1206)</f>
        <v>29274.499999999996</v>
      </c>
    </row>
    <row r="1208" spans="3:5" x14ac:dyDescent="0.25">
      <c r="D1208" s="39"/>
      <c r="E1208" s="157"/>
    </row>
    <row r="1210" spans="3:5" x14ac:dyDescent="0.25">
      <c r="C1210" s="91">
        <v>46182</v>
      </c>
    </row>
    <row r="1211" spans="3:5" ht="18.75" x14ac:dyDescent="0.3">
      <c r="D1211" s="333" t="s">
        <v>1125</v>
      </c>
      <c r="E1211" s="333"/>
    </row>
    <row r="1212" spans="3:5" ht="15.75" x14ac:dyDescent="0.25">
      <c r="D1212" s="166" t="s">
        <v>429</v>
      </c>
      <c r="E1212" s="140">
        <v>134284.01999999999</v>
      </c>
    </row>
    <row r="1213" spans="3:5" ht="15.75" x14ac:dyDescent="0.25">
      <c r="D1213" t="s">
        <v>1174</v>
      </c>
      <c r="E1213" s="171">
        <v>2580</v>
      </c>
    </row>
    <row r="1214" spans="3:5" ht="15.75" x14ac:dyDescent="0.25">
      <c r="D1214" s="178" t="s">
        <v>1177</v>
      </c>
      <c r="E1214" s="212">
        <v>-150</v>
      </c>
    </row>
    <row r="1215" spans="3:5" ht="15.75" x14ac:dyDescent="0.25">
      <c r="D1215" s="178" t="s">
        <v>886</v>
      </c>
      <c r="E1215" s="212">
        <v>-1500</v>
      </c>
    </row>
    <row r="1216" spans="3:5" ht="15.75" x14ac:dyDescent="0.25">
      <c r="D1216" s="178" t="s">
        <v>1188</v>
      </c>
      <c r="E1216" s="212">
        <v>-20</v>
      </c>
    </row>
    <row r="1217" spans="3:8" ht="15.75" x14ac:dyDescent="0.25">
      <c r="D1217" s="178" t="s">
        <v>1189</v>
      </c>
      <c r="E1217" s="212">
        <v>-1350</v>
      </c>
    </row>
    <row r="1218" spans="3:8" ht="15.75" x14ac:dyDescent="0.25">
      <c r="D1218" s="178" t="s">
        <v>250</v>
      </c>
      <c r="E1218" s="212">
        <v>-373.63</v>
      </c>
    </row>
    <row r="1219" spans="3:8" ht="15.75" x14ac:dyDescent="0.25">
      <c r="D1219" s="178" t="s">
        <v>964</v>
      </c>
      <c r="E1219" s="212">
        <v>35000</v>
      </c>
    </row>
    <row r="1220" spans="3:8" ht="15.75" x14ac:dyDescent="0.25">
      <c r="D1220" s="178" t="s">
        <v>964</v>
      </c>
      <c r="E1220" s="212">
        <v>18000</v>
      </c>
    </row>
    <row r="1221" spans="3:8" ht="15.75" x14ac:dyDescent="0.25">
      <c r="C1221" s="91">
        <v>46183</v>
      </c>
      <c r="D1221" s="178" t="s">
        <v>535</v>
      </c>
      <c r="E1221" s="212">
        <v>-2.75</v>
      </c>
    </row>
    <row r="1222" spans="3:8" ht="15.75" x14ac:dyDescent="0.25">
      <c r="D1222" s="214" t="s">
        <v>1195</v>
      </c>
      <c r="E1222" s="210">
        <v>15000</v>
      </c>
    </row>
    <row r="1223" spans="3:8" ht="15.75" x14ac:dyDescent="0.25">
      <c r="D1223" s="214" t="s">
        <v>1196</v>
      </c>
      <c r="E1223" s="210">
        <v>1900</v>
      </c>
    </row>
    <row r="1224" spans="3:8" ht="15.75" x14ac:dyDescent="0.25">
      <c r="D1224" s="214" t="s">
        <v>1198</v>
      </c>
      <c r="E1224" s="210">
        <v>-13421.03</v>
      </c>
    </row>
    <row r="1225" spans="3:8" ht="15.75" x14ac:dyDescent="0.25">
      <c r="D1225" s="178" t="s">
        <v>535</v>
      </c>
      <c r="E1225" s="212">
        <v>-1.7</v>
      </c>
    </row>
    <row r="1226" spans="3:8" ht="15.75" x14ac:dyDescent="0.25">
      <c r="C1226" s="91">
        <v>46184</v>
      </c>
      <c r="D1226" s="178" t="s">
        <v>82</v>
      </c>
      <c r="E1226" s="212">
        <v>-9870</v>
      </c>
    </row>
    <row r="1227" spans="3:8" x14ac:dyDescent="0.25">
      <c r="D1227" t="s">
        <v>1205</v>
      </c>
      <c r="E1227">
        <v>5100</v>
      </c>
    </row>
    <row r="1228" spans="3:8" ht="15.75" x14ac:dyDescent="0.25">
      <c r="D1228" s="178" t="s">
        <v>1208</v>
      </c>
      <c r="E1228" s="212">
        <v>-15850.29</v>
      </c>
    </row>
    <row r="1229" spans="3:8" ht="15.75" x14ac:dyDescent="0.25">
      <c r="C1229" s="91">
        <v>46185</v>
      </c>
      <c r="D1229" s="178" t="s">
        <v>535</v>
      </c>
      <c r="E1229" s="212">
        <v>-1.2</v>
      </c>
    </row>
    <row r="1230" spans="3:8" ht="15.75" x14ac:dyDescent="0.25">
      <c r="D1230" s="178" t="s">
        <v>272</v>
      </c>
      <c r="E1230" s="212">
        <v>-421.8</v>
      </c>
    </row>
    <row r="1231" spans="3:8" ht="15.75" x14ac:dyDescent="0.25">
      <c r="D1231" s="214" t="s">
        <v>471</v>
      </c>
      <c r="E1231" s="210">
        <v>1900</v>
      </c>
    </row>
    <row r="1232" spans="3:8" ht="15.75" x14ac:dyDescent="0.25">
      <c r="D1232" s="214" t="s">
        <v>535</v>
      </c>
      <c r="E1232" s="210">
        <v>-0.05</v>
      </c>
      <c r="H1232" s="121"/>
    </row>
    <row r="1233" spans="4:5" ht="15.75" x14ac:dyDescent="0.25">
      <c r="D1233" s="214"/>
      <c r="E1233" s="210"/>
    </row>
    <row r="1234" spans="4:5" ht="15.75" x14ac:dyDescent="0.25">
      <c r="D1234" s="178"/>
      <c r="E1234" s="212"/>
    </row>
    <row r="1235" spans="4:5" x14ac:dyDescent="0.25">
      <c r="D1235" s="78"/>
      <c r="E1235" s="78"/>
    </row>
    <row r="1236" spans="4:5" ht="15.75" x14ac:dyDescent="0.25">
      <c r="D1236" s="78" t="s">
        <v>596</v>
      </c>
      <c r="E1236" s="189">
        <f>SUM(E1212:E1235)</f>
        <v>170801.56999999998</v>
      </c>
    </row>
    <row r="1238" spans="4:5" x14ac:dyDescent="0.25">
      <c r="D1238" t="s">
        <v>361</v>
      </c>
      <c r="E1238" s="121">
        <v>1342</v>
      </c>
    </row>
    <row r="1240" spans="4:5" ht="18.75" x14ac:dyDescent="0.3">
      <c r="E1240" s="280">
        <f>E1236+E1238</f>
        <v>172143.56999999998</v>
      </c>
    </row>
    <row r="1250" spans="3:11" ht="18.75" x14ac:dyDescent="0.3">
      <c r="C1250" s="314" t="s">
        <v>1222</v>
      </c>
      <c r="D1250" s="315"/>
      <c r="E1250" s="315"/>
      <c r="F1250" s="315"/>
      <c r="G1250" s="315"/>
      <c r="H1250" s="315"/>
      <c r="I1250" s="315"/>
      <c r="J1250" s="315"/>
      <c r="K1250" s="315"/>
    </row>
    <row r="1251" spans="3:11" x14ac:dyDescent="0.25">
      <c r="C1251" s="78"/>
      <c r="D1251" s="78"/>
      <c r="E1251" s="78"/>
      <c r="F1251" s="78"/>
      <c r="G1251" s="78"/>
      <c r="H1251" s="78"/>
      <c r="I1251" s="78"/>
      <c r="J1251" s="78"/>
      <c r="K1251" s="78"/>
    </row>
    <row r="1252" spans="3:11" ht="15.75" x14ac:dyDescent="0.25">
      <c r="C1252" s="118" t="s">
        <v>223</v>
      </c>
      <c r="D1252" s="118" t="s">
        <v>206</v>
      </c>
      <c r="E1252" s="118" t="s">
        <v>207</v>
      </c>
      <c r="F1252" s="118" t="s">
        <v>218</v>
      </c>
      <c r="G1252" s="78"/>
      <c r="H1252" s="120" t="s">
        <v>6</v>
      </c>
      <c r="I1252" s="120" t="s">
        <v>217</v>
      </c>
      <c r="J1252" s="120" t="s">
        <v>207</v>
      </c>
      <c r="K1252" s="120" t="s">
        <v>218</v>
      </c>
    </row>
    <row r="1253" spans="3:11" x14ac:dyDescent="0.25">
      <c r="C1253" s="276">
        <v>46178</v>
      </c>
      <c r="D1253" s="247" t="s">
        <v>1151</v>
      </c>
      <c r="E1253" s="118" t="s">
        <v>1218</v>
      </c>
      <c r="F1253" s="248">
        <v>3835</v>
      </c>
      <c r="G1253" s="78"/>
      <c r="H1253" s="117"/>
      <c r="I1253" s="78"/>
      <c r="J1253" s="78"/>
      <c r="K1253" s="119"/>
    </row>
    <row r="1254" spans="3:11" x14ac:dyDescent="0.25">
      <c r="C1254" s="276">
        <v>46178</v>
      </c>
      <c r="D1254" s="247" t="s">
        <v>1152</v>
      </c>
      <c r="E1254" s="118" t="s">
        <v>1217</v>
      </c>
      <c r="F1254" s="248">
        <v>3800</v>
      </c>
      <c r="G1254" s="78"/>
      <c r="H1254" s="117">
        <v>46037</v>
      </c>
      <c r="I1254" s="149" t="s">
        <v>66</v>
      </c>
      <c r="J1254" s="78" t="s">
        <v>222</v>
      </c>
      <c r="K1254" s="119">
        <v>2120</v>
      </c>
    </row>
    <row r="1255" spans="3:11" ht="15.75" x14ac:dyDescent="0.25">
      <c r="C1255" s="269">
        <v>46087</v>
      </c>
      <c r="D1255" s="270" t="s">
        <v>214</v>
      </c>
      <c r="E1255" s="270" t="s">
        <v>211</v>
      </c>
      <c r="F1255" s="271">
        <v>2700</v>
      </c>
      <c r="G1255" s="78"/>
      <c r="H1255" s="184">
        <v>46170</v>
      </c>
      <c r="I1255" s="78" t="s">
        <v>1060</v>
      </c>
      <c r="J1255" s="185"/>
      <c r="K1255" s="140">
        <v>1400</v>
      </c>
    </row>
    <row r="1256" spans="3:11" ht="15.75" x14ac:dyDescent="0.25">
      <c r="C1256" s="78"/>
      <c r="D1256" s="201" t="s">
        <v>429</v>
      </c>
      <c r="E1256" s="201"/>
      <c r="F1256" s="183">
        <v>160031.12</v>
      </c>
      <c r="G1256" s="78"/>
      <c r="H1256" s="184"/>
      <c r="I1256" s="78" t="s">
        <v>1084</v>
      </c>
      <c r="J1256" s="185"/>
      <c r="K1256" s="140">
        <v>189000</v>
      </c>
    </row>
    <row r="1257" spans="3:11" ht="15.75" x14ac:dyDescent="0.25">
      <c r="C1257" s="117">
        <v>46156</v>
      </c>
      <c r="D1257" s="78" t="s">
        <v>353</v>
      </c>
      <c r="E1257" s="166"/>
      <c r="F1257" s="167">
        <v>1084</v>
      </c>
      <c r="G1257" s="119"/>
      <c r="H1257" s="184"/>
      <c r="I1257" s="78" t="s">
        <v>281</v>
      </c>
      <c r="J1257" s="185"/>
      <c r="K1257" s="140">
        <v>2120</v>
      </c>
    </row>
    <row r="1258" spans="3:11" x14ac:dyDescent="0.25">
      <c r="C1258" s="117">
        <v>46156</v>
      </c>
      <c r="D1258" s="78" t="s">
        <v>471</v>
      </c>
      <c r="E1258" s="166"/>
      <c r="F1258" s="167">
        <v>3902</v>
      </c>
      <c r="G1258" s="119"/>
      <c r="H1258" s="117"/>
      <c r="I1258" s="78"/>
      <c r="J1258" s="78"/>
      <c r="K1258" s="119"/>
    </row>
    <row r="1259" spans="3:11" ht="18.75" x14ac:dyDescent="0.3">
      <c r="C1259" s="117">
        <v>46156</v>
      </c>
      <c r="D1259" s="78" t="s">
        <v>148</v>
      </c>
      <c r="E1259" s="166"/>
      <c r="F1259" s="167">
        <v>5785</v>
      </c>
      <c r="G1259" s="78"/>
      <c r="H1259" s="78"/>
      <c r="I1259" s="126" t="s">
        <v>226</v>
      </c>
      <c r="J1259" s="126"/>
      <c r="K1259" s="127">
        <f>SUM(K1253:K1258)</f>
        <v>194640</v>
      </c>
    </row>
    <row r="1260" spans="3:11" x14ac:dyDescent="0.25">
      <c r="C1260" s="117">
        <v>46161</v>
      </c>
      <c r="D1260" s="78" t="s">
        <v>995</v>
      </c>
      <c r="E1260" s="166"/>
      <c r="F1260" s="167">
        <v>6022.32</v>
      </c>
      <c r="G1260" s="78"/>
    </row>
    <row r="1261" spans="3:11" x14ac:dyDescent="0.25">
      <c r="C1261" s="117">
        <v>46163</v>
      </c>
      <c r="D1261" s="78" t="s">
        <v>999</v>
      </c>
      <c r="E1261" s="166"/>
      <c r="F1261" s="167">
        <v>4510</v>
      </c>
      <c r="G1261" s="78"/>
      <c r="K1261" s="121"/>
    </row>
    <row r="1262" spans="3:11" x14ac:dyDescent="0.25">
      <c r="C1262" s="257"/>
      <c r="D1262" s="258" t="s">
        <v>1093</v>
      </c>
      <c r="E1262" s="214"/>
      <c r="F1262" s="219">
        <v>1050</v>
      </c>
      <c r="G1262" s="78"/>
      <c r="J1262" s="121"/>
    </row>
    <row r="1263" spans="3:11" x14ac:dyDescent="0.25">
      <c r="C1263" s="257">
        <v>46179</v>
      </c>
      <c r="D1263" s="258" t="s">
        <v>923</v>
      </c>
      <c r="E1263" s="214"/>
      <c r="F1263" s="219">
        <v>8650</v>
      </c>
      <c r="G1263" s="78"/>
      <c r="J1263" s="121"/>
    </row>
    <row r="1264" spans="3:11" x14ac:dyDescent="0.25">
      <c r="C1264" s="288"/>
      <c r="D1264" s="289" t="s">
        <v>1224</v>
      </c>
      <c r="E1264" s="290"/>
      <c r="F1264" s="291">
        <v>2340</v>
      </c>
    </row>
    <row r="1265" spans="3:13" ht="15.75" x14ac:dyDescent="0.25">
      <c r="C1265" s="257"/>
      <c r="D1265" s="258" t="s">
        <v>1088</v>
      </c>
      <c r="E1265" s="214"/>
      <c r="F1265" s="219">
        <v>2640</v>
      </c>
      <c r="H1265" s="316" t="s">
        <v>227</v>
      </c>
      <c r="I1265" s="317"/>
      <c r="J1265" s="140">
        <f>F1278-K1259</f>
        <v>83779.109999999986</v>
      </c>
    </row>
    <row r="1266" spans="3:13" ht="15.75" x14ac:dyDescent="0.25">
      <c r="C1266" s="257"/>
      <c r="D1266" s="258"/>
      <c r="E1266" s="214"/>
      <c r="F1266" s="219"/>
      <c r="J1266" s="89"/>
    </row>
    <row r="1267" spans="3:13" ht="15.75" x14ac:dyDescent="0.25">
      <c r="C1267" s="257"/>
      <c r="D1267" s="258"/>
      <c r="E1267" s="214"/>
      <c r="F1267" s="219"/>
      <c r="H1267" s="128" t="s">
        <v>285</v>
      </c>
      <c r="J1267" s="124">
        <f>E1290</f>
        <v>32211.4</v>
      </c>
    </row>
    <row r="1268" spans="3:13" ht="15.75" x14ac:dyDescent="0.25">
      <c r="C1268" s="257"/>
      <c r="D1268" s="286" t="s">
        <v>1197</v>
      </c>
      <c r="E1268" s="254" t="s">
        <v>1214</v>
      </c>
      <c r="F1268" s="287">
        <v>29271.32</v>
      </c>
    </row>
    <row r="1269" spans="3:13" x14ac:dyDescent="0.25">
      <c r="C1269" s="257"/>
      <c r="D1269" s="258"/>
      <c r="E1269" s="214"/>
      <c r="F1269" s="219"/>
    </row>
    <row r="1270" spans="3:13" x14ac:dyDescent="0.25">
      <c r="C1270" s="257"/>
      <c r="D1270" s="258"/>
      <c r="E1270" s="214"/>
      <c r="F1270" s="219"/>
    </row>
    <row r="1271" spans="3:13" ht="21" x14ac:dyDescent="0.35">
      <c r="C1271" s="266">
        <v>46175</v>
      </c>
      <c r="D1271" s="267" t="s">
        <v>1059</v>
      </c>
      <c r="E1271" s="268" t="s">
        <v>1116</v>
      </c>
      <c r="F1271" s="265">
        <v>1473.68</v>
      </c>
      <c r="I1271" s="198" t="s">
        <v>286</v>
      </c>
      <c r="J1271" s="137">
        <f>SUM(J1265:J1267)</f>
        <v>115990.50999999998</v>
      </c>
    </row>
    <row r="1272" spans="3:13" x14ac:dyDescent="0.25">
      <c r="C1272" s="117"/>
      <c r="D1272" s="78"/>
      <c r="E1272" s="166"/>
      <c r="F1272" s="167"/>
      <c r="G1272" s="121"/>
      <c r="J1272" s="157">
        <v>114967.96</v>
      </c>
      <c r="K1272" s="39" t="s">
        <v>76</v>
      </c>
    </row>
    <row r="1273" spans="3:13" x14ac:dyDescent="0.25">
      <c r="C1273" s="78"/>
      <c r="D1273" s="78"/>
      <c r="E1273" s="78"/>
      <c r="F1273" s="122">
        <f>SUM(F1253:F1272)</f>
        <v>237094.44</v>
      </c>
    </row>
    <row r="1274" spans="3:13" ht="18.75" x14ac:dyDescent="0.3">
      <c r="F1274" s="157"/>
      <c r="J1274" s="264">
        <f>J1271-J1272</f>
        <v>1022.5499999999738</v>
      </c>
    </row>
    <row r="1275" spans="3:13" x14ac:dyDescent="0.25">
      <c r="E1275" s="101" t="s">
        <v>224</v>
      </c>
      <c r="F1275" s="101">
        <v>41324.67</v>
      </c>
    </row>
    <row r="1276" spans="3:13" x14ac:dyDescent="0.25">
      <c r="C1276" s="121"/>
    </row>
    <row r="1277" spans="3:13" x14ac:dyDescent="0.25">
      <c r="M1277" s="121"/>
    </row>
    <row r="1278" spans="3:13" ht="18.75" x14ac:dyDescent="0.3">
      <c r="C1278" s="121"/>
      <c r="E1278" s="99" t="s">
        <v>225</v>
      </c>
      <c r="F1278" s="125">
        <f>SUM(F1273+F1275)</f>
        <v>278419.11</v>
      </c>
    </row>
    <row r="1279" spans="3:13" x14ac:dyDescent="0.25">
      <c r="C1279" s="121"/>
    </row>
    <row r="1280" spans="3:13" x14ac:dyDescent="0.25">
      <c r="C1280" s="121"/>
    </row>
    <row r="1281" spans="3:11" x14ac:dyDescent="0.25">
      <c r="I1281" s="163"/>
    </row>
    <row r="1282" spans="3:11" x14ac:dyDescent="0.25">
      <c r="C1282" s="91"/>
      <c r="I1282" s="163"/>
      <c r="J1282" s="157"/>
    </row>
    <row r="1283" spans="3:11" x14ac:dyDescent="0.25">
      <c r="I1283" s="163"/>
      <c r="J1283" s="121"/>
    </row>
    <row r="1284" spans="3:11" ht="15.75" x14ac:dyDescent="0.25">
      <c r="D1284" s="132" t="s">
        <v>235</v>
      </c>
      <c r="E1284" s="133">
        <v>29286.400000000001</v>
      </c>
    </row>
    <row r="1285" spans="3:11" ht="16.5" customHeight="1" x14ac:dyDescent="0.35">
      <c r="D1285" t="s">
        <v>1228</v>
      </c>
      <c r="E1285">
        <v>-80</v>
      </c>
      <c r="I1285" s="262"/>
      <c r="J1285" s="262"/>
    </row>
    <row r="1286" spans="3:11" x14ac:dyDescent="0.25">
      <c r="D1286" t="s">
        <v>357</v>
      </c>
      <c r="E1286" s="121">
        <v>3005</v>
      </c>
    </row>
    <row r="1287" spans="3:11" x14ac:dyDescent="0.25">
      <c r="E1287" s="121"/>
    </row>
    <row r="1288" spans="3:11" ht="15.75" x14ac:dyDescent="0.25">
      <c r="E1288" s="124"/>
    </row>
    <row r="1289" spans="3:11" x14ac:dyDescent="0.25">
      <c r="E1289" s="121"/>
    </row>
    <row r="1290" spans="3:11" ht="15.75" x14ac:dyDescent="0.25">
      <c r="D1290" s="132" t="s">
        <v>236</v>
      </c>
      <c r="E1290" s="133">
        <f>SUM(E1284:E1289)</f>
        <v>32211.4</v>
      </c>
      <c r="H1290" s="121"/>
    </row>
    <row r="1292" spans="3:11" x14ac:dyDescent="0.25">
      <c r="I1292" s="121"/>
    </row>
    <row r="1293" spans="3:11" x14ac:dyDescent="0.25">
      <c r="E1293">
        <v>-11.9</v>
      </c>
      <c r="K1293" s="121"/>
    </row>
    <row r="1295" spans="3:11" x14ac:dyDescent="0.25">
      <c r="D1295" s="39"/>
      <c r="E1295" s="157">
        <f>SUM(E1290:E1294)</f>
        <v>32199.5</v>
      </c>
    </row>
    <row r="1296" spans="3:11" x14ac:dyDescent="0.25">
      <c r="D1296" s="39"/>
      <c r="E1296" s="157"/>
    </row>
    <row r="1298" spans="3:5" x14ac:dyDescent="0.25">
      <c r="C1298" s="91"/>
    </row>
    <row r="1299" spans="3:5" ht="18.75" x14ac:dyDescent="0.3">
      <c r="D1299" s="333" t="s">
        <v>1125</v>
      </c>
      <c r="E1299" s="333"/>
    </row>
    <row r="1300" spans="3:5" ht="15.75" x14ac:dyDescent="0.25">
      <c r="D1300" s="166" t="s">
        <v>429</v>
      </c>
      <c r="E1300" s="140">
        <v>170801.57</v>
      </c>
    </row>
    <row r="1301" spans="3:5" ht="15.75" x14ac:dyDescent="0.25">
      <c r="D1301" s="166" t="s">
        <v>216</v>
      </c>
      <c r="E1301" s="140">
        <v>-8850</v>
      </c>
    </row>
    <row r="1302" spans="3:5" ht="15.75" x14ac:dyDescent="0.25">
      <c r="D1302" s="166" t="s">
        <v>1223</v>
      </c>
      <c r="E1302" s="140">
        <v>-1920</v>
      </c>
    </row>
    <row r="1303" spans="3:5" ht="15.75" x14ac:dyDescent="0.25">
      <c r="D1303" s="214" t="s">
        <v>535</v>
      </c>
      <c r="E1303" s="210">
        <v>-0.45</v>
      </c>
    </row>
    <row r="1304" spans="3:5" ht="15.75" x14ac:dyDescent="0.25">
      <c r="D1304" s="178"/>
      <c r="E1304" s="212"/>
    </row>
    <row r="1305" spans="3:5" x14ac:dyDescent="0.25">
      <c r="D1305" s="78"/>
      <c r="E1305" s="78"/>
    </row>
    <row r="1306" spans="3:5" ht="15.75" x14ac:dyDescent="0.25">
      <c r="D1306" s="78" t="s">
        <v>596</v>
      </c>
      <c r="E1306" s="189">
        <f>SUM(E1300:E1305)</f>
        <v>160031.12</v>
      </c>
    </row>
    <row r="1308" spans="3:5" x14ac:dyDescent="0.25">
      <c r="D1308" t="s">
        <v>361</v>
      </c>
      <c r="E1308" s="121">
        <v>1342</v>
      </c>
    </row>
    <row r="1310" spans="3:5" ht="18.75" x14ac:dyDescent="0.3">
      <c r="E1310" s="280">
        <f>E1306+E1308</f>
        <v>161373.12</v>
      </c>
    </row>
    <row r="1314" spans="3:11" x14ac:dyDescent="0.25">
      <c r="H1314">
        <f>23000*0.59</f>
        <v>13570</v>
      </c>
    </row>
    <row r="1319" spans="3:11" ht="18.75" x14ac:dyDescent="0.3">
      <c r="C1319" s="314" t="s">
        <v>1229</v>
      </c>
      <c r="D1319" s="315"/>
      <c r="E1319" s="315"/>
      <c r="F1319" s="315"/>
      <c r="G1319" s="315"/>
      <c r="H1319" s="315"/>
      <c r="I1319" s="315"/>
      <c r="J1319" s="315"/>
      <c r="K1319" s="315"/>
    </row>
    <row r="1320" spans="3:11" x14ac:dyDescent="0.25">
      <c r="C1320" s="78"/>
      <c r="D1320" s="78"/>
      <c r="E1320" s="78"/>
      <c r="F1320" s="78"/>
      <c r="G1320" s="78"/>
      <c r="H1320" s="78"/>
      <c r="I1320" s="78"/>
      <c r="J1320" s="78"/>
      <c r="K1320" s="78"/>
    </row>
    <row r="1321" spans="3:11" ht="15.75" x14ac:dyDescent="0.25">
      <c r="C1321" s="118" t="s">
        <v>223</v>
      </c>
      <c r="D1321" s="118" t="s">
        <v>206</v>
      </c>
      <c r="E1321" s="118" t="s">
        <v>207</v>
      </c>
      <c r="F1321" s="118" t="s">
        <v>218</v>
      </c>
      <c r="G1321" s="78"/>
      <c r="H1321" s="120" t="s">
        <v>6</v>
      </c>
      <c r="I1321" s="120" t="s">
        <v>217</v>
      </c>
      <c r="J1321" s="120" t="s">
        <v>207</v>
      </c>
      <c r="K1321" s="120" t="s">
        <v>218</v>
      </c>
    </row>
    <row r="1322" spans="3:11" x14ac:dyDescent="0.25">
      <c r="C1322" s="276">
        <v>46178</v>
      </c>
      <c r="D1322" s="247" t="s">
        <v>1151</v>
      </c>
      <c r="E1322" s="118" t="s">
        <v>1230</v>
      </c>
      <c r="F1322" s="248">
        <v>13570</v>
      </c>
      <c r="G1322" s="78"/>
      <c r="H1322" s="117"/>
      <c r="I1322" s="78"/>
      <c r="J1322" s="78"/>
      <c r="K1322" s="119"/>
    </row>
    <row r="1323" spans="3:11" x14ac:dyDescent="0.25">
      <c r="C1323" s="276">
        <v>46178</v>
      </c>
      <c r="D1323" s="247" t="s">
        <v>1152</v>
      </c>
      <c r="E1323" s="118" t="s">
        <v>1217</v>
      </c>
      <c r="F1323" s="248">
        <v>3800</v>
      </c>
      <c r="G1323" s="78"/>
      <c r="H1323" s="117">
        <v>46037</v>
      </c>
      <c r="I1323" s="149" t="s">
        <v>66</v>
      </c>
      <c r="J1323" s="78" t="s">
        <v>222</v>
      </c>
      <c r="K1323" s="119">
        <v>2120</v>
      </c>
    </row>
    <row r="1324" spans="3:11" ht="15.75" x14ac:dyDescent="0.25">
      <c r="C1324" s="269">
        <v>46087</v>
      </c>
      <c r="D1324" s="270" t="s">
        <v>214</v>
      </c>
      <c r="E1324" s="270" t="s">
        <v>211</v>
      </c>
      <c r="F1324" s="271">
        <v>2700</v>
      </c>
      <c r="G1324" s="78"/>
      <c r="H1324" s="184">
        <v>46170</v>
      </c>
      <c r="I1324" s="78" t="s">
        <v>1060</v>
      </c>
      <c r="J1324" s="185"/>
      <c r="K1324" s="140">
        <v>1400</v>
      </c>
    </row>
    <row r="1325" spans="3:11" ht="15.75" x14ac:dyDescent="0.25">
      <c r="C1325" s="78"/>
      <c r="D1325" s="201" t="s">
        <v>429</v>
      </c>
      <c r="E1325" s="201"/>
      <c r="F1325" s="183">
        <v>157141.01999999999</v>
      </c>
      <c r="G1325" s="78"/>
      <c r="H1325" s="184"/>
      <c r="I1325" s="78" t="s">
        <v>1084</v>
      </c>
      <c r="J1325" s="185"/>
      <c r="K1325" s="140">
        <v>189000</v>
      </c>
    </row>
    <row r="1326" spans="3:11" ht="15.75" x14ac:dyDescent="0.25">
      <c r="C1326" s="117">
        <v>46156</v>
      </c>
      <c r="D1326" s="78" t="s">
        <v>353</v>
      </c>
      <c r="E1326" s="166"/>
      <c r="F1326" s="167">
        <v>1084</v>
      </c>
      <c r="G1326" s="119"/>
      <c r="H1326" s="184"/>
      <c r="I1326" s="78" t="s">
        <v>281</v>
      </c>
      <c r="J1326" s="185"/>
      <c r="K1326" s="140">
        <v>4970</v>
      </c>
    </row>
    <row r="1327" spans="3:11" ht="15.75" x14ac:dyDescent="0.25">
      <c r="C1327" s="117">
        <v>46156</v>
      </c>
      <c r="D1327" s="78" t="s">
        <v>471</v>
      </c>
      <c r="E1327" s="166"/>
      <c r="F1327" s="167">
        <v>3902</v>
      </c>
      <c r="G1327" s="119"/>
      <c r="H1327" s="184"/>
      <c r="I1327" s="78" t="s">
        <v>257</v>
      </c>
      <c r="J1327" s="185"/>
      <c r="K1327" s="140">
        <v>2490</v>
      </c>
    </row>
    <row r="1328" spans="3:11" x14ac:dyDescent="0.25">
      <c r="C1328" s="117">
        <v>46156</v>
      </c>
      <c r="D1328" s="78" t="s">
        <v>148</v>
      </c>
      <c r="E1328" s="166"/>
      <c r="F1328" s="167">
        <v>5785</v>
      </c>
      <c r="G1328" s="78"/>
      <c r="H1328" s="117"/>
      <c r="I1328" s="78"/>
      <c r="J1328" s="78"/>
      <c r="K1328" s="119"/>
    </row>
    <row r="1329" spans="3:11" ht="18.75" x14ac:dyDescent="0.3">
      <c r="C1329" s="117">
        <v>46161</v>
      </c>
      <c r="D1329" s="78" t="s">
        <v>995</v>
      </c>
      <c r="E1329" s="166"/>
      <c r="F1329" s="167">
        <v>14062.32</v>
      </c>
      <c r="G1329" s="78"/>
      <c r="H1329" s="78"/>
      <c r="I1329" s="126" t="s">
        <v>226</v>
      </c>
      <c r="J1329" s="126"/>
      <c r="K1329" s="127">
        <f>SUM(K1322:K1328)</f>
        <v>199980</v>
      </c>
    </row>
    <row r="1330" spans="3:11" x14ac:dyDescent="0.25">
      <c r="C1330" s="117">
        <v>46163</v>
      </c>
      <c r="D1330" s="78" t="s">
        <v>999</v>
      </c>
      <c r="E1330" s="166"/>
      <c r="F1330" s="167">
        <v>4510</v>
      </c>
      <c r="G1330" s="78"/>
    </row>
    <row r="1331" spans="3:11" x14ac:dyDescent="0.25">
      <c r="C1331" s="257"/>
      <c r="D1331" s="258" t="s">
        <v>1093</v>
      </c>
      <c r="E1331" s="214"/>
      <c r="F1331" s="219">
        <v>1050</v>
      </c>
      <c r="G1331" s="78"/>
      <c r="K1331" s="121"/>
    </row>
    <row r="1332" spans="3:11" x14ac:dyDescent="0.25">
      <c r="C1332" s="257">
        <v>46179</v>
      </c>
      <c r="D1332" s="258" t="s">
        <v>923</v>
      </c>
      <c r="E1332" s="214"/>
      <c r="F1332" s="219">
        <v>8650</v>
      </c>
      <c r="G1332" s="78"/>
      <c r="J1332" s="121"/>
    </row>
    <row r="1333" spans="3:11" x14ac:dyDescent="0.25">
      <c r="C1333" s="288"/>
      <c r="D1333" s="289" t="s">
        <v>1224</v>
      </c>
      <c r="E1333" s="290"/>
      <c r="F1333" s="291">
        <v>8790</v>
      </c>
      <c r="J1333" s="121"/>
    </row>
    <row r="1334" spans="3:11" x14ac:dyDescent="0.25">
      <c r="C1334" s="257"/>
      <c r="D1334" s="258" t="s">
        <v>1088</v>
      </c>
      <c r="E1334" s="214"/>
      <c r="F1334" s="219">
        <v>2640</v>
      </c>
    </row>
    <row r="1335" spans="3:11" ht="15.75" x14ac:dyDescent="0.25">
      <c r="C1335" s="257"/>
      <c r="D1335" s="258"/>
      <c r="E1335" s="214"/>
      <c r="F1335" s="219"/>
      <c r="H1335" s="316" t="s">
        <v>227</v>
      </c>
      <c r="I1335" s="317"/>
      <c r="J1335" s="140">
        <f>F1347-K1329</f>
        <v>75615.209999999963</v>
      </c>
    </row>
    <row r="1336" spans="3:11" ht="15.75" x14ac:dyDescent="0.25">
      <c r="C1336" s="257"/>
      <c r="D1336" s="258"/>
      <c r="E1336" s="214"/>
      <c r="F1336" s="219"/>
      <c r="J1336" s="89"/>
    </row>
    <row r="1337" spans="3:11" ht="15.75" x14ac:dyDescent="0.25">
      <c r="C1337" s="257"/>
      <c r="D1337" s="286" t="s">
        <v>1197</v>
      </c>
      <c r="E1337" s="254" t="s">
        <v>1214</v>
      </c>
      <c r="F1337" s="287">
        <v>8000.02</v>
      </c>
      <c r="H1337" s="128" t="s">
        <v>285</v>
      </c>
      <c r="J1337" s="124">
        <f>E1365</f>
        <v>42460.7</v>
      </c>
    </row>
    <row r="1338" spans="3:11" x14ac:dyDescent="0.25">
      <c r="C1338" s="257"/>
      <c r="D1338" s="258"/>
      <c r="E1338" s="214"/>
      <c r="F1338" s="219"/>
    </row>
    <row r="1339" spans="3:11" x14ac:dyDescent="0.25">
      <c r="C1339" s="257"/>
      <c r="D1339" s="258"/>
      <c r="E1339" s="214"/>
      <c r="F1339" s="219"/>
    </row>
    <row r="1340" spans="3:11" x14ac:dyDescent="0.25">
      <c r="C1340" s="266">
        <v>46175</v>
      </c>
      <c r="D1340" s="267" t="s">
        <v>1059</v>
      </c>
      <c r="E1340" s="268" t="s">
        <v>1116</v>
      </c>
      <c r="F1340" s="265">
        <v>1473.68</v>
      </c>
    </row>
    <row r="1341" spans="3:11" ht="21" x14ac:dyDescent="0.35">
      <c r="C1341" s="117"/>
      <c r="D1341" s="78"/>
      <c r="E1341" s="166"/>
      <c r="F1341" s="167"/>
      <c r="G1341" s="121"/>
      <c r="I1341" s="198" t="s">
        <v>286</v>
      </c>
      <c r="J1341" s="137">
        <f>SUM(J1335:J1337)</f>
        <v>118075.90999999996</v>
      </c>
    </row>
    <row r="1342" spans="3:11" x14ac:dyDescent="0.25">
      <c r="C1342" s="78"/>
      <c r="D1342" s="78"/>
      <c r="E1342" s="78"/>
      <c r="F1342" s="122">
        <f>SUM(F1322:F1341)</f>
        <v>237158.03999999998</v>
      </c>
      <c r="J1342" s="157">
        <v>115990.51</v>
      </c>
      <c r="K1342" s="39" t="s">
        <v>76</v>
      </c>
    </row>
    <row r="1343" spans="3:11" x14ac:dyDescent="0.25">
      <c r="F1343" s="157"/>
    </row>
    <row r="1344" spans="3:11" ht="18.75" x14ac:dyDescent="0.3">
      <c r="E1344" s="101" t="s">
        <v>224</v>
      </c>
      <c r="F1344" s="101">
        <v>38437.17</v>
      </c>
      <c r="J1344" s="264">
        <f>J1341-J1342</f>
        <v>2085.3999999999651</v>
      </c>
    </row>
    <row r="1345" spans="3:13" x14ac:dyDescent="0.25">
      <c r="C1345" s="121"/>
    </row>
    <row r="1346" spans="3:13" x14ac:dyDescent="0.25">
      <c r="M1346" s="121"/>
    </row>
    <row r="1347" spans="3:13" ht="18.75" x14ac:dyDescent="0.3">
      <c r="C1347" s="121"/>
      <c r="E1347" s="99" t="s">
        <v>225</v>
      </c>
      <c r="F1347" s="125">
        <f>SUM(F1342+F1344)</f>
        <v>275595.20999999996</v>
      </c>
    </row>
    <row r="1348" spans="3:13" x14ac:dyDescent="0.25">
      <c r="C1348" s="121"/>
    </row>
    <row r="1349" spans="3:13" x14ac:dyDescent="0.25">
      <c r="C1349" s="121"/>
    </row>
    <row r="1351" spans="3:13" x14ac:dyDescent="0.25">
      <c r="C1351" s="91"/>
      <c r="I1351" s="163"/>
    </row>
    <row r="1352" spans="3:13" x14ac:dyDescent="0.25">
      <c r="I1352" s="163"/>
      <c r="J1352" s="157"/>
    </row>
    <row r="1353" spans="3:13" ht="15.75" x14ac:dyDescent="0.25">
      <c r="D1353" s="132" t="s">
        <v>235</v>
      </c>
      <c r="E1353" s="133">
        <v>29286.400000000001</v>
      </c>
      <c r="I1353" s="163"/>
      <c r="J1353" s="121"/>
    </row>
    <row r="1354" spans="3:13" x14ac:dyDescent="0.25">
      <c r="D1354" t="s">
        <v>1228</v>
      </c>
      <c r="E1354">
        <v>-80</v>
      </c>
    </row>
    <row r="1355" spans="3:13" ht="21" x14ac:dyDescent="0.35">
      <c r="D1355" t="s">
        <v>357</v>
      </c>
      <c r="E1355" s="121">
        <v>3005</v>
      </c>
      <c r="I1355" s="262"/>
      <c r="J1355" s="262"/>
    </row>
    <row r="1356" spans="3:13" x14ac:dyDescent="0.25">
      <c r="C1356" s="91">
        <v>46189</v>
      </c>
      <c r="D1356" t="s">
        <v>1231</v>
      </c>
      <c r="E1356" s="121">
        <v>-17700</v>
      </c>
    </row>
    <row r="1357" spans="3:13" x14ac:dyDescent="0.25">
      <c r="C1357" s="91"/>
      <c r="D1357" s="139" t="s">
        <v>1233</v>
      </c>
      <c r="E1357" s="138">
        <v>-720</v>
      </c>
    </row>
    <row r="1358" spans="3:13" x14ac:dyDescent="0.25">
      <c r="C1358" s="91"/>
      <c r="D1358" s="139" t="s">
        <v>954</v>
      </c>
      <c r="E1358" s="138">
        <v>-80</v>
      </c>
    </row>
    <row r="1359" spans="3:13" x14ac:dyDescent="0.25">
      <c r="C1359" s="91"/>
      <c r="D1359" t="s">
        <v>1235</v>
      </c>
      <c r="E1359" s="121">
        <v>860</v>
      </c>
    </row>
    <row r="1360" spans="3:13" x14ac:dyDescent="0.25">
      <c r="C1360" s="91"/>
      <c r="D1360" t="s">
        <v>1236</v>
      </c>
      <c r="E1360" s="121">
        <v>2640</v>
      </c>
      <c r="H1360" s="121"/>
    </row>
    <row r="1361" spans="3:11" x14ac:dyDescent="0.25">
      <c r="D1361" t="s">
        <v>1239</v>
      </c>
      <c r="E1361" s="121">
        <v>21271.3</v>
      </c>
    </row>
    <row r="1362" spans="3:11" x14ac:dyDescent="0.25">
      <c r="D1362" t="s">
        <v>357</v>
      </c>
      <c r="E1362" s="121">
        <v>3978</v>
      </c>
    </row>
    <row r="1363" spans="3:11" ht="18.75" x14ac:dyDescent="0.3">
      <c r="E1363" s="125"/>
    </row>
    <row r="1364" spans="3:11" x14ac:dyDescent="0.25">
      <c r="E1364" s="121"/>
      <c r="H1364" s="121"/>
    </row>
    <row r="1365" spans="3:11" ht="15.75" x14ac:dyDescent="0.25">
      <c r="D1365" s="132" t="s">
        <v>236</v>
      </c>
      <c r="E1365" s="133">
        <f>SUM(E1353:E1364)</f>
        <v>42460.7</v>
      </c>
    </row>
    <row r="1366" spans="3:11" x14ac:dyDescent="0.25">
      <c r="I1366" s="121"/>
    </row>
    <row r="1367" spans="3:11" x14ac:dyDescent="0.25">
      <c r="K1367" s="121"/>
    </row>
    <row r="1368" spans="3:11" x14ac:dyDescent="0.25">
      <c r="E1368">
        <v>-11.9</v>
      </c>
    </row>
    <row r="1370" spans="3:11" x14ac:dyDescent="0.25">
      <c r="D1370" s="39"/>
      <c r="E1370" s="157">
        <f>SUM(E1365:E1369)</f>
        <v>42448.799999999996</v>
      </c>
    </row>
    <row r="1371" spans="3:11" x14ac:dyDescent="0.25">
      <c r="D1371" s="39"/>
      <c r="E1371" s="157"/>
    </row>
    <row r="1373" spans="3:11" x14ac:dyDescent="0.25">
      <c r="C1373" s="91"/>
    </row>
    <row r="1374" spans="3:11" ht="18.75" x14ac:dyDescent="0.3">
      <c r="D1374" s="333" t="s">
        <v>1125</v>
      </c>
      <c r="E1374" s="333"/>
    </row>
    <row r="1375" spans="3:11" ht="15.75" x14ac:dyDescent="0.25">
      <c r="D1375" s="166" t="s">
        <v>429</v>
      </c>
      <c r="E1375" s="140">
        <v>170801.57</v>
      </c>
    </row>
    <row r="1376" spans="3:11" ht="15.75" x14ac:dyDescent="0.25">
      <c r="D1376" s="166" t="s">
        <v>216</v>
      </c>
      <c r="E1376" s="140">
        <v>-8850</v>
      </c>
    </row>
    <row r="1377" spans="3:5" ht="15.75" x14ac:dyDescent="0.25">
      <c r="D1377" s="166" t="s">
        <v>1223</v>
      </c>
      <c r="E1377" s="140">
        <v>-1920</v>
      </c>
    </row>
    <row r="1378" spans="3:5" ht="15.75" x14ac:dyDescent="0.25">
      <c r="D1378" s="214" t="s">
        <v>535</v>
      </c>
      <c r="E1378" s="210">
        <v>-0.45</v>
      </c>
    </row>
    <row r="1379" spans="3:5" ht="15.75" x14ac:dyDescent="0.25">
      <c r="C1379" s="91">
        <v>46189</v>
      </c>
      <c r="D1379" s="214" t="s">
        <v>1234</v>
      </c>
      <c r="E1379" s="210">
        <v>-2880</v>
      </c>
    </row>
    <row r="1380" spans="3:5" ht="15.75" x14ac:dyDescent="0.25">
      <c r="C1380" s="91"/>
      <c r="D1380" s="214" t="s">
        <v>939</v>
      </c>
      <c r="E1380" s="210">
        <v>-10</v>
      </c>
    </row>
    <row r="1381" spans="3:5" ht="15.75" x14ac:dyDescent="0.25">
      <c r="C1381" s="91"/>
      <c r="D1381" s="214" t="s">
        <v>535</v>
      </c>
      <c r="E1381" s="210">
        <v>-0.1</v>
      </c>
    </row>
    <row r="1382" spans="3:5" ht="15.75" x14ac:dyDescent="0.25">
      <c r="D1382" s="214"/>
      <c r="E1382" s="210"/>
    </row>
    <row r="1383" spans="3:5" ht="15.75" x14ac:dyDescent="0.25">
      <c r="D1383" s="178"/>
      <c r="E1383" s="212"/>
    </row>
    <row r="1384" spans="3:5" x14ac:dyDescent="0.25">
      <c r="D1384" s="78"/>
      <c r="E1384" s="78"/>
    </row>
    <row r="1385" spans="3:5" ht="15.75" x14ac:dyDescent="0.25">
      <c r="D1385" s="78" t="s">
        <v>596</v>
      </c>
      <c r="E1385" s="189">
        <f>SUM(E1375:E1384)</f>
        <v>157141.01999999999</v>
      </c>
    </row>
    <row r="1387" spans="3:5" x14ac:dyDescent="0.25">
      <c r="D1387" t="s">
        <v>361</v>
      </c>
      <c r="E1387" s="121">
        <v>1342</v>
      </c>
    </row>
    <row r="1389" spans="3:5" ht="18.75" x14ac:dyDescent="0.3">
      <c r="E1389" s="280">
        <f>E1385+E1387</f>
        <v>158483.01999999999</v>
      </c>
    </row>
    <row r="1398" spans="3:11" ht="18.75" x14ac:dyDescent="0.3">
      <c r="C1398" s="314" t="s">
        <v>1240</v>
      </c>
      <c r="D1398" s="315"/>
      <c r="E1398" s="315"/>
      <c r="F1398" s="315"/>
      <c r="G1398" s="315"/>
      <c r="H1398" s="315"/>
      <c r="I1398" s="315"/>
      <c r="J1398" s="315"/>
      <c r="K1398" s="315"/>
    </row>
    <row r="1399" spans="3:11" x14ac:dyDescent="0.25">
      <c r="C1399" s="78"/>
      <c r="D1399" s="78"/>
      <c r="E1399" s="78"/>
      <c r="F1399" s="78"/>
      <c r="G1399" s="78"/>
      <c r="H1399" s="78"/>
      <c r="I1399" s="78"/>
      <c r="J1399" s="78"/>
      <c r="K1399" s="78"/>
    </row>
    <row r="1400" spans="3:11" ht="15.75" x14ac:dyDescent="0.25">
      <c r="C1400" s="118" t="s">
        <v>223</v>
      </c>
      <c r="D1400" s="118" t="s">
        <v>206</v>
      </c>
      <c r="E1400" s="118" t="s">
        <v>207</v>
      </c>
      <c r="F1400" s="118" t="s">
        <v>218</v>
      </c>
      <c r="G1400" s="78"/>
      <c r="H1400" s="120" t="s">
        <v>6</v>
      </c>
      <c r="I1400" s="120" t="s">
        <v>217</v>
      </c>
      <c r="J1400" s="120" t="s">
        <v>207</v>
      </c>
      <c r="K1400" s="120" t="s">
        <v>218</v>
      </c>
    </row>
    <row r="1401" spans="3:11" x14ac:dyDescent="0.25">
      <c r="C1401" s="276">
        <v>46178</v>
      </c>
      <c r="D1401" s="247" t="s">
        <v>1151</v>
      </c>
      <c r="E1401" s="118" t="s">
        <v>1230</v>
      </c>
      <c r="F1401" s="248">
        <v>13570</v>
      </c>
      <c r="G1401" s="78"/>
      <c r="H1401" s="117"/>
      <c r="I1401" s="78"/>
      <c r="J1401" s="78"/>
      <c r="K1401" s="119"/>
    </row>
    <row r="1402" spans="3:11" x14ac:dyDescent="0.25">
      <c r="C1402" s="276">
        <v>46178</v>
      </c>
      <c r="D1402" s="247" t="s">
        <v>1152</v>
      </c>
      <c r="E1402" s="118" t="s">
        <v>1217</v>
      </c>
      <c r="F1402" s="248">
        <v>3800</v>
      </c>
      <c r="G1402" s="78"/>
      <c r="H1402" s="117">
        <v>46037</v>
      </c>
      <c r="I1402" s="149" t="s">
        <v>66</v>
      </c>
      <c r="J1402" s="78" t="s">
        <v>222</v>
      </c>
      <c r="K1402" s="119">
        <v>2120</v>
      </c>
    </row>
    <row r="1403" spans="3:11" ht="15.75" x14ac:dyDescent="0.25">
      <c r="C1403" s="269">
        <v>46087</v>
      </c>
      <c r="D1403" s="270" t="s">
        <v>214</v>
      </c>
      <c r="E1403" s="270" t="s">
        <v>211</v>
      </c>
      <c r="F1403" s="271">
        <v>2700</v>
      </c>
      <c r="G1403" s="78"/>
      <c r="H1403" s="184">
        <v>46170</v>
      </c>
      <c r="I1403" s="78" t="s">
        <v>1060</v>
      </c>
      <c r="J1403" s="185"/>
      <c r="K1403" s="140">
        <v>1400</v>
      </c>
    </row>
    <row r="1404" spans="3:11" ht="15.75" x14ac:dyDescent="0.25">
      <c r="C1404" s="78"/>
      <c r="D1404" s="201" t="s">
        <v>429</v>
      </c>
      <c r="E1404" s="201"/>
      <c r="F1404" s="183">
        <v>153871.54999999999</v>
      </c>
      <c r="G1404" s="78"/>
      <c r="H1404" s="184"/>
      <c r="I1404" s="78" t="s">
        <v>1084</v>
      </c>
      <c r="J1404" s="185"/>
      <c r="K1404" s="140">
        <v>189000</v>
      </c>
    </row>
    <row r="1405" spans="3:11" ht="15.75" x14ac:dyDescent="0.25">
      <c r="C1405" s="117">
        <v>46156</v>
      </c>
      <c r="D1405" s="78" t="s">
        <v>353</v>
      </c>
      <c r="E1405" s="166"/>
      <c r="F1405" s="167">
        <v>1084</v>
      </c>
      <c r="G1405" s="119"/>
      <c r="H1405" s="184"/>
      <c r="I1405" s="78" t="s">
        <v>281</v>
      </c>
      <c r="J1405" s="185"/>
      <c r="K1405" s="140">
        <v>4970</v>
      </c>
    </row>
    <row r="1406" spans="3:11" ht="15.75" x14ac:dyDescent="0.25">
      <c r="C1406" s="117">
        <v>46156</v>
      </c>
      <c r="D1406" s="78" t="s">
        <v>471</v>
      </c>
      <c r="E1406" s="166"/>
      <c r="F1406" s="167">
        <v>3902</v>
      </c>
      <c r="G1406" s="119"/>
      <c r="H1406" s="184"/>
      <c r="I1406" s="78" t="s">
        <v>257</v>
      </c>
      <c r="J1406" s="185"/>
      <c r="K1406" s="140">
        <v>2490</v>
      </c>
    </row>
    <row r="1407" spans="3:11" ht="15.75" x14ac:dyDescent="0.25">
      <c r="C1407" s="117">
        <v>46156</v>
      </c>
      <c r="D1407" s="78" t="s">
        <v>148</v>
      </c>
      <c r="E1407" s="166"/>
      <c r="F1407" s="167">
        <v>5785</v>
      </c>
      <c r="G1407" s="78"/>
      <c r="H1407" s="184"/>
      <c r="I1407" s="78" t="s">
        <v>1250</v>
      </c>
      <c r="J1407" s="185" t="s">
        <v>1251</v>
      </c>
      <c r="K1407" s="140">
        <v>750</v>
      </c>
    </row>
    <row r="1408" spans="3:11" ht="15.75" x14ac:dyDescent="0.25">
      <c r="C1408" s="117">
        <v>46161</v>
      </c>
      <c r="D1408" s="78" t="s">
        <v>995</v>
      </c>
      <c r="E1408" s="166"/>
      <c r="F1408" s="167">
        <v>13727.32</v>
      </c>
      <c r="G1408" s="78"/>
      <c r="H1408" s="184"/>
      <c r="I1408" s="78"/>
      <c r="J1408" s="185"/>
      <c r="K1408" s="140"/>
    </row>
    <row r="1409" spans="3:11" x14ac:dyDescent="0.25">
      <c r="C1409" s="117">
        <v>46163</v>
      </c>
      <c r="D1409" s="78" t="s">
        <v>999</v>
      </c>
      <c r="E1409" s="166"/>
      <c r="F1409" s="167">
        <v>4510</v>
      </c>
      <c r="G1409" s="78"/>
      <c r="H1409" s="117"/>
      <c r="I1409" s="78"/>
      <c r="J1409" s="78"/>
      <c r="K1409" s="119"/>
    </row>
    <row r="1410" spans="3:11" ht="18.75" x14ac:dyDescent="0.3">
      <c r="C1410" s="257"/>
      <c r="D1410" s="258" t="s">
        <v>1093</v>
      </c>
      <c r="E1410" s="214"/>
      <c r="F1410" s="219">
        <v>1050</v>
      </c>
      <c r="G1410" s="78"/>
      <c r="H1410" s="78"/>
      <c r="I1410" s="126" t="s">
        <v>226</v>
      </c>
      <c r="J1410" s="126"/>
      <c r="K1410" s="127">
        <f>SUM(K1401:K1409)</f>
        <v>200730</v>
      </c>
    </row>
    <row r="1411" spans="3:11" x14ac:dyDescent="0.25">
      <c r="C1411" s="257">
        <v>46179</v>
      </c>
      <c r="D1411" s="258" t="s">
        <v>923</v>
      </c>
      <c r="E1411" s="214"/>
      <c r="F1411" s="219">
        <v>8650</v>
      </c>
      <c r="G1411" s="78"/>
    </row>
    <row r="1412" spans="3:11" x14ac:dyDescent="0.25">
      <c r="C1412" s="288"/>
      <c r="D1412" s="289" t="s">
        <v>1224</v>
      </c>
      <c r="E1412" s="290"/>
      <c r="F1412" s="291">
        <v>960</v>
      </c>
      <c r="K1412" s="121"/>
    </row>
    <row r="1413" spans="3:11" x14ac:dyDescent="0.25">
      <c r="C1413" s="257"/>
      <c r="D1413" s="258" t="s">
        <v>1088</v>
      </c>
      <c r="E1413" s="214"/>
      <c r="F1413" s="219">
        <v>2640</v>
      </c>
      <c r="J1413" s="121"/>
    </row>
    <row r="1414" spans="3:11" x14ac:dyDescent="0.25">
      <c r="C1414" s="257"/>
      <c r="D1414" s="258" t="s">
        <v>497</v>
      </c>
      <c r="E1414" s="214"/>
      <c r="F1414" s="219">
        <v>411</v>
      </c>
      <c r="J1414" s="121"/>
    </row>
    <row r="1415" spans="3:11" x14ac:dyDescent="0.25">
      <c r="C1415" s="257"/>
      <c r="D1415" s="258"/>
      <c r="E1415" s="214"/>
      <c r="F1415" s="219"/>
    </row>
    <row r="1416" spans="3:11" ht="15.75" x14ac:dyDescent="0.25">
      <c r="C1416" s="257"/>
      <c r="D1416" s="258"/>
      <c r="E1416" s="214"/>
      <c r="F1416" s="219"/>
      <c r="H1416" s="316" t="s">
        <v>227</v>
      </c>
      <c r="I1416" s="317"/>
      <c r="J1416" s="140">
        <f>F1428-K1410</f>
        <v>65974.859999999986</v>
      </c>
    </row>
    <row r="1417" spans="3:11" ht="15.75" x14ac:dyDescent="0.25">
      <c r="C1417" s="257"/>
      <c r="D1417" s="258"/>
      <c r="E1417" s="214"/>
      <c r="F1417" s="219"/>
      <c r="J1417" s="89"/>
    </row>
    <row r="1418" spans="3:11" ht="15.75" x14ac:dyDescent="0.25">
      <c r="C1418" s="257"/>
      <c r="D1418" s="286" t="s">
        <v>1197</v>
      </c>
      <c r="E1418" s="254" t="s">
        <v>1214</v>
      </c>
      <c r="F1418" s="287">
        <v>8000.02</v>
      </c>
      <c r="H1418" s="128" t="s">
        <v>285</v>
      </c>
      <c r="J1418" s="124">
        <f>E1457</f>
        <v>52332.399999999994</v>
      </c>
    </row>
    <row r="1419" spans="3:11" x14ac:dyDescent="0.25">
      <c r="C1419" s="257"/>
      <c r="D1419" s="258"/>
      <c r="E1419" s="214"/>
      <c r="F1419" s="219"/>
    </row>
    <row r="1420" spans="3:11" x14ac:dyDescent="0.25">
      <c r="C1420" s="257"/>
      <c r="D1420" s="258"/>
      <c r="E1420" s="214"/>
      <c r="F1420" s="219"/>
      <c r="G1420" s="121"/>
    </row>
    <row r="1421" spans="3:11" x14ac:dyDescent="0.25">
      <c r="C1421" s="266">
        <v>46175</v>
      </c>
      <c r="D1421" s="267" t="s">
        <v>1059</v>
      </c>
      <c r="E1421" s="268" t="s">
        <v>1116</v>
      </c>
      <c r="F1421" s="265">
        <v>1473.68</v>
      </c>
    </row>
    <row r="1422" spans="3:11" ht="21" x14ac:dyDescent="0.35">
      <c r="C1422" s="117"/>
      <c r="D1422" s="78"/>
      <c r="E1422" s="166"/>
      <c r="F1422" s="167"/>
      <c r="I1422" s="198" t="s">
        <v>286</v>
      </c>
      <c r="J1422" s="137">
        <f>SUM(J1416:J1418)</f>
        <v>118307.25999999998</v>
      </c>
    </row>
    <row r="1423" spans="3:11" x14ac:dyDescent="0.25">
      <c r="C1423" s="78"/>
      <c r="D1423" s="78"/>
      <c r="E1423" s="78"/>
      <c r="F1423" s="122">
        <f>SUM(F1401:F1422)</f>
        <v>226134.56999999998</v>
      </c>
      <c r="J1423" s="157">
        <v>118075.91</v>
      </c>
      <c r="K1423" s="39" t="s">
        <v>76</v>
      </c>
    </row>
    <row r="1424" spans="3:11" x14ac:dyDescent="0.25">
      <c r="F1424" s="157"/>
    </row>
    <row r="1425" spans="3:13" ht="18.75" x14ac:dyDescent="0.3">
      <c r="E1425" s="101" t="s">
        <v>224</v>
      </c>
      <c r="F1425" s="101">
        <v>40570.29</v>
      </c>
      <c r="J1425" s="264">
        <f>J1422-J1423</f>
        <v>231.34999999997672</v>
      </c>
      <c r="M1425" s="121"/>
    </row>
    <row r="1426" spans="3:13" x14ac:dyDescent="0.25">
      <c r="C1426" s="121"/>
    </row>
    <row r="1428" spans="3:13" ht="18.75" x14ac:dyDescent="0.3">
      <c r="C1428" s="121"/>
      <c r="E1428" s="99" t="s">
        <v>225</v>
      </c>
      <c r="F1428" s="125">
        <f>SUM(F1423+F1425)</f>
        <v>266704.86</v>
      </c>
    </row>
    <row r="1429" spans="3:13" x14ac:dyDescent="0.25">
      <c r="C1429" s="121"/>
    </row>
    <row r="1430" spans="3:13" x14ac:dyDescent="0.25">
      <c r="C1430" s="121"/>
    </row>
    <row r="1432" spans="3:13" x14ac:dyDescent="0.25">
      <c r="C1432" s="91"/>
    </row>
    <row r="1434" spans="3:13" ht="15.75" x14ac:dyDescent="0.25">
      <c r="D1434" s="132" t="s">
        <v>235</v>
      </c>
      <c r="E1434" s="133">
        <v>29286.400000000001</v>
      </c>
      <c r="I1434" s="318" t="s">
        <v>497</v>
      </c>
      <c r="J1434" s="318"/>
    </row>
    <row r="1435" spans="3:13" x14ac:dyDescent="0.25">
      <c r="D1435" t="s">
        <v>1228</v>
      </c>
      <c r="E1435">
        <v>-80</v>
      </c>
      <c r="I1435" s="163" t="s">
        <v>1249</v>
      </c>
      <c r="J1435" s="121">
        <v>50</v>
      </c>
    </row>
    <row r="1436" spans="3:13" x14ac:dyDescent="0.25">
      <c r="D1436" t="s">
        <v>357</v>
      </c>
      <c r="E1436" s="121">
        <v>3005</v>
      </c>
      <c r="I1436" s="163" t="s">
        <v>17</v>
      </c>
      <c r="J1436" s="157">
        <v>1</v>
      </c>
    </row>
    <row r="1437" spans="3:13" x14ac:dyDescent="0.25">
      <c r="C1437" s="91">
        <v>46189</v>
      </c>
      <c r="D1437" t="s">
        <v>1231</v>
      </c>
      <c r="E1437" s="121">
        <v>-17700</v>
      </c>
      <c r="I1437" s="163" t="s">
        <v>1253</v>
      </c>
      <c r="J1437" s="157">
        <v>360</v>
      </c>
    </row>
    <row r="1438" spans="3:13" x14ac:dyDescent="0.25">
      <c r="C1438" s="91"/>
      <c r="D1438" s="139" t="s">
        <v>1233</v>
      </c>
      <c r="E1438" s="138">
        <v>-720</v>
      </c>
      <c r="I1438" s="163"/>
      <c r="J1438" s="121"/>
    </row>
    <row r="1439" spans="3:13" ht="15.75" x14ac:dyDescent="0.25">
      <c r="C1439" s="91"/>
      <c r="D1439" s="139" t="s">
        <v>954</v>
      </c>
      <c r="E1439" s="138">
        <v>-80</v>
      </c>
      <c r="I1439" s="130" t="s">
        <v>53</v>
      </c>
      <c r="J1439" s="131">
        <f>SUM(J1435:J1438)</f>
        <v>411</v>
      </c>
    </row>
    <row r="1440" spans="3:13" x14ac:dyDescent="0.25">
      <c r="C1440" s="91"/>
      <c r="D1440" t="s">
        <v>1235</v>
      </c>
      <c r="E1440" s="121">
        <v>860</v>
      </c>
    </row>
    <row r="1441" spans="3:11" x14ac:dyDescent="0.25">
      <c r="C1441" s="91"/>
      <c r="D1441" t="s">
        <v>1236</v>
      </c>
      <c r="E1441" s="121">
        <v>2640</v>
      </c>
      <c r="H1441" s="121"/>
    </row>
    <row r="1442" spans="3:11" x14ac:dyDescent="0.25">
      <c r="D1442" t="s">
        <v>1239</v>
      </c>
      <c r="E1442" s="121">
        <v>21271.3</v>
      </c>
    </row>
    <row r="1443" spans="3:11" x14ac:dyDescent="0.25">
      <c r="D1443" t="s">
        <v>357</v>
      </c>
      <c r="E1443" s="121">
        <v>3978</v>
      </c>
    </row>
    <row r="1444" spans="3:11" x14ac:dyDescent="0.25">
      <c r="C1444" s="91">
        <v>46190</v>
      </c>
      <c r="D1444" t="s">
        <v>1241</v>
      </c>
      <c r="E1444" s="121">
        <v>9000</v>
      </c>
    </row>
    <row r="1445" spans="3:11" x14ac:dyDescent="0.25">
      <c r="C1445" s="91"/>
      <c r="D1445" t="s">
        <v>1244</v>
      </c>
      <c r="E1445" s="121">
        <v>130</v>
      </c>
      <c r="H1445" s="121"/>
    </row>
    <row r="1446" spans="3:11" x14ac:dyDescent="0.25">
      <c r="C1446" s="91"/>
      <c r="D1446" t="s">
        <v>1200</v>
      </c>
      <c r="E1446" s="121">
        <v>-20</v>
      </c>
    </row>
    <row r="1447" spans="3:11" x14ac:dyDescent="0.25">
      <c r="C1447" s="91"/>
      <c r="D1447" t="s">
        <v>1245</v>
      </c>
      <c r="E1447" s="121">
        <v>-100</v>
      </c>
    </row>
    <row r="1448" spans="3:11" x14ac:dyDescent="0.25">
      <c r="C1448" s="91"/>
      <c r="D1448" t="s">
        <v>1246</v>
      </c>
      <c r="E1448" s="121">
        <v>-13</v>
      </c>
      <c r="I1448" s="121"/>
      <c r="K1448" s="121"/>
    </row>
    <row r="1449" spans="3:11" x14ac:dyDescent="0.25">
      <c r="C1449" s="91"/>
      <c r="D1449" t="s">
        <v>272</v>
      </c>
      <c r="E1449" s="121">
        <v>-150</v>
      </c>
    </row>
    <row r="1450" spans="3:11" x14ac:dyDescent="0.25">
      <c r="C1450" s="91"/>
      <c r="D1450" t="s">
        <v>1247</v>
      </c>
      <c r="E1450" s="121">
        <v>-50</v>
      </c>
    </row>
    <row r="1451" spans="3:11" ht="18.75" x14ac:dyDescent="0.3">
      <c r="D1451" s="148" t="s">
        <v>1248</v>
      </c>
      <c r="E1451" s="292">
        <v>-1</v>
      </c>
    </row>
    <row r="1452" spans="3:11" x14ac:dyDescent="0.25">
      <c r="D1452" s="150" t="s">
        <v>1252</v>
      </c>
      <c r="E1452" s="151">
        <v>-100</v>
      </c>
    </row>
    <row r="1453" spans="3:11" x14ac:dyDescent="0.25">
      <c r="D1453" s="150" t="s">
        <v>1254</v>
      </c>
      <c r="E1453" s="151">
        <v>-15</v>
      </c>
    </row>
    <row r="1454" spans="3:11" x14ac:dyDescent="0.25">
      <c r="D1454" s="163" t="s">
        <v>357</v>
      </c>
      <c r="E1454" s="164">
        <v>1190.7</v>
      </c>
    </row>
    <row r="1455" spans="3:11" ht="18.75" x14ac:dyDescent="0.3">
      <c r="D1455" s="148"/>
      <c r="E1455" s="292"/>
    </row>
    <row r="1456" spans="3:11" x14ac:dyDescent="0.25">
      <c r="E1456" s="121"/>
    </row>
    <row r="1457" spans="3:5" ht="15.75" x14ac:dyDescent="0.25">
      <c r="D1457" s="132" t="s">
        <v>236</v>
      </c>
      <c r="E1457" s="133">
        <f>SUM(E1434:E1456)</f>
        <v>52332.399999999994</v>
      </c>
    </row>
    <row r="1460" spans="3:5" x14ac:dyDescent="0.25">
      <c r="E1460">
        <v>-11.9</v>
      </c>
    </row>
    <row r="1462" spans="3:5" x14ac:dyDescent="0.25">
      <c r="D1462" s="39"/>
      <c r="E1462" s="157">
        <f>SUM(E1457:E1461)</f>
        <v>52320.499999999993</v>
      </c>
    </row>
    <row r="1463" spans="3:5" x14ac:dyDescent="0.25">
      <c r="D1463" s="39"/>
      <c r="E1463" s="157"/>
    </row>
    <row r="1465" spans="3:5" x14ac:dyDescent="0.25">
      <c r="C1465" s="91"/>
    </row>
    <row r="1466" spans="3:5" ht="18.75" x14ac:dyDescent="0.3">
      <c r="D1466" s="333" t="s">
        <v>1125</v>
      </c>
      <c r="E1466" s="333"/>
    </row>
    <row r="1467" spans="3:5" ht="15.75" x14ac:dyDescent="0.25">
      <c r="D1467" s="166" t="s">
        <v>429</v>
      </c>
      <c r="E1467" s="140">
        <v>170801.57</v>
      </c>
    </row>
    <row r="1468" spans="3:5" ht="15.75" x14ac:dyDescent="0.25">
      <c r="D1468" s="166" t="s">
        <v>216</v>
      </c>
      <c r="E1468" s="140">
        <v>-8850</v>
      </c>
    </row>
    <row r="1469" spans="3:5" ht="15.75" x14ac:dyDescent="0.25">
      <c r="D1469" s="166" t="s">
        <v>1223</v>
      </c>
      <c r="E1469" s="140">
        <v>-1920</v>
      </c>
    </row>
    <row r="1470" spans="3:5" ht="15.75" x14ac:dyDescent="0.25">
      <c r="D1470" s="214" t="s">
        <v>535</v>
      </c>
      <c r="E1470" s="210">
        <v>-0.45</v>
      </c>
    </row>
    <row r="1471" spans="3:5" ht="15.75" x14ac:dyDescent="0.25">
      <c r="C1471" s="91">
        <v>46189</v>
      </c>
      <c r="D1471" s="178" t="s">
        <v>1234</v>
      </c>
      <c r="E1471" s="212">
        <v>-2880</v>
      </c>
    </row>
    <row r="1472" spans="3:5" ht="15.75" x14ac:dyDescent="0.25">
      <c r="C1472" s="91"/>
      <c r="D1472" s="214" t="s">
        <v>939</v>
      </c>
      <c r="E1472" s="210">
        <v>-10</v>
      </c>
    </row>
    <row r="1473" spans="3:5" ht="15.75" x14ac:dyDescent="0.25">
      <c r="C1473" s="91"/>
      <c r="D1473" s="214" t="s">
        <v>535</v>
      </c>
      <c r="E1473" s="210">
        <v>-0.1</v>
      </c>
    </row>
    <row r="1474" spans="3:5" ht="15.75" x14ac:dyDescent="0.25">
      <c r="C1474" s="91">
        <v>46190</v>
      </c>
      <c r="D1474" s="178" t="s">
        <v>1234</v>
      </c>
      <c r="E1474" s="212">
        <v>-2880</v>
      </c>
    </row>
    <row r="1475" spans="3:5" ht="15.75" x14ac:dyDescent="0.25">
      <c r="C1475" s="91"/>
      <c r="D1475" s="178" t="s">
        <v>891</v>
      </c>
      <c r="E1475" s="212">
        <v>-10</v>
      </c>
    </row>
    <row r="1476" spans="3:5" ht="15.75" x14ac:dyDescent="0.25">
      <c r="C1476" s="91"/>
      <c r="D1476" s="178" t="s">
        <v>250</v>
      </c>
      <c r="E1476" s="212">
        <v>-379.37</v>
      </c>
    </row>
    <row r="1477" spans="3:5" ht="15.75" x14ac:dyDescent="0.25">
      <c r="C1477" s="91"/>
      <c r="D1477" s="178" t="s">
        <v>535</v>
      </c>
      <c r="E1477" s="212">
        <v>-0.1</v>
      </c>
    </row>
    <row r="1478" spans="3:5" ht="15.75" x14ac:dyDescent="0.25">
      <c r="C1478" s="91"/>
      <c r="D1478" s="178"/>
      <c r="E1478" s="212"/>
    </row>
    <row r="1479" spans="3:5" ht="15.75" x14ac:dyDescent="0.25">
      <c r="D1479" s="178"/>
      <c r="E1479" s="212"/>
    </row>
    <row r="1480" spans="3:5" x14ac:dyDescent="0.25">
      <c r="D1480" s="78"/>
      <c r="E1480" s="78"/>
    </row>
    <row r="1481" spans="3:5" ht="15.75" x14ac:dyDescent="0.25">
      <c r="D1481" s="78" t="s">
        <v>596</v>
      </c>
      <c r="E1481" s="189">
        <f>SUM(E1467:E1480)</f>
        <v>153871.54999999999</v>
      </c>
    </row>
    <row r="1483" spans="3:5" x14ac:dyDescent="0.25">
      <c r="D1483" t="s">
        <v>361</v>
      </c>
      <c r="E1483" s="121">
        <v>1342</v>
      </c>
    </row>
    <row r="1485" spans="3:5" ht="18.75" x14ac:dyDescent="0.3">
      <c r="E1485" s="280">
        <f>E1481+E1483</f>
        <v>155213.54999999999</v>
      </c>
    </row>
    <row r="1496" spans="3:11" ht="18.75" x14ac:dyDescent="0.3">
      <c r="C1496" s="314" t="s">
        <v>1256</v>
      </c>
      <c r="D1496" s="315"/>
      <c r="E1496" s="315"/>
      <c r="F1496" s="315"/>
      <c r="G1496" s="315"/>
      <c r="H1496" s="315"/>
      <c r="I1496" s="315"/>
      <c r="J1496" s="315"/>
      <c r="K1496" s="315"/>
    </row>
    <row r="1497" spans="3:11" x14ac:dyDescent="0.25">
      <c r="C1497" s="78"/>
      <c r="D1497" s="78"/>
      <c r="E1497" s="78"/>
      <c r="F1497" s="78"/>
      <c r="G1497" s="78"/>
      <c r="H1497" s="78"/>
      <c r="I1497" s="78"/>
      <c r="J1497" s="78"/>
      <c r="K1497" s="78"/>
    </row>
    <row r="1498" spans="3:11" ht="15.75" x14ac:dyDescent="0.25">
      <c r="C1498" s="118" t="s">
        <v>223</v>
      </c>
      <c r="D1498" s="118" t="s">
        <v>206</v>
      </c>
      <c r="E1498" s="118" t="s">
        <v>207</v>
      </c>
      <c r="F1498" s="118" t="s">
        <v>218</v>
      </c>
      <c r="G1498" s="78"/>
      <c r="H1498" s="120" t="s">
        <v>6</v>
      </c>
      <c r="I1498" s="120" t="s">
        <v>217</v>
      </c>
      <c r="J1498" s="120" t="s">
        <v>207</v>
      </c>
      <c r="K1498" s="120" t="s">
        <v>218</v>
      </c>
    </row>
    <row r="1499" spans="3:11" x14ac:dyDescent="0.25">
      <c r="C1499" s="276">
        <v>46178</v>
      </c>
      <c r="D1499" s="247" t="s">
        <v>1151</v>
      </c>
      <c r="E1499" s="118" t="s">
        <v>1230</v>
      </c>
      <c r="F1499" s="248">
        <v>13570</v>
      </c>
      <c r="G1499" s="78"/>
      <c r="H1499" s="117"/>
      <c r="I1499" s="78"/>
      <c r="J1499" s="78"/>
      <c r="K1499" s="119"/>
    </row>
    <row r="1500" spans="3:11" x14ac:dyDescent="0.25">
      <c r="C1500" s="276">
        <v>46178</v>
      </c>
      <c r="D1500" s="247" t="s">
        <v>1152</v>
      </c>
      <c r="E1500" s="118" t="s">
        <v>1217</v>
      </c>
      <c r="F1500" s="248">
        <v>3800</v>
      </c>
      <c r="G1500" s="78"/>
      <c r="H1500" s="117">
        <v>46037</v>
      </c>
      <c r="I1500" s="149" t="s">
        <v>66</v>
      </c>
      <c r="J1500" s="78" t="s">
        <v>222</v>
      </c>
      <c r="K1500" s="119">
        <v>2120</v>
      </c>
    </row>
    <row r="1501" spans="3:11" ht="15.75" x14ac:dyDescent="0.25">
      <c r="C1501" s="269">
        <v>46087</v>
      </c>
      <c r="D1501" s="270" t="s">
        <v>214</v>
      </c>
      <c r="E1501" s="270" t="s">
        <v>211</v>
      </c>
      <c r="F1501" s="271">
        <v>2700</v>
      </c>
      <c r="G1501" s="78"/>
      <c r="H1501" s="184">
        <v>46170</v>
      </c>
      <c r="I1501" s="78" t="s">
        <v>1060</v>
      </c>
      <c r="J1501" s="185"/>
      <c r="K1501" s="140">
        <v>4536</v>
      </c>
    </row>
    <row r="1502" spans="3:11" ht="15.75" x14ac:dyDescent="0.25">
      <c r="C1502" s="78"/>
      <c r="D1502" s="201" t="s">
        <v>429</v>
      </c>
      <c r="E1502" s="201"/>
      <c r="F1502" s="183">
        <v>153425.48000000001</v>
      </c>
      <c r="G1502" s="78"/>
      <c r="H1502" s="184"/>
      <c r="I1502" s="78" t="s">
        <v>1084</v>
      </c>
      <c r="J1502" s="185"/>
      <c r="K1502" s="140">
        <v>189000</v>
      </c>
    </row>
    <row r="1503" spans="3:11" ht="15.75" x14ac:dyDescent="0.25">
      <c r="C1503" s="117">
        <v>46156</v>
      </c>
      <c r="D1503" s="78" t="s">
        <v>353</v>
      </c>
      <c r="E1503" s="166"/>
      <c r="F1503" s="167">
        <v>580</v>
      </c>
      <c r="G1503" s="119"/>
      <c r="H1503" s="184"/>
      <c r="I1503" s="78" t="s">
        <v>281</v>
      </c>
      <c r="J1503" s="185"/>
      <c r="K1503" s="140">
        <v>7090</v>
      </c>
    </row>
    <row r="1504" spans="3:11" ht="15.75" x14ac:dyDescent="0.25">
      <c r="C1504" s="117">
        <v>46156</v>
      </c>
      <c r="D1504" s="78" t="s">
        <v>471</v>
      </c>
      <c r="E1504" s="166"/>
      <c r="F1504" s="167">
        <v>3902</v>
      </c>
      <c r="G1504" s="119"/>
      <c r="H1504" s="184"/>
      <c r="I1504" s="78" t="s">
        <v>257</v>
      </c>
      <c r="J1504" s="185"/>
      <c r="K1504" s="140">
        <v>2490</v>
      </c>
    </row>
    <row r="1505" spans="3:11" ht="15.75" x14ac:dyDescent="0.25">
      <c r="C1505" s="117">
        <v>46156</v>
      </c>
      <c r="D1505" s="78" t="s">
        <v>148</v>
      </c>
      <c r="E1505" s="166"/>
      <c r="F1505" s="167">
        <v>5785</v>
      </c>
      <c r="G1505" s="78"/>
      <c r="H1505" s="184"/>
      <c r="I1505" s="78"/>
      <c r="J1505" s="185"/>
      <c r="K1505" s="140"/>
    </row>
    <row r="1506" spans="3:11" x14ac:dyDescent="0.25">
      <c r="C1506" s="117">
        <v>46161</v>
      </c>
      <c r="D1506" s="78" t="s">
        <v>995</v>
      </c>
      <c r="E1506" s="166"/>
      <c r="F1506" s="167">
        <v>13727.32</v>
      </c>
      <c r="G1506" s="78"/>
      <c r="H1506" s="117"/>
      <c r="I1506" s="78"/>
      <c r="J1506" s="78"/>
      <c r="K1506" s="119"/>
    </row>
    <row r="1507" spans="3:11" ht="18.75" x14ac:dyDescent="0.3">
      <c r="C1507" s="117">
        <v>46163</v>
      </c>
      <c r="D1507" s="78" t="s">
        <v>999</v>
      </c>
      <c r="E1507" s="166"/>
      <c r="F1507" s="167">
        <v>4510</v>
      </c>
      <c r="G1507" s="78"/>
      <c r="H1507" s="78"/>
      <c r="I1507" s="126" t="s">
        <v>226</v>
      </c>
      <c r="J1507" s="126"/>
      <c r="K1507" s="127">
        <f>SUM(K1499:K1506)</f>
        <v>205236</v>
      </c>
    </row>
    <row r="1508" spans="3:11" x14ac:dyDescent="0.25">
      <c r="C1508" s="257"/>
      <c r="D1508" s="258" t="s">
        <v>1093</v>
      </c>
      <c r="E1508" s="214"/>
      <c r="F1508" s="219">
        <v>1050</v>
      </c>
      <c r="G1508" s="78"/>
    </row>
    <row r="1509" spans="3:11" x14ac:dyDescent="0.25">
      <c r="C1509" s="257">
        <v>46179</v>
      </c>
      <c r="D1509" s="258" t="s">
        <v>923</v>
      </c>
      <c r="E1509" s="214"/>
      <c r="F1509" s="219">
        <v>8650</v>
      </c>
      <c r="G1509" s="78"/>
      <c r="K1509" s="121"/>
    </row>
    <row r="1510" spans="3:11" x14ac:dyDescent="0.25">
      <c r="C1510" s="288"/>
      <c r="D1510" s="289" t="s">
        <v>1224</v>
      </c>
      <c r="E1510" s="290"/>
      <c r="F1510" s="291">
        <v>960</v>
      </c>
      <c r="J1510" s="121"/>
    </row>
    <row r="1511" spans="3:11" x14ac:dyDescent="0.25">
      <c r="C1511" s="257"/>
      <c r="D1511" s="258" t="s">
        <v>1088</v>
      </c>
      <c r="E1511" s="214"/>
      <c r="F1511" s="219">
        <v>2640</v>
      </c>
      <c r="J1511" s="121"/>
    </row>
    <row r="1512" spans="3:11" x14ac:dyDescent="0.25">
      <c r="C1512" s="257"/>
      <c r="D1512" s="258" t="s">
        <v>497</v>
      </c>
      <c r="E1512" s="214"/>
      <c r="F1512" s="219">
        <v>411</v>
      </c>
    </row>
    <row r="1513" spans="3:11" ht="15.75" x14ac:dyDescent="0.25">
      <c r="C1513" s="257"/>
      <c r="D1513" s="258" t="s">
        <v>422</v>
      </c>
      <c r="E1513" s="214"/>
      <c r="F1513" s="219">
        <v>3560</v>
      </c>
      <c r="H1513" s="316" t="s">
        <v>227</v>
      </c>
      <c r="I1513" s="317"/>
      <c r="J1513" s="140">
        <f>F1526-K1507</f>
        <v>67679.789999999979</v>
      </c>
    </row>
    <row r="1514" spans="3:11" ht="15.75" x14ac:dyDescent="0.25">
      <c r="C1514" s="257"/>
      <c r="D1514" s="258"/>
      <c r="E1514" s="214"/>
      <c r="F1514" s="219"/>
      <c r="J1514" s="89"/>
    </row>
    <row r="1515" spans="3:11" ht="15.75" x14ac:dyDescent="0.25">
      <c r="C1515" s="257"/>
      <c r="D1515" s="258"/>
      <c r="E1515" s="214"/>
      <c r="F1515" s="219"/>
      <c r="H1515" s="128" t="s">
        <v>285</v>
      </c>
      <c r="J1515" s="124">
        <f>E1565</f>
        <v>58110.899999999994</v>
      </c>
    </row>
    <row r="1516" spans="3:11" ht="15.75" x14ac:dyDescent="0.25">
      <c r="C1516" s="257"/>
      <c r="D1516" s="286" t="s">
        <v>1197</v>
      </c>
      <c r="E1516" s="254" t="s">
        <v>1214</v>
      </c>
      <c r="F1516" s="287">
        <v>8000.02</v>
      </c>
    </row>
    <row r="1517" spans="3:11" x14ac:dyDescent="0.25">
      <c r="C1517" s="257"/>
      <c r="D1517" s="258"/>
      <c r="E1517" s="214"/>
      <c r="F1517" s="219"/>
    </row>
    <row r="1518" spans="3:11" x14ac:dyDescent="0.25">
      <c r="C1518" s="257"/>
      <c r="D1518" s="258"/>
      <c r="E1518" s="214"/>
      <c r="F1518" s="219"/>
      <c r="G1518" s="121"/>
    </row>
    <row r="1519" spans="3:11" ht="21" x14ac:dyDescent="0.35">
      <c r="C1519" s="266">
        <v>46175</v>
      </c>
      <c r="D1519" s="267" t="s">
        <v>1059</v>
      </c>
      <c r="E1519" s="268" t="s">
        <v>1116</v>
      </c>
      <c r="F1519" s="265">
        <v>1473.68</v>
      </c>
      <c r="I1519" s="198" t="s">
        <v>286</v>
      </c>
      <c r="J1519" s="137">
        <f>SUM(J1513:J1515)</f>
        <v>125790.68999999997</v>
      </c>
    </row>
    <row r="1520" spans="3:11" x14ac:dyDescent="0.25">
      <c r="C1520" s="117"/>
      <c r="D1520" s="78"/>
      <c r="E1520" s="166"/>
      <c r="F1520" s="167"/>
      <c r="J1520" s="157">
        <v>118307.26</v>
      </c>
      <c r="K1520" s="39" t="s">
        <v>76</v>
      </c>
    </row>
    <row r="1521" spans="3:13" x14ac:dyDescent="0.25">
      <c r="C1521" s="78"/>
      <c r="D1521" s="78"/>
      <c r="E1521" s="78"/>
      <c r="F1521" s="122">
        <f>SUM(F1499:F1520)</f>
        <v>228744.5</v>
      </c>
    </row>
    <row r="1522" spans="3:13" ht="18.75" x14ac:dyDescent="0.3">
      <c r="F1522" s="157"/>
      <c r="J1522" s="264">
        <f>J1519-J1520</f>
        <v>7483.4299999999785</v>
      </c>
    </row>
    <row r="1523" spans="3:13" x14ac:dyDescent="0.25">
      <c r="E1523" s="101" t="s">
        <v>224</v>
      </c>
      <c r="F1523" s="101">
        <f>'STOCK 15-20-06 (18)'!AF55</f>
        <v>44171.29</v>
      </c>
      <c r="M1523" s="121"/>
    </row>
    <row r="1524" spans="3:13" x14ac:dyDescent="0.25">
      <c r="C1524" s="121"/>
    </row>
    <row r="1526" spans="3:13" ht="18.75" x14ac:dyDescent="0.3">
      <c r="C1526" s="121"/>
      <c r="E1526" s="99" t="s">
        <v>225</v>
      </c>
      <c r="F1526" s="125">
        <f>SUM(F1521+F1523)</f>
        <v>272915.78999999998</v>
      </c>
    </row>
    <row r="1527" spans="3:13" x14ac:dyDescent="0.25">
      <c r="C1527" s="121"/>
    </row>
    <row r="1528" spans="3:13" x14ac:dyDescent="0.25">
      <c r="C1528" s="121"/>
    </row>
    <row r="1530" spans="3:13" x14ac:dyDescent="0.25">
      <c r="C1530" s="91"/>
    </row>
    <row r="1531" spans="3:13" ht="15.75" x14ac:dyDescent="0.25">
      <c r="I1531" s="318" t="s">
        <v>497</v>
      </c>
      <c r="J1531" s="318"/>
    </row>
    <row r="1532" spans="3:13" ht="15.75" x14ac:dyDescent="0.25">
      <c r="D1532" s="132" t="s">
        <v>235</v>
      </c>
      <c r="E1532" s="133">
        <v>29286.400000000001</v>
      </c>
      <c r="I1532" s="163" t="s">
        <v>1249</v>
      </c>
      <c r="J1532" s="121">
        <v>50</v>
      </c>
    </row>
    <row r="1533" spans="3:13" x14ac:dyDescent="0.25">
      <c r="D1533" t="s">
        <v>1173</v>
      </c>
      <c r="E1533">
        <v>-80</v>
      </c>
      <c r="I1533" s="163" t="s">
        <v>17</v>
      </c>
      <c r="J1533" s="157">
        <v>1</v>
      </c>
    </row>
    <row r="1534" spans="3:13" x14ac:dyDescent="0.25">
      <c r="D1534" t="s">
        <v>357</v>
      </c>
      <c r="E1534" s="121">
        <v>3005</v>
      </c>
      <c r="I1534" s="163" t="s">
        <v>1253</v>
      </c>
      <c r="J1534" s="157">
        <v>360</v>
      </c>
    </row>
    <row r="1535" spans="3:13" x14ac:dyDescent="0.25">
      <c r="C1535" s="91">
        <v>46189</v>
      </c>
      <c r="D1535" t="s">
        <v>1231</v>
      </c>
      <c r="E1535" s="121">
        <v>-17700</v>
      </c>
      <c r="I1535" s="163"/>
      <c r="J1535" s="121"/>
    </row>
    <row r="1536" spans="3:13" ht="15.75" x14ac:dyDescent="0.25">
      <c r="C1536" s="91"/>
      <c r="D1536" s="139" t="s">
        <v>1233</v>
      </c>
      <c r="E1536" s="138">
        <v>-720</v>
      </c>
      <c r="I1536" s="130" t="s">
        <v>53</v>
      </c>
      <c r="J1536" s="131">
        <f>SUM(J1532:J1535)</f>
        <v>411</v>
      </c>
    </row>
    <row r="1537" spans="3:11" x14ac:dyDescent="0.25">
      <c r="C1537" s="91"/>
      <c r="D1537" s="139" t="s">
        <v>954</v>
      </c>
      <c r="E1537" s="138">
        <v>-80</v>
      </c>
    </row>
    <row r="1538" spans="3:11" x14ac:dyDescent="0.25">
      <c r="C1538" s="91"/>
      <c r="D1538" t="s">
        <v>1235</v>
      </c>
      <c r="E1538" s="121">
        <v>860</v>
      </c>
      <c r="H1538" s="121"/>
    </row>
    <row r="1539" spans="3:11" x14ac:dyDescent="0.25">
      <c r="C1539" s="91"/>
      <c r="D1539" t="s">
        <v>1236</v>
      </c>
      <c r="E1539" s="121">
        <v>2640</v>
      </c>
    </row>
    <row r="1540" spans="3:11" x14ac:dyDescent="0.25">
      <c r="D1540" t="s">
        <v>1239</v>
      </c>
      <c r="E1540" s="121">
        <v>21271.3</v>
      </c>
    </row>
    <row r="1541" spans="3:11" x14ac:dyDescent="0.25">
      <c r="D1541" t="s">
        <v>357</v>
      </c>
      <c r="E1541" s="121">
        <v>3978</v>
      </c>
    </row>
    <row r="1542" spans="3:11" x14ac:dyDescent="0.25">
      <c r="C1542" s="91">
        <v>46190</v>
      </c>
      <c r="D1542" t="s">
        <v>1241</v>
      </c>
      <c r="E1542" s="121">
        <v>9000</v>
      </c>
      <c r="H1542" s="121"/>
    </row>
    <row r="1543" spans="3:11" x14ac:dyDescent="0.25">
      <c r="C1543" s="91"/>
      <c r="D1543" t="s">
        <v>1244</v>
      </c>
      <c r="E1543" s="121">
        <v>130</v>
      </c>
    </row>
    <row r="1544" spans="3:11" x14ac:dyDescent="0.25">
      <c r="C1544" s="91"/>
      <c r="D1544" t="s">
        <v>1200</v>
      </c>
      <c r="E1544" s="121">
        <v>-20</v>
      </c>
    </row>
    <row r="1545" spans="3:11" x14ac:dyDescent="0.25">
      <c r="C1545" s="91"/>
      <c r="D1545" t="s">
        <v>1245</v>
      </c>
      <c r="E1545" s="121">
        <v>-100</v>
      </c>
      <c r="I1545" s="121"/>
      <c r="K1545" s="121"/>
    </row>
    <row r="1546" spans="3:11" x14ac:dyDescent="0.25">
      <c r="C1546" s="91"/>
      <c r="D1546" t="s">
        <v>1246</v>
      </c>
      <c r="E1546" s="121">
        <v>-13</v>
      </c>
    </row>
    <row r="1547" spans="3:11" x14ac:dyDescent="0.25">
      <c r="C1547" s="91"/>
      <c r="D1547" t="s">
        <v>272</v>
      </c>
      <c r="E1547" s="121">
        <v>-150</v>
      </c>
    </row>
    <row r="1548" spans="3:11" x14ac:dyDescent="0.25">
      <c r="C1548" s="91"/>
      <c r="D1548" t="s">
        <v>1247</v>
      </c>
      <c r="E1548" s="121">
        <v>-50</v>
      </c>
    </row>
    <row r="1549" spans="3:11" ht="18.75" x14ac:dyDescent="0.3">
      <c r="D1549" s="148" t="s">
        <v>1248</v>
      </c>
      <c r="E1549" s="292">
        <v>-1</v>
      </c>
    </row>
    <row r="1550" spans="3:11" x14ac:dyDescent="0.25">
      <c r="D1550" s="150" t="s">
        <v>1252</v>
      </c>
      <c r="E1550" s="151">
        <v>-100</v>
      </c>
    </row>
    <row r="1551" spans="3:11" x14ac:dyDescent="0.25">
      <c r="D1551" s="150" t="s">
        <v>1254</v>
      </c>
      <c r="E1551" s="151">
        <v>-15</v>
      </c>
    </row>
    <row r="1552" spans="3:11" x14ac:dyDescent="0.25">
      <c r="D1552" s="163" t="s">
        <v>357</v>
      </c>
      <c r="E1552" s="164">
        <v>1190.7</v>
      </c>
    </row>
    <row r="1553" spans="3:5" x14ac:dyDescent="0.25">
      <c r="C1553" s="187">
        <v>46191</v>
      </c>
      <c r="D1553" s="150" t="s">
        <v>1257</v>
      </c>
      <c r="E1553" s="151">
        <v>-750</v>
      </c>
    </row>
    <row r="1554" spans="3:5" x14ac:dyDescent="0.25">
      <c r="D1554" s="150" t="s">
        <v>1258</v>
      </c>
      <c r="E1554" s="151">
        <v>-1200</v>
      </c>
    </row>
    <row r="1555" spans="3:5" x14ac:dyDescent="0.25">
      <c r="C1555" s="71"/>
      <c r="D1555" s="71" t="s">
        <v>1259</v>
      </c>
      <c r="E1555" s="186">
        <v>504</v>
      </c>
    </row>
    <row r="1556" spans="3:5" x14ac:dyDescent="0.25">
      <c r="D1556" s="71" t="s">
        <v>1260</v>
      </c>
      <c r="E1556" s="186">
        <v>966</v>
      </c>
    </row>
    <row r="1557" spans="3:5" x14ac:dyDescent="0.25">
      <c r="D1557" s="71" t="s">
        <v>1261</v>
      </c>
      <c r="E1557" s="186">
        <v>278</v>
      </c>
    </row>
    <row r="1558" spans="3:5" x14ac:dyDescent="0.25">
      <c r="D1558" s="139" t="s">
        <v>1263</v>
      </c>
      <c r="E1558" s="138">
        <v>-50</v>
      </c>
    </row>
    <row r="1559" spans="3:5" x14ac:dyDescent="0.25">
      <c r="D1559" s="139" t="s">
        <v>1267</v>
      </c>
      <c r="E1559" s="138">
        <v>-150</v>
      </c>
    </row>
    <row r="1560" spans="3:5" x14ac:dyDescent="0.25">
      <c r="D1560" s="139" t="s">
        <v>1268</v>
      </c>
      <c r="E1560" s="138">
        <v>-4</v>
      </c>
    </row>
    <row r="1561" spans="3:5" x14ac:dyDescent="0.25">
      <c r="D1561" s="139" t="s">
        <v>1269</v>
      </c>
      <c r="E1561" s="138">
        <v>-85</v>
      </c>
    </row>
    <row r="1562" spans="3:5" x14ac:dyDescent="0.25">
      <c r="D1562" s="163" t="s">
        <v>357</v>
      </c>
      <c r="E1562" s="164">
        <v>4769.5</v>
      </c>
    </row>
    <row r="1563" spans="3:5" x14ac:dyDescent="0.25">
      <c r="D1563" s="139" t="s">
        <v>1270</v>
      </c>
      <c r="E1563" s="138">
        <v>1500</v>
      </c>
    </row>
    <row r="1564" spans="3:5" x14ac:dyDescent="0.25">
      <c r="E1564" s="121"/>
    </row>
    <row r="1565" spans="3:5" ht="15.75" x14ac:dyDescent="0.25">
      <c r="D1565" s="132" t="s">
        <v>236</v>
      </c>
      <c r="E1565" s="133">
        <f>SUM(E1532:E1564)</f>
        <v>58110.899999999994</v>
      </c>
    </row>
    <row r="1568" spans="3:5" x14ac:dyDescent="0.25">
      <c r="E1568">
        <v>-11.9</v>
      </c>
    </row>
    <row r="1570" spans="3:5" x14ac:dyDescent="0.25">
      <c r="D1570" s="39"/>
      <c r="E1570" s="157">
        <f>SUM(E1565:E1569)</f>
        <v>58098.999999999993</v>
      </c>
    </row>
    <row r="1571" spans="3:5" x14ac:dyDescent="0.25">
      <c r="D1571" s="39"/>
      <c r="E1571" s="157"/>
    </row>
    <row r="1572" spans="3:5" x14ac:dyDescent="0.25">
      <c r="C1572" s="91"/>
    </row>
    <row r="1574" spans="3:5" ht="18.75" x14ac:dyDescent="0.3">
      <c r="D1574" s="333" t="s">
        <v>1125</v>
      </c>
      <c r="E1574" s="333"/>
    </row>
    <row r="1575" spans="3:5" ht="15.75" x14ac:dyDescent="0.25">
      <c r="D1575" s="166" t="s">
        <v>429</v>
      </c>
      <c r="E1575" s="140">
        <v>170801.57</v>
      </c>
    </row>
    <row r="1576" spans="3:5" ht="15.75" x14ac:dyDescent="0.25">
      <c r="D1576" s="166" t="s">
        <v>216</v>
      </c>
      <c r="E1576" s="140">
        <v>-8850</v>
      </c>
    </row>
    <row r="1577" spans="3:5" ht="15.75" x14ac:dyDescent="0.25">
      <c r="D1577" s="166" t="s">
        <v>1223</v>
      </c>
      <c r="E1577" s="140">
        <v>-1920</v>
      </c>
    </row>
    <row r="1578" spans="3:5" ht="15.75" x14ac:dyDescent="0.25">
      <c r="C1578" s="91">
        <v>46189</v>
      </c>
      <c r="D1578" s="214" t="s">
        <v>535</v>
      </c>
      <c r="E1578" s="210">
        <v>-0.45</v>
      </c>
    </row>
    <row r="1579" spans="3:5" ht="15.75" x14ac:dyDescent="0.25">
      <c r="C1579" s="91"/>
      <c r="D1579" s="178" t="s">
        <v>1234</v>
      </c>
      <c r="E1579" s="212">
        <v>-2880</v>
      </c>
    </row>
    <row r="1580" spans="3:5" ht="15.75" x14ac:dyDescent="0.25">
      <c r="C1580" s="91"/>
      <c r="D1580" s="214" t="s">
        <v>939</v>
      </c>
      <c r="E1580" s="210">
        <v>-10</v>
      </c>
    </row>
    <row r="1581" spans="3:5" ht="15.75" x14ac:dyDescent="0.25">
      <c r="C1581" s="91">
        <v>46190</v>
      </c>
      <c r="D1581" s="214" t="s">
        <v>535</v>
      </c>
      <c r="E1581" s="210">
        <v>-0.1</v>
      </c>
    </row>
    <row r="1582" spans="3:5" ht="15.75" x14ac:dyDescent="0.25">
      <c r="C1582" s="91"/>
      <c r="D1582" s="178" t="s">
        <v>1234</v>
      </c>
      <c r="E1582" s="212">
        <v>-2880</v>
      </c>
    </row>
    <row r="1583" spans="3:5" ht="15.75" x14ac:dyDescent="0.25">
      <c r="C1583" s="91"/>
      <c r="D1583" s="178" t="s">
        <v>891</v>
      </c>
      <c r="E1583" s="212">
        <v>-10</v>
      </c>
    </row>
    <row r="1584" spans="3:5" ht="15.75" x14ac:dyDescent="0.25">
      <c r="C1584" s="91"/>
      <c r="D1584" s="178" t="s">
        <v>250</v>
      </c>
      <c r="E1584" s="212">
        <v>-379.37</v>
      </c>
    </row>
    <row r="1585" spans="3:5" ht="15.75" x14ac:dyDescent="0.25">
      <c r="C1585" s="91">
        <v>46191</v>
      </c>
      <c r="D1585" s="178" t="s">
        <v>535</v>
      </c>
      <c r="E1585" s="212">
        <v>-0.1</v>
      </c>
    </row>
    <row r="1586" spans="3:5" ht="15.75" x14ac:dyDescent="0.25">
      <c r="C1586" s="91"/>
      <c r="D1586" s="178" t="s">
        <v>1264</v>
      </c>
      <c r="E1586" s="212">
        <v>-446.07</v>
      </c>
    </row>
    <row r="1587" spans="3:5" ht="15.75" x14ac:dyDescent="0.25">
      <c r="C1587" s="91"/>
      <c r="D1587" s="178"/>
      <c r="E1587" s="212"/>
    </row>
    <row r="1588" spans="3:5" ht="15.75" x14ac:dyDescent="0.25">
      <c r="C1588" s="91"/>
      <c r="D1588" s="178"/>
      <c r="E1588" s="212"/>
    </row>
    <row r="1589" spans="3:5" x14ac:dyDescent="0.25">
      <c r="D1589" s="78"/>
      <c r="E1589" s="78"/>
    </row>
    <row r="1590" spans="3:5" ht="15.75" x14ac:dyDescent="0.25">
      <c r="D1590" s="78" t="s">
        <v>596</v>
      </c>
      <c r="E1590" s="189">
        <f>SUM(E1575:E1589)</f>
        <v>153425.47999999998</v>
      </c>
    </row>
    <row r="1592" spans="3:5" x14ac:dyDescent="0.25">
      <c r="D1592" t="s">
        <v>361</v>
      </c>
      <c r="E1592" s="121">
        <v>1342</v>
      </c>
    </row>
    <row r="1594" spans="3:5" ht="18.75" x14ac:dyDescent="0.3">
      <c r="E1594" s="280">
        <f>E1590+E1592</f>
        <v>154767.47999999998</v>
      </c>
    </row>
    <row r="1605" spans="3:11" x14ac:dyDescent="0.25">
      <c r="F1605">
        <f>19*590</f>
        <v>11210</v>
      </c>
    </row>
    <row r="1608" spans="3:11" ht="18.75" x14ac:dyDescent="0.3">
      <c r="C1608" s="314" t="s">
        <v>1272</v>
      </c>
      <c r="D1608" s="315"/>
      <c r="E1608" s="315"/>
      <c r="F1608" s="315"/>
      <c r="G1608" s="315"/>
      <c r="H1608" s="315"/>
      <c r="I1608" s="315"/>
      <c r="J1608" s="315"/>
      <c r="K1608" s="315"/>
    </row>
    <row r="1609" spans="3:11" x14ac:dyDescent="0.25">
      <c r="C1609" s="78"/>
      <c r="D1609" s="78"/>
      <c r="E1609" s="78"/>
      <c r="F1609" s="78"/>
      <c r="G1609" s="78"/>
      <c r="H1609" s="78"/>
      <c r="I1609" s="78"/>
      <c r="J1609" s="78"/>
      <c r="K1609" s="78"/>
    </row>
    <row r="1610" spans="3:11" ht="15.75" x14ac:dyDescent="0.25">
      <c r="C1610" s="118" t="s">
        <v>223</v>
      </c>
      <c r="D1610" s="118" t="s">
        <v>206</v>
      </c>
      <c r="E1610" s="118" t="s">
        <v>207</v>
      </c>
      <c r="F1610" s="118" t="s">
        <v>218</v>
      </c>
      <c r="G1610" s="78"/>
      <c r="H1610" s="120" t="s">
        <v>6</v>
      </c>
      <c r="I1610" s="120" t="s">
        <v>217</v>
      </c>
      <c r="J1610" s="120" t="s">
        <v>207</v>
      </c>
      <c r="K1610" s="120" t="s">
        <v>218</v>
      </c>
    </row>
    <row r="1611" spans="3:11" x14ac:dyDescent="0.25">
      <c r="C1611" s="276">
        <v>46178</v>
      </c>
      <c r="D1611" s="247" t="s">
        <v>1151</v>
      </c>
      <c r="E1611" s="118" t="s">
        <v>1273</v>
      </c>
      <c r="F1611" s="248">
        <v>11210</v>
      </c>
      <c r="G1611" s="78"/>
      <c r="H1611" s="117"/>
      <c r="I1611" s="78"/>
      <c r="J1611" s="78"/>
      <c r="K1611" s="119"/>
    </row>
    <row r="1612" spans="3:11" x14ac:dyDescent="0.25">
      <c r="C1612" s="276">
        <v>46178</v>
      </c>
      <c r="D1612" s="247" t="s">
        <v>1152</v>
      </c>
      <c r="E1612" s="118" t="s">
        <v>1217</v>
      </c>
      <c r="F1612" s="248">
        <v>3800</v>
      </c>
      <c r="G1612" s="78"/>
      <c r="H1612" s="117">
        <v>46037</v>
      </c>
      <c r="I1612" s="149" t="s">
        <v>66</v>
      </c>
      <c r="J1612" s="78" t="s">
        <v>222</v>
      </c>
      <c r="K1612" s="119">
        <v>2120</v>
      </c>
    </row>
    <row r="1613" spans="3:11" ht="15.75" x14ac:dyDescent="0.25">
      <c r="C1613" s="269">
        <v>46087</v>
      </c>
      <c r="D1613" s="270" t="s">
        <v>214</v>
      </c>
      <c r="E1613" s="270" t="s">
        <v>211</v>
      </c>
      <c r="F1613" s="271">
        <v>2700</v>
      </c>
      <c r="G1613" s="78"/>
      <c r="H1613" s="184"/>
      <c r="I1613" s="78" t="s">
        <v>1084</v>
      </c>
      <c r="J1613" s="185"/>
      <c r="K1613" s="140">
        <v>189000</v>
      </c>
    </row>
    <row r="1614" spans="3:11" ht="15.75" x14ac:dyDescent="0.25">
      <c r="C1614" s="78"/>
      <c r="D1614" s="201" t="s">
        <v>429</v>
      </c>
      <c r="E1614" s="201"/>
      <c r="F1614" s="183">
        <v>139523.13</v>
      </c>
      <c r="G1614" s="78"/>
      <c r="H1614" s="184"/>
      <c r="I1614" s="78" t="s">
        <v>281</v>
      </c>
      <c r="J1614" s="185"/>
      <c r="K1614" s="140">
        <v>7090</v>
      </c>
    </row>
    <row r="1615" spans="3:11" ht="15.75" x14ac:dyDescent="0.25">
      <c r="C1615" s="117">
        <v>46156</v>
      </c>
      <c r="D1615" s="78" t="s">
        <v>353</v>
      </c>
      <c r="E1615" s="166"/>
      <c r="F1615" s="167">
        <v>580</v>
      </c>
      <c r="G1615" s="119"/>
      <c r="H1615" s="184"/>
      <c r="I1615" s="78" t="s">
        <v>257</v>
      </c>
      <c r="J1615" s="185"/>
      <c r="K1615" s="140">
        <v>2490</v>
      </c>
    </row>
    <row r="1616" spans="3:11" ht="15.75" x14ac:dyDescent="0.25">
      <c r="C1616" s="117">
        <v>46156</v>
      </c>
      <c r="D1616" s="78" t="s">
        <v>471</v>
      </c>
      <c r="E1616" s="166"/>
      <c r="F1616" s="167">
        <v>3902</v>
      </c>
      <c r="G1616" s="119"/>
      <c r="H1616" s="184"/>
      <c r="I1616" s="78"/>
      <c r="J1616" s="185"/>
      <c r="K1616" s="140"/>
    </row>
    <row r="1617" spans="3:12" x14ac:dyDescent="0.25">
      <c r="C1617" s="117">
        <v>46156</v>
      </c>
      <c r="D1617" s="78" t="s">
        <v>148</v>
      </c>
      <c r="E1617" s="166"/>
      <c r="F1617" s="167">
        <v>5785</v>
      </c>
      <c r="G1617" s="78"/>
      <c r="H1617" s="117"/>
      <c r="I1617" s="78"/>
      <c r="J1617" s="78"/>
      <c r="K1617" s="119"/>
    </row>
    <row r="1618" spans="3:12" ht="18.75" x14ac:dyDescent="0.3">
      <c r="C1618" s="117">
        <v>46161</v>
      </c>
      <c r="D1618" s="78" t="s">
        <v>995</v>
      </c>
      <c r="E1618" s="166"/>
      <c r="F1618" s="167">
        <v>13727.32</v>
      </c>
      <c r="G1618" s="78"/>
      <c r="H1618" s="78"/>
      <c r="I1618" s="126" t="s">
        <v>226</v>
      </c>
      <c r="J1618" s="126"/>
      <c r="K1618" s="127">
        <f>SUM(K1611:K1617)</f>
        <v>200700</v>
      </c>
    </row>
    <row r="1619" spans="3:12" x14ac:dyDescent="0.25">
      <c r="C1619" s="117">
        <v>46163</v>
      </c>
      <c r="D1619" s="78" t="s">
        <v>999</v>
      </c>
      <c r="E1619" s="166"/>
      <c r="F1619" s="167">
        <v>4510</v>
      </c>
      <c r="G1619" s="78"/>
    </row>
    <row r="1620" spans="3:12" x14ac:dyDescent="0.25">
      <c r="C1620" s="257"/>
      <c r="D1620" s="258" t="s">
        <v>1093</v>
      </c>
      <c r="E1620" s="214"/>
      <c r="F1620" s="219">
        <v>1050</v>
      </c>
      <c r="G1620" s="78"/>
      <c r="K1620" s="121"/>
    </row>
    <row r="1621" spans="3:12" x14ac:dyDescent="0.25">
      <c r="C1621" s="257">
        <v>46179</v>
      </c>
      <c r="D1621" s="258" t="s">
        <v>923</v>
      </c>
      <c r="E1621" s="214"/>
      <c r="F1621" s="219">
        <v>8650</v>
      </c>
      <c r="G1621" s="78"/>
      <c r="J1621" s="121"/>
    </row>
    <row r="1622" spans="3:12" x14ac:dyDescent="0.25">
      <c r="C1622" s="288"/>
      <c r="D1622" s="289" t="s">
        <v>1224</v>
      </c>
      <c r="E1622" s="290"/>
      <c r="F1622" s="291">
        <v>960</v>
      </c>
      <c r="J1622" s="121"/>
    </row>
    <row r="1623" spans="3:12" x14ac:dyDescent="0.25">
      <c r="C1623" s="257"/>
      <c r="D1623" s="258" t="s">
        <v>1088</v>
      </c>
      <c r="E1623" s="214"/>
      <c r="F1623" s="219">
        <v>2640</v>
      </c>
    </row>
    <row r="1624" spans="3:12" ht="15.75" x14ac:dyDescent="0.25">
      <c r="C1624" s="257"/>
      <c r="D1624" s="258" t="s">
        <v>497</v>
      </c>
      <c r="E1624" s="214"/>
      <c r="F1624" s="219">
        <v>511</v>
      </c>
      <c r="H1624" s="316" t="s">
        <v>227</v>
      </c>
      <c r="I1624" s="317"/>
      <c r="J1624" s="140">
        <f>F1638-K1618</f>
        <v>58888.540000000008</v>
      </c>
    </row>
    <row r="1625" spans="3:12" ht="15.75" x14ac:dyDescent="0.25">
      <c r="C1625" s="257"/>
      <c r="D1625" s="258" t="s">
        <v>422</v>
      </c>
      <c r="E1625" s="214"/>
      <c r="F1625" s="219">
        <v>3560</v>
      </c>
      <c r="J1625" s="89"/>
    </row>
    <row r="1626" spans="3:12" ht="15.75" x14ac:dyDescent="0.25">
      <c r="C1626" s="257"/>
      <c r="D1626" s="258"/>
      <c r="E1626" s="214"/>
      <c r="F1626" s="219"/>
      <c r="H1626" s="128" t="s">
        <v>285</v>
      </c>
      <c r="J1626" s="124">
        <f>E1683</f>
        <v>61773.399999999994</v>
      </c>
    </row>
    <row r="1627" spans="3:12" x14ac:dyDescent="0.25">
      <c r="C1627" s="257"/>
      <c r="D1627" s="258"/>
      <c r="E1627" s="214"/>
      <c r="F1627" s="219"/>
    </row>
    <row r="1628" spans="3:12" ht="15.75" x14ac:dyDescent="0.25">
      <c r="C1628" s="257"/>
      <c r="D1628" s="286" t="s">
        <v>1197</v>
      </c>
      <c r="E1628" s="254" t="s">
        <v>1282</v>
      </c>
      <c r="F1628" s="287">
        <v>13385.12</v>
      </c>
      <c r="L1628" s="121"/>
    </row>
    <row r="1629" spans="3:12" x14ac:dyDescent="0.25">
      <c r="C1629" s="257"/>
      <c r="D1629" s="258"/>
      <c r="E1629" s="214"/>
      <c r="F1629" s="219"/>
    </row>
    <row r="1630" spans="3:12" ht="21" x14ac:dyDescent="0.35">
      <c r="C1630" s="257"/>
      <c r="D1630" s="258"/>
      <c r="E1630" s="214"/>
      <c r="F1630" s="219"/>
      <c r="G1630" s="121"/>
      <c r="I1630" s="198" t="s">
        <v>286</v>
      </c>
      <c r="J1630" s="137">
        <f>SUM(J1624:J1626)</f>
        <v>120661.94</v>
      </c>
    </row>
    <row r="1631" spans="3:12" x14ac:dyDescent="0.25">
      <c r="C1631" s="266">
        <v>46175</v>
      </c>
      <c r="D1631" s="267" t="s">
        <v>1059</v>
      </c>
      <c r="E1631" s="268" t="s">
        <v>1116</v>
      </c>
      <c r="F1631" s="265">
        <v>1473.68</v>
      </c>
      <c r="J1631" s="157">
        <v>119127.69</v>
      </c>
      <c r="K1631" s="39" t="s">
        <v>76</v>
      </c>
    </row>
    <row r="1632" spans="3:12" x14ac:dyDescent="0.25">
      <c r="C1632" s="117"/>
      <c r="D1632" s="78"/>
      <c r="E1632" s="166"/>
      <c r="F1632" s="167"/>
    </row>
    <row r="1633" spans="3:13" ht="18.75" x14ac:dyDescent="0.3">
      <c r="C1633" s="78"/>
      <c r="D1633" s="78"/>
      <c r="E1633" s="78"/>
      <c r="F1633" s="122">
        <f>SUM(F1611:F1632)</f>
        <v>217967.25</v>
      </c>
      <c r="J1633" s="264">
        <f>J1630-J1631</f>
        <v>1534.25</v>
      </c>
    </row>
    <row r="1634" spans="3:13" x14ac:dyDescent="0.25">
      <c r="F1634" s="157"/>
    </row>
    <row r="1635" spans="3:13" x14ac:dyDescent="0.25">
      <c r="E1635" s="101" t="s">
        <v>224</v>
      </c>
      <c r="F1635" s="101">
        <v>41621.29</v>
      </c>
      <c r="M1635" s="121"/>
    </row>
    <row r="1636" spans="3:13" x14ac:dyDescent="0.25">
      <c r="C1636" s="121"/>
    </row>
    <row r="1638" spans="3:13" ht="18.75" x14ac:dyDescent="0.3">
      <c r="C1638" s="121"/>
      <c r="E1638" s="99" t="s">
        <v>225</v>
      </c>
      <c r="F1638" s="125">
        <f>SUM(F1633+F1635)</f>
        <v>259588.54</v>
      </c>
    </row>
    <row r="1639" spans="3:13" x14ac:dyDescent="0.25">
      <c r="C1639" s="121"/>
    </row>
    <row r="1640" spans="3:13" x14ac:dyDescent="0.25">
      <c r="C1640" s="121"/>
    </row>
    <row r="1642" spans="3:13" ht="15.75" x14ac:dyDescent="0.25">
      <c r="C1642" s="91"/>
      <c r="I1642" s="318" t="s">
        <v>497</v>
      </c>
      <c r="J1642" s="318"/>
    </row>
    <row r="1643" spans="3:13" x14ac:dyDescent="0.25">
      <c r="I1643" s="163" t="s">
        <v>1249</v>
      </c>
      <c r="J1643" s="121">
        <v>50</v>
      </c>
    </row>
    <row r="1644" spans="3:13" ht="15.75" x14ac:dyDescent="0.25">
      <c r="D1644" s="132" t="s">
        <v>235</v>
      </c>
      <c r="E1644" s="133">
        <v>29286.400000000001</v>
      </c>
      <c r="I1644" s="163" t="s">
        <v>17</v>
      </c>
      <c r="J1644" s="157">
        <v>1</v>
      </c>
    </row>
    <row r="1645" spans="3:13" x14ac:dyDescent="0.25">
      <c r="D1645" t="s">
        <v>1173</v>
      </c>
      <c r="E1645">
        <v>-80</v>
      </c>
      <c r="I1645" s="163" t="s">
        <v>1253</v>
      </c>
      <c r="J1645" s="157">
        <v>360</v>
      </c>
    </row>
    <row r="1646" spans="3:13" x14ac:dyDescent="0.25">
      <c r="D1646" t="s">
        <v>357</v>
      </c>
      <c r="E1646" s="121">
        <v>3005</v>
      </c>
      <c r="I1646" s="163" t="s">
        <v>1249</v>
      </c>
      <c r="J1646" s="157">
        <v>100</v>
      </c>
    </row>
    <row r="1647" spans="3:13" x14ac:dyDescent="0.25">
      <c r="C1647" s="91">
        <v>46189</v>
      </c>
      <c r="D1647" t="s">
        <v>1231</v>
      </c>
      <c r="E1647" s="121">
        <v>-17700</v>
      </c>
      <c r="I1647" s="163"/>
      <c r="J1647" s="121"/>
    </row>
    <row r="1648" spans="3:13" ht="15.75" x14ac:dyDescent="0.25">
      <c r="C1648" s="91"/>
      <c r="D1648" s="139" t="s">
        <v>1233</v>
      </c>
      <c r="E1648" s="138">
        <v>-720</v>
      </c>
      <c r="I1648" s="130" t="s">
        <v>53</v>
      </c>
      <c r="J1648" s="131">
        <f>SUM(J1643:J1647)</f>
        <v>511</v>
      </c>
    </row>
    <row r="1649" spans="3:11" x14ac:dyDescent="0.25">
      <c r="C1649" s="91"/>
      <c r="D1649" s="139" t="s">
        <v>954</v>
      </c>
      <c r="E1649" s="138">
        <v>-80</v>
      </c>
      <c r="H1649" s="121"/>
    </row>
    <row r="1650" spans="3:11" x14ac:dyDescent="0.25">
      <c r="C1650" s="91"/>
      <c r="D1650" t="s">
        <v>1235</v>
      </c>
      <c r="E1650" s="121">
        <v>860</v>
      </c>
    </row>
    <row r="1651" spans="3:11" x14ac:dyDescent="0.25">
      <c r="C1651" s="91"/>
      <c r="D1651" t="s">
        <v>1236</v>
      </c>
      <c r="E1651" s="121">
        <v>2640</v>
      </c>
    </row>
    <row r="1652" spans="3:11" x14ac:dyDescent="0.25">
      <c r="D1652" t="s">
        <v>1239</v>
      </c>
      <c r="E1652" s="121">
        <v>21271.3</v>
      </c>
    </row>
    <row r="1653" spans="3:11" x14ac:dyDescent="0.25">
      <c r="D1653" t="s">
        <v>357</v>
      </c>
      <c r="E1653" s="121">
        <v>3978</v>
      </c>
      <c r="H1653" s="121"/>
    </row>
    <row r="1654" spans="3:11" x14ac:dyDescent="0.25">
      <c r="C1654" s="91">
        <v>46190</v>
      </c>
      <c r="D1654" t="s">
        <v>1241</v>
      </c>
      <c r="E1654" s="121">
        <v>9000</v>
      </c>
    </row>
    <row r="1655" spans="3:11" x14ac:dyDescent="0.25">
      <c r="C1655" s="91"/>
      <c r="D1655" t="s">
        <v>1244</v>
      </c>
      <c r="E1655" s="121">
        <v>130</v>
      </c>
    </row>
    <row r="1656" spans="3:11" x14ac:dyDescent="0.25">
      <c r="C1656" s="91"/>
      <c r="D1656" t="s">
        <v>1200</v>
      </c>
      <c r="E1656" s="121">
        <v>-20</v>
      </c>
      <c r="K1656" s="121"/>
    </row>
    <row r="1657" spans="3:11" x14ac:dyDescent="0.25">
      <c r="C1657" s="91"/>
      <c r="D1657" t="s">
        <v>1245</v>
      </c>
      <c r="E1657" s="121">
        <v>-100</v>
      </c>
      <c r="I1657" s="121"/>
    </row>
    <row r="1658" spans="3:11" x14ac:dyDescent="0.25">
      <c r="C1658" s="91"/>
      <c r="D1658" t="s">
        <v>1246</v>
      </c>
      <c r="E1658" s="121">
        <v>-13</v>
      </c>
    </row>
    <row r="1659" spans="3:11" x14ac:dyDescent="0.25">
      <c r="C1659" s="91"/>
      <c r="D1659" t="s">
        <v>272</v>
      </c>
      <c r="E1659" s="121">
        <v>-150</v>
      </c>
    </row>
    <row r="1660" spans="3:11" x14ac:dyDescent="0.25">
      <c r="C1660" s="91"/>
      <c r="D1660" t="s">
        <v>1247</v>
      </c>
      <c r="E1660" s="121">
        <v>-50</v>
      </c>
    </row>
    <row r="1661" spans="3:11" x14ac:dyDescent="0.25">
      <c r="D1661" s="139" t="s">
        <v>1248</v>
      </c>
      <c r="E1661" s="138">
        <v>-1</v>
      </c>
    </row>
    <row r="1662" spans="3:11" x14ac:dyDescent="0.25">
      <c r="D1662" s="150" t="s">
        <v>1252</v>
      </c>
      <c r="E1662" s="151">
        <v>-100</v>
      </c>
    </row>
    <row r="1663" spans="3:11" x14ac:dyDescent="0.25">
      <c r="D1663" s="150" t="s">
        <v>1254</v>
      </c>
      <c r="E1663" s="151">
        <v>-15</v>
      </c>
    </row>
    <row r="1664" spans="3:11" x14ac:dyDescent="0.25">
      <c r="D1664" s="163" t="s">
        <v>357</v>
      </c>
      <c r="E1664" s="164">
        <v>1190.7</v>
      </c>
    </row>
    <row r="1665" spans="3:5" x14ac:dyDescent="0.25">
      <c r="C1665" s="187">
        <v>46191</v>
      </c>
      <c r="D1665" s="150" t="s">
        <v>1257</v>
      </c>
      <c r="E1665" s="151">
        <v>-750</v>
      </c>
    </row>
    <row r="1666" spans="3:5" x14ac:dyDescent="0.25">
      <c r="D1666" s="150" t="s">
        <v>1258</v>
      </c>
      <c r="E1666" s="151">
        <v>-1200</v>
      </c>
    </row>
    <row r="1667" spans="3:5" x14ac:dyDescent="0.25">
      <c r="C1667" s="71"/>
      <c r="D1667" s="71" t="s">
        <v>1259</v>
      </c>
      <c r="E1667" s="186">
        <v>504</v>
      </c>
    </row>
    <row r="1668" spans="3:5" x14ac:dyDescent="0.25">
      <c r="D1668" s="71" t="s">
        <v>1260</v>
      </c>
      <c r="E1668" s="186">
        <v>966</v>
      </c>
    </row>
    <row r="1669" spans="3:5" x14ac:dyDescent="0.25">
      <c r="D1669" s="71" t="s">
        <v>1261</v>
      </c>
      <c r="E1669" s="186">
        <v>278</v>
      </c>
    </row>
    <row r="1670" spans="3:5" x14ac:dyDescent="0.25">
      <c r="D1670" s="139" t="s">
        <v>1263</v>
      </c>
      <c r="E1670" s="138">
        <v>-50</v>
      </c>
    </row>
    <row r="1671" spans="3:5" x14ac:dyDescent="0.25">
      <c r="D1671" s="139" t="s">
        <v>1267</v>
      </c>
      <c r="E1671" s="138">
        <v>-150</v>
      </c>
    </row>
    <row r="1672" spans="3:5" x14ac:dyDescent="0.25">
      <c r="D1672" s="139" t="s">
        <v>1268</v>
      </c>
      <c r="E1672" s="138">
        <v>-4</v>
      </c>
    </row>
    <row r="1673" spans="3:5" x14ac:dyDescent="0.25">
      <c r="D1673" s="139" t="s">
        <v>1269</v>
      </c>
      <c r="E1673" s="138">
        <v>-85</v>
      </c>
    </row>
    <row r="1674" spans="3:5" x14ac:dyDescent="0.25">
      <c r="D1674" s="163" t="s">
        <v>357</v>
      </c>
      <c r="E1674" s="164">
        <v>4769.5</v>
      </c>
    </row>
    <row r="1675" spans="3:5" x14ac:dyDescent="0.25">
      <c r="D1675" s="139" t="s">
        <v>1270</v>
      </c>
      <c r="E1675" s="138">
        <v>1500</v>
      </c>
    </row>
    <row r="1676" spans="3:5" x14ac:dyDescent="0.25">
      <c r="C1676" s="91">
        <v>46192</v>
      </c>
      <c r="D1676" s="71" t="s">
        <v>1283</v>
      </c>
      <c r="E1676" s="186">
        <v>2802.5</v>
      </c>
    </row>
    <row r="1677" spans="3:5" x14ac:dyDescent="0.25">
      <c r="D1677" s="139" t="s">
        <v>1280</v>
      </c>
      <c r="E1677" s="138">
        <v>-1180</v>
      </c>
    </row>
    <row r="1678" spans="3:5" x14ac:dyDescent="0.25">
      <c r="D1678" s="139" t="s">
        <v>714</v>
      </c>
      <c r="E1678" s="138">
        <v>-100</v>
      </c>
    </row>
    <row r="1679" spans="3:5" x14ac:dyDescent="0.25">
      <c r="D1679" s="139" t="s">
        <v>1111</v>
      </c>
      <c r="E1679" s="138">
        <v>-10</v>
      </c>
    </row>
    <row r="1680" spans="3:5" x14ac:dyDescent="0.25">
      <c r="D1680" s="71" t="s">
        <v>357</v>
      </c>
      <c r="E1680" s="186">
        <v>2150</v>
      </c>
    </row>
    <row r="1681" spans="3:5" x14ac:dyDescent="0.25">
      <c r="D1681" s="139"/>
      <c r="E1681" s="138"/>
    </row>
    <row r="1682" spans="3:5" x14ac:dyDescent="0.25">
      <c r="E1682" s="121"/>
    </row>
    <row r="1683" spans="3:5" ht="15.75" x14ac:dyDescent="0.25">
      <c r="D1683" s="132" t="s">
        <v>236</v>
      </c>
      <c r="E1683" s="133">
        <f>SUM(E1644:E1682)</f>
        <v>61773.399999999994</v>
      </c>
    </row>
    <row r="1686" spans="3:5" x14ac:dyDescent="0.25">
      <c r="E1686">
        <v>-11.9</v>
      </c>
    </row>
    <row r="1688" spans="3:5" x14ac:dyDescent="0.25">
      <c r="C1688" s="91"/>
      <c r="D1688" s="39"/>
      <c r="E1688" s="157">
        <f>SUM(E1683:E1687)</f>
        <v>61761.499999999993</v>
      </c>
    </row>
    <row r="1689" spans="3:5" x14ac:dyDescent="0.25">
      <c r="D1689" s="39"/>
      <c r="E1689" s="157"/>
    </row>
    <row r="1692" spans="3:5" ht="18.75" x14ac:dyDescent="0.3">
      <c r="D1692" s="333" t="s">
        <v>1125</v>
      </c>
      <c r="E1692" s="333"/>
    </row>
    <row r="1693" spans="3:5" ht="15.75" x14ac:dyDescent="0.25">
      <c r="D1693" s="166" t="s">
        <v>429</v>
      </c>
      <c r="E1693" s="140">
        <v>170801.57</v>
      </c>
    </row>
    <row r="1694" spans="3:5" ht="15.75" x14ac:dyDescent="0.25">
      <c r="C1694" s="91">
        <v>46189</v>
      </c>
      <c r="D1694" s="166" t="s">
        <v>216</v>
      </c>
      <c r="E1694" s="140">
        <v>-8850</v>
      </c>
    </row>
    <row r="1695" spans="3:5" ht="15.75" x14ac:dyDescent="0.25">
      <c r="C1695" s="91"/>
      <c r="D1695" s="166" t="s">
        <v>1223</v>
      </c>
      <c r="E1695" s="140">
        <v>-1920</v>
      </c>
    </row>
    <row r="1696" spans="3:5" ht="15.75" x14ac:dyDescent="0.25">
      <c r="C1696" s="91"/>
      <c r="D1696" s="214" t="s">
        <v>535</v>
      </c>
      <c r="E1696" s="210">
        <v>-0.45</v>
      </c>
    </row>
    <row r="1697" spans="3:5" ht="15.75" x14ac:dyDescent="0.25">
      <c r="C1697" s="91">
        <v>46190</v>
      </c>
      <c r="D1697" s="178" t="s">
        <v>1234</v>
      </c>
      <c r="E1697" s="212">
        <v>-2880</v>
      </c>
    </row>
    <row r="1698" spans="3:5" ht="15.75" x14ac:dyDescent="0.25">
      <c r="C1698" s="91"/>
      <c r="D1698" s="214" t="s">
        <v>939</v>
      </c>
      <c r="E1698" s="210">
        <v>-10</v>
      </c>
    </row>
    <row r="1699" spans="3:5" ht="15.75" x14ac:dyDescent="0.25">
      <c r="C1699" s="91"/>
      <c r="D1699" s="214" t="s">
        <v>535</v>
      </c>
      <c r="E1699" s="210">
        <v>-0.1</v>
      </c>
    </row>
    <row r="1700" spans="3:5" ht="15.75" x14ac:dyDescent="0.25">
      <c r="C1700" s="91"/>
      <c r="D1700" s="178" t="s">
        <v>1234</v>
      </c>
      <c r="E1700" s="212">
        <v>-2880</v>
      </c>
    </row>
    <row r="1701" spans="3:5" ht="15.75" x14ac:dyDescent="0.25">
      <c r="C1701" s="91">
        <v>46191</v>
      </c>
      <c r="D1701" s="178" t="s">
        <v>891</v>
      </c>
      <c r="E1701" s="212">
        <v>-10</v>
      </c>
    </row>
    <row r="1702" spans="3:5" ht="15.75" x14ac:dyDescent="0.25">
      <c r="C1702" s="91"/>
      <c r="D1702" s="178" t="s">
        <v>250</v>
      </c>
      <c r="E1702" s="212">
        <v>-379.37</v>
      </c>
    </row>
    <row r="1703" spans="3:5" ht="15.75" x14ac:dyDescent="0.25">
      <c r="C1703" s="91">
        <v>46192</v>
      </c>
      <c r="D1703" s="178" t="s">
        <v>535</v>
      </c>
      <c r="E1703" s="212">
        <v>-0.1</v>
      </c>
    </row>
    <row r="1704" spans="3:5" ht="15.75" x14ac:dyDescent="0.25">
      <c r="C1704" s="91"/>
      <c r="D1704" s="178" t="s">
        <v>1264</v>
      </c>
      <c r="E1704" s="212">
        <v>-446.07</v>
      </c>
    </row>
    <row r="1705" spans="3:5" ht="15.75" x14ac:dyDescent="0.25">
      <c r="C1705" s="91"/>
      <c r="D1705" s="178" t="s">
        <v>1274</v>
      </c>
      <c r="E1705" s="212">
        <v>-3180</v>
      </c>
    </row>
    <row r="1706" spans="3:5" ht="15.75" x14ac:dyDescent="0.25">
      <c r="C1706" s="91"/>
      <c r="D1706" s="178" t="s">
        <v>1275</v>
      </c>
      <c r="E1706" s="212">
        <v>-6000</v>
      </c>
    </row>
    <row r="1707" spans="3:5" ht="15.75" x14ac:dyDescent="0.25">
      <c r="C1707" s="91"/>
      <c r="D1707" s="214" t="s">
        <v>1276</v>
      </c>
      <c r="E1707" s="210">
        <v>6400</v>
      </c>
    </row>
    <row r="1708" spans="3:5" ht="15.75" x14ac:dyDescent="0.25">
      <c r="D1708" s="178" t="s">
        <v>1279</v>
      </c>
      <c r="E1708" s="212">
        <v>-5736</v>
      </c>
    </row>
    <row r="1709" spans="3:5" ht="15.75" x14ac:dyDescent="0.25">
      <c r="D1709" s="178" t="s">
        <v>1281</v>
      </c>
      <c r="E1709" s="212">
        <v>-5385.1</v>
      </c>
    </row>
    <row r="1710" spans="3:5" ht="15.75" x14ac:dyDescent="0.25">
      <c r="D1710" s="178" t="s">
        <v>535</v>
      </c>
      <c r="E1710" s="212">
        <v>-1.25</v>
      </c>
    </row>
    <row r="1711" spans="3:5" x14ac:dyDescent="0.25">
      <c r="D1711" s="78"/>
      <c r="E1711" s="78"/>
    </row>
    <row r="1712" spans="3:5" ht="15.75" x14ac:dyDescent="0.25">
      <c r="D1712" s="78" t="s">
        <v>596</v>
      </c>
      <c r="E1712" s="189">
        <f>SUM(E1693:E1711)</f>
        <v>139523.12999999998</v>
      </c>
    </row>
    <row r="1714" spans="3:11" x14ac:dyDescent="0.25">
      <c r="D1714" t="s">
        <v>361</v>
      </c>
      <c r="E1714" s="121">
        <v>1342</v>
      </c>
    </row>
    <row r="1716" spans="3:11" ht="18.75" x14ac:dyDescent="0.3">
      <c r="E1716" s="280">
        <f>E1712+E1714</f>
        <v>140865.12999999998</v>
      </c>
    </row>
    <row r="1727" spans="3:11" ht="18.75" x14ac:dyDescent="0.3">
      <c r="C1727" s="314" t="s">
        <v>1284</v>
      </c>
      <c r="D1727" s="315"/>
      <c r="E1727" s="315"/>
      <c r="F1727" s="315"/>
      <c r="G1727" s="315"/>
      <c r="H1727" s="315"/>
      <c r="I1727" s="315"/>
      <c r="J1727" s="315"/>
      <c r="K1727" s="315"/>
    </row>
    <row r="1728" spans="3:11" x14ac:dyDescent="0.25">
      <c r="C1728" s="78"/>
      <c r="D1728" s="78"/>
      <c r="E1728" s="78"/>
      <c r="F1728" s="78"/>
      <c r="G1728" s="78"/>
      <c r="H1728" s="78"/>
      <c r="I1728" s="78"/>
      <c r="J1728" s="78"/>
      <c r="K1728" s="78"/>
    </row>
    <row r="1729" spans="3:11" ht="15.75" x14ac:dyDescent="0.25">
      <c r="C1729" s="118" t="s">
        <v>223</v>
      </c>
      <c r="D1729" s="118" t="s">
        <v>206</v>
      </c>
      <c r="E1729" s="118" t="s">
        <v>207</v>
      </c>
      <c r="F1729" s="118" t="s">
        <v>218</v>
      </c>
      <c r="G1729" s="78"/>
      <c r="H1729" s="120" t="s">
        <v>6</v>
      </c>
      <c r="I1729" s="120" t="s">
        <v>217</v>
      </c>
      <c r="J1729" s="120" t="s">
        <v>207</v>
      </c>
      <c r="K1729" s="120" t="s">
        <v>218</v>
      </c>
    </row>
    <row r="1730" spans="3:11" x14ac:dyDescent="0.25">
      <c r="C1730" s="276">
        <v>46178</v>
      </c>
      <c r="D1730" s="247" t="s">
        <v>1151</v>
      </c>
      <c r="E1730" s="118" t="s">
        <v>1273</v>
      </c>
      <c r="F1730" s="248">
        <v>11210</v>
      </c>
      <c r="G1730" s="78"/>
      <c r="H1730" s="117"/>
      <c r="I1730" s="78"/>
      <c r="J1730" s="78"/>
      <c r="K1730" s="119"/>
    </row>
    <row r="1731" spans="3:11" x14ac:dyDescent="0.25">
      <c r="C1731" s="276">
        <v>46178</v>
      </c>
      <c r="D1731" s="247" t="s">
        <v>1152</v>
      </c>
      <c r="E1731" s="118" t="s">
        <v>1217</v>
      </c>
      <c r="F1731" s="248">
        <v>3800</v>
      </c>
      <c r="G1731" s="78"/>
      <c r="H1731" s="117">
        <v>46037</v>
      </c>
      <c r="I1731" s="149" t="s">
        <v>66</v>
      </c>
      <c r="J1731" s="78" t="s">
        <v>222</v>
      </c>
      <c r="K1731" s="119">
        <v>2120</v>
      </c>
    </row>
    <row r="1732" spans="3:11" ht="15.75" x14ac:dyDescent="0.25">
      <c r="C1732" s="269">
        <v>46087</v>
      </c>
      <c r="D1732" s="270" t="s">
        <v>214</v>
      </c>
      <c r="E1732" s="270" t="s">
        <v>211</v>
      </c>
      <c r="F1732" s="271">
        <v>2600</v>
      </c>
      <c r="G1732" s="78"/>
      <c r="H1732" s="184"/>
      <c r="I1732" s="78" t="s">
        <v>1084</v>
      </c>
      <c r="J1732" s="185"/>
      <c r="K1732" s="140">
        <v>189000</v>
      </c>
    </row>
    <row r="1733" spans="3:11" ht="15.75" x14ac:dyDescent="0.25">
      <c r="C1733" s="78"/>
      <c r="D1733" s="201" t="s">
        <v>429</v>
      </c>
      <c r="E1733" s="201"/>
      <c r="F1733" s="183">
        <v>127752.63</v>
      </c>
      <c r="G1733" s="78"/>
      <c r="H1733" s="184"/>
      <c r="I1733" s="78" t="s">
        <v>257</v>
      </c>
      <c r="J1733" s="185"/>
      <c r="K1733" s="140">
        <v>2490</v>
      </c>
    </row>
    <row r="1734" spans="3:11" ht="15.75" x14ac:dyDescent="0.25">
      <c r="C1734" s="117">
        <v>46156</v>
      </c>
      <c r="D1734" s="78" t="s">
        <v>353</v>
      </c>
      <c r="E1734" s="166"/>
      <c r="F1734" s="167">
        <v>580</v>
      </c>
      <c r="G1734" s="119"/>
      <c r="H1734" s="184"/>
      <c r="I1734" s="78"/>
      <c r="J1734" s="185"/>
      <c r="K1734" s="140"/>
    </row>
    <row r="1735" spans="3:11" x14ac:dyDescent="0.25">
      <c r="C1735" s="117">
        <v>46156</v>
      </c>
      <c r="D1735" s="78" t="s">
        <v>471</v>
      </c>
      <c r="E1735" s="166"/>
      <c r="F1735" s="167">
        <v>3902</v>
      </c>
      <c r="G1735" s="119"/>
      <c r="H1735" s="117"/>
      <c r="I1735" s="78"/>
      <c r="J1735" s="78"/>
      <c r="K1735" s="119"/>
    </row>
    <row r="1736" spans="3:11" ht="18.75" x14ac:dyDescent="0.3">
      <c r="C1736" s="117">
        <v>46156</v>
      </c>
      <c r="D1736" s="78" t="s">
        <v>148</v>
      </c>
      <c r="E1736" s="166"/>
      <c r="F1736" s="167">
        <v>5785</v>
      </c>
      <c r="G1736" s="78"/>
      <c r="H1736" s="78"/>
      <c r="I1736" s="126" t="s">
        <v>226</v>
      </c>
      <c r="J1736" s="126"/>
      <c r="K1736" s="127">
        <f>SUM(K1730:K1735)</f>
        <v>193610</v>
      </c>
    </row>
    <row r="1737" spans="3:11" x14ac:dyDescent="0.25">
      <c r="C1737" s="117">
        <v>46161</v>
      </c>
      <c r="D1737" s="78" t="s">
        <v>995</v>
      </c>
      <c r="E1737" s="166"/>
      <c r="F1737" s="167">
        <v>13727.32</v>
      </c>
      <c r="G1737" s="78"/>
    </row>
    <row r="1738" spans="3:11" x14ac:dyDescent="0.25">
      <c r="C1738" s="117">
        <v>46163</v>
      </c>
      <c r="D1738" s="78" t="s">
        <v>999</v>
      </c>
      <c r="E1738" s="166"/>
      <c r="F1738" s="167">
        <v>4510</v>
      </c>
      <c r="G1738" s="78"/>
      <c r="K1738" s="121"/>
    </row>
    <row r="1739" spans="3:11" x14ac:dyDescent="0.25">
      <c r="C1739" s="257"/>
      <c r="D1739" s="258" t="s">
        <v>1093</v>
      </c>
      <c r="E1739" s="214"/>
      <c r="F1739" s="219">
        <v>1050</v>
      </c>
      <c r="G1739" s="78"/>
      <c r="J1739" s="121"/>
    </row>
    <row r="1740" spans="3:11" x14ac:dyDescent="0.25">
      <c r="C1740" s="257">
        <v>46179</v>
      </c>
      <c r="D1740" s="258" t="s">
        <v>923</v>
      </c>
      <c r="E1740" s="214"/>
      <c r="F1740" s="219">
        <v>8650</v>
      </c>
      <c r="G1740" s="78"/>
      <c r="J1740" s="121"/>
    </row>
    <row r="1741" spans="3:11" x14ac:dyDescent="0.25">
      <c r="C1741" s="257"/>
      <c r="D1741" s="258" t="s">
        <v>497</v>
      </c>
      <c r="E1741" s="214"/>
      <c r="F1741" s="219">
        <v>2671</v>
      </c>
    </row>
    <row r="1742" spans="3:11" ht="15.75" x14ac:dyDescent="0.25">
      <c r="C1742" s="257"/>
      <c r="D1742" s="258" t="s">
        <v>422</v>
      </c>
      <c r="E1742" s="214"/>
      <c r="F1742" s="219">
        <v>3560</v>
      </c>
      <c r="H1742" s="316" t="s">
        <v>227</v>
      </c>
      <c r="I1742" s="317"/>
      <c r="J1742" s="140">
        <f>F1755-K1736</f>
        <v>57318.040000000008</v>
      </c>
    </row>
    <row r="1743" spans="3:11" ht="15.75" x14ac:dyDescent="0.25">
      <c r="C1743" s="257"/>
      <c r="D1743" s="294" t="s">
        <v>1290</v>
      </c>
      <c r="E1743" s="293"/>
      <c r="F1743" s="285">
        <v>2100</v>
      </c>
      <c r="J1743" s="89"/>
    </row>
    <row r="1744" spans="3:11" ht="15.75" x14ac:dyDescent="0.25">
      <c r="C1744" s="257"/>
      <c r="D1744" s="258"/>
      <c r="E1744" s="214"/>
      <c r="F1744" s="219"/>
      <c r="H1744" s="128" t="s">
        <v>285</v>
      </c>
      <c r="J1744" s="124">
        <f>E1807</f>
        <v>64748.399999999994</v>
      </c>
    </row>
    <row r="1745" spans="3:13" ht="15.75" x14ac:dyDescent="0.25">
      <c r="C1745" s="257"/>
      <c r="D1745" s="286" t="s">
        <v>1197</v>
      </c>
      <c r="E1745" s="254" t="s">
        <v>1282</v>
      </c>
      <c r="F1745" s="287">
        <v>13385.12</v>
      </c>
    </row>
    <row r="1746" spans="3:13" x14ac:dyDescent="0.25">
      <c r="C1746" s="257"/>
      <c r="D1746" s="258"/>
      <c r="E1746" s="214"/>
      <c r="F1746" s="219"/>
    </row>
    <row r="1747" spans="3:13" x14ac:dyDescent="0.25">
      <c r="C1747" s="257"/>
      <c r="D1747" s="258"/>
      <c r="E1747" s="214"/>
      <c r="F1747" s="219"/>
      <c r="L1747" s="121"/>
    </row>
    <row r="1748" spans="3:13" ht="21" x14ac:dyDescent="0.35">
      <c r="C1748" s="266">
        <v>46175</v>
      </c>
      <c r="D1748" s="267" t="s">
        <v>1059</v>
      </c>
      <c r="E1748" s="268" t="s">
        <v>1116</v>
      </c>
      <c r="F1748" s="265">
        <v>1473.68</v>
      </c>
      <c r="I1748" s="198" t="s">
        <v>286</v>
      </c>
      <c r="J1748" s="137">
        <f>SUM(J1742:J1744)</f>
        <v>122066.44</v>
      </c>
    </row>
    <row r="1749" spans="3:13" x14ac:dyDescent="0.25">
      <c r="C1749" s="117"/>
      <c r="D1749" s="78"/>
      <c r="E1749" s="166"/>
      <c r="F1749" s="167"/>
      <c r="G1749" s="121"/>
      <c r="J1749" s="157">
        <v>120661.94</v>
      </c>
      <c r="K1749" s="39" t="s">
        <v>76</v>
      </c>
    </row>
    <row r="1750" spans="3:13" x14ac:dyDescent="0.25">
      <c r="C1750" s="78"/>
      <c r="D1750" s="78"/>
      <c r="E1750" s="78"/>
      <c r="F1750" s="122">
        <f>SUM(F1730:F1749)</f>
        <v>206756.75</v>
      </c>
    </row>
    <row r="1751" spans="3:13" ht="18.75" x14ac:dyDescent="0.3">
      <c r="F1751" s="157"/>
      <c r="J1751" s="264">
        <f>J1748-J1749</f>
        <v>1404.5</v>
      </c>
    </row>
    <row r="1752" spans="3:13" x14ac:dyDescent="0.25">
      <c r="E1752" s="101" t="s">
        <v>224</v>
      </c>
      <c r="F1752" s="101">
        <f>'STOCK 15-20-06 (18)'!AF55</f>
        <v>44171.29</v>
      </c>
    </row>
    <row r="1753" spans="3:13" x14ac:dyDescent="0.25">
      <c r="C1753" s="121"/>
    </row>
    <row r="1754" spans="3:13" x14ac:dyDescent="0.25">
      <c r="M1754" s="121"/>
    </row>
    <row r="1755" spans="3:13" ht="18.75" x14ac:dyDescent="0.3">
      <c r="C1755" s="121"/>
      <c r="E1755" s="99" t="s">
        <v>225</v>
      </c>
      <c r="F1755" s="125">
        <f>SUM(F1750+F1752)</f>
        <v>250928.04</v>
      </c>
    </row>
    <row r="1756" spans="3:13" x14ac:dyDescent="0.25">
      <c r="C1756" s="121"/>
    </row>
    <row r="1757" spans="3:13" x14ac:dyDescent="0.25">
      <c r="C1757" s="121"/>
    </row>
    <row r="1759" spans="3:13" x14ac:dyDescent="0.25">
      <c r="C1759" s="91"/>
    </row>
    <row r="1760" spans="3:13" ht="15.75" x14ac:dyDescent="0.25">
      <c r="I1760" s="318" t="s">
        <v>497</v>
      </c>
      <c r="J1760" s="318"/>
    </row>
    <row r="1761" spans="3:11" ht="15.75" x14ac:dyDescent="0.25">
      <c r="D1761" s="132" t="s">
        <v>235</v>
      </c>
      <c r="E1761" s="133">
        <v>29286.400000000001</v>
      </c>
      <c r="I1761" s="163" t="s">
        <v>1249</v>
      </c>
      <c r="J1761" s="121">
        <v>50</v>
      </c>
    </row>
    <row r="1762" spans="3:11" x14ac:dyDescent="0.25">
      <c r="D1762" t="s">
        <v>1173</v>
      </c>
      <c r="E1762">
        <v>-80</v>
      </c>
      <c r="I1762" s="163" t="s">
        <v>17</v>
      </c>
      <c r="J1762" s="157">
        <v>1</v>
      </c>
    </row>
    <row r="1763" spans="3:11" x14ac:dyDescent="0.25">
      <c r="D1763" t="s">
        <v>357</v>
      </c>
      <c r="E1763" s="121">
        <v>3005</v>
      </c>
      <c r="I1763" s="163" t="s">
        <v>1253</v>
      </c>
      <c r="J1763" s="157">
        <v>360</v>
      </c>
    </row>
    <row r="1764" spans="3:11" x14ac:dyDescent="0.25">
      <c r="C1764" s="91">
        <v>46189</v>
      </c>
      <c r="D1764" t="s">
        <v>1231</v>
      </c>
      <c r="E1764" s="121">
        <v>-17700</v>
      </c>
      <c r="I1764" s="163" t="s">
        <v>1249</v>
      </c>
      <c r="J1764" s="157">
        <v>100</v>
      </c>
    </row>
    <row r="1765" spans="3:11" x14ac:dyDescent="0.25">
      <c r="C1765" s="91"/>
      <c r="D1765" s="139" t="s">
        <v>1233</v>
      </c>
      <c r="E1765" s="138">
        <v>-720</v>
      </c>
      <c r="H1765" s="91">
        <v>46193</v>
      </c>
      <c r="I1765" s="163" t="s">
        <v>1287</v>
      </c>
      <c r="J1765" s="157">
        <v>960</v>
      </c>
    </row>
    <row r="1766" spans="3:11" x14ac:dyDescent="0.25">
      <c r="C1766" s="91"/>
      <c r="D1766" s="139" t="s">
        <v>954</v>
      </c>
      <c r="E1766" s="138">
        <v>-80</v>
      </c>
      <c r="H1766" s="91"/>
      <c r="I1766" s="163" t="s">
        <v>1291</v>
      </c>
      <c r="J1766" s="157">
        <v>1200</v>
      </c>
    </row>
    <row r="1767" spans="3:11" x14ac:dyDescent="0.25">
      <c r="C1767" s="91"/>
      <c r="D1767" t="s">
        <v>1235</v>
      </c>
      <c r="E1767" s="121">
        <v>860</v>
      </c>
      <c r="I1767" s="163"/>
      <c r="J1767" s="121"/>
    </row>
    <row r="1768" spans="3:11" ht="15.75" x14ac:dyDescent="0.25">
      <c r="C1768" s="91"/>
      <c r="D1768" t="s">
        <v>1236</v>
      </c>
      <c r="E1768" s="121">
        <v>2640</v>
      </c>
      <c r="H1768" s="121"/>
      <c r="I1768" s="130" t="s">
        <v>53</v>
      </c>
      <c r="J1768" s="131">
        <f>SUM(J1761:J1767)</f>
        <v>2671</v>
      </c>
    </row>
    <row r="1769" spans="3:11" x14ac:dyDescent="0.25">
      <c r="D1769" t="s">
        <v>1239</v>
      </c>
      <c r="E1769" s="121">
        <v>21271.3</v>
      </c>
    </row>
    <row r="1770" spans="3:11" x14ac:dyDescent="0.25">
      <c r="D1770" t="s">
        <v>357</v>
      </c>
      <c r="E1770" s="121">
        <v>3978</v>
      </c>
    </row>
    <row r="1771" spans="3:11" x14ac:dyDescent="0.25">
      <c r="C1771" s="91">
        <v>46190</v>
      </c>
      <c r="D1771" t="s">
        <v>1241</v>
      </c>
      <c r="E1771" s="121">
        <v>9000</v>
      </c>
    </row>
    <row r="1772" spans="3:11" x14ac:dyDescent="0.25">
      <c r="C1772" s="91"/>
      <c r="D1772" t="s">
        <v>1244</v>
      </c>
      <c r="E1772" s="121">
        <v>130</v>
      </c>
      <c r="H1772" s="121"/>
    </row>
    <row r="1773" spans="3:11" x14ac:dyDescent="0.25">
      <c r="C1773" s="91"/>
      <c r="D1773" t="s">
        <v>1200</v>
      </c>
      <c r="E1773" s="121">
        <v>-20</v>
      </c>
    </row>
    <row r="1774" spans="3:11" x14ac:dyDescent="0.25">
      <c r="C1774" s="91"/>
      <c r="D1774" t="s">
        <v>1245</v>
      </c>
      <c r="E1774" s="121">
        <v>-100</v>
      </c>
      <c r="K1774" s="121"/>
    </row>
    <row r="1775" spans="3:11" x14ac:dyDescent="0.25">
      <c r="C1775" s="91"/>
      <c r="D1775" t="s">
        <v>1246</v>
      </c>
      <c r="E1775" s="121">
        <v>-13</v>
      </c>
    </row>
    <row r="1776" spans="3:11" x14ac:dyDescent="0.25">
      <c r="C1776" s="91"/>
      <c r="D1776" t="s">
        <v>272</v>
      </c>
      <c r="E1776" s="121">
        <v>-150</v>
      </c>
    </row>
    <row r="1777" spans="3:9" x14ac:dyDescent="0.25">
      <c r="C1777" s="91"/>
      <c r="D1777" t="s">
        <v>1247</v>
      </c>
      <c r="E1777" s="121">
        <v>-50</v>
      </c>
      <c r="I1777" s="121"/>
    </row>
    <row r="1778" spans="3:9" x14ac:dyDescent="0.25">
      <c r="D1778" s="139" t="s">
        <v>1248</v>
      </c>
      <c r="E1778" s="138">
        <v>-1</v>
      </c>
    </row>
    <row r="1779" spans="3:9" x14ac:dyDescent="0.25">
      <c r="D1779" s="150" t="s">
        <v>1252</v>
      </c>
      <c r="E1779" s="151">
        <v>-100</v>
      </c>
    </row>
    <row r="1780" spans="3:9" x14ac:dyDescent="0.25">
      <c r="D1780" s="150" t="s">
        <v>1254</v>
      </c>
      <c r="E1780" s="151">
        <v>-15</v>
      </c>
    </row>
    <row r="1781" spans="3:9" x14ac:dyDescent="0.25">
      <c r="D1781" s="163" t="s">
        <v>357</v>
      </c>
      <c r="E1781" s="164">
        <v>1190.7</v>
      </c>
    </row>
    <row r="1782" spans="3:9" x14ac:dyDescent="0.25">
      <c r="C1782" s="187">
        <v>46191</v>
      </c>
      <c r="D1782" s="150" t="s">
        <v>1257</v>
      </c>
      <c r="E1782" s="151">
        <v>-750</v>
      </c>
    </row>
    <row r="1783" spans="3:9" x14ac:dyDescent="0.25">
      <c r="D1783" s="150" t="s">
        <v>1258</v>
      </c>
      <c r="E1783" s="151">
        <v>-1200</v>
      </c>
    </row>
    <row r="1784" spans="3:9" x14ac:dyDescent="0.25">
      <c r="C1784" s="71"/>
      <c r="D1784" s="71" t="s">
        <v>1259</v>
      </c>
      <c r="E1784" s="186">
        <v>504</v>
      </c>
    </row>
    <row r="1785" spans="3:9" x14ac:dyDescent="0.25">
      <c r="D1785" s="71" t="s">
        <v>1260</v>
      </c>
      <c r="E1785" s="186">
        <v>966</v>
      </c>
    </row>
    <row r="1786" spans="3:9" x14ac:dyDescent="0.25">
      <c r="D1786" s="71" t="s">
        <v>1261</v>
      </c>
      <c r="E1786" s="186">
        <v>278</v>
      </c>
    </row>
    <row r="1787" spans="3:9" x14ac:dyDescent="0.25">
      <c r="D1787" s="139" t="s">
        <v>1263</v>
      </c>
      <c r="E1787" s="138">
        <v>-50</v>
      </c>
    </row>
    <row r="1788" spans="3:9" x14ac:dyDescent="0.25">
      <c r="D1788" s="139" t="s">
        <v>1267</v>
      </c>
      <c r="E1788" s="138">
        <v>-150</v>
      </c>
    </row>
    <row r="1789" spans="3:9" x14ac:dyDescent="0.25">
      <c r="D1789" s="139" t="s">
        <v>1268</v>
      </c>
      <c r="E1789" s="138">
        <v>-4</v>
      </c>
    </row>
    <row r="1790" spans="3:9" x14ac:dyDescent="0.25">
      <c r="D1790" s="139" t="s">
        <v>1269</v>
      </c>
      <c r="E1790" s="138">
        <v>-85</v>
      </c>
    </row>
    <row r="1791" spans="3:9" x14ac:dyDescent="0.25">
      <c r="D1791" s="163" t="s">
        <v>357</v>
      </c>
      <c r="E1791" s="164">
        <v>4769.5</v>
      </c>
    </row>
    <row r="1792" spans="3:9" x14ac:dyDescent="0.25">
      <c r="D1792" s="139" t="s">
        <v>1270</v>
      </c>
      <c r="E1792" s="138">
        <v>1500</v>
      </c>
    </row>
    <row r="1793" spans="3:5" x14ac:dyDescent="0.25">
      <c r="C1793" s="91">
        <v>46192</v>
      </c>
      <c r="D1793" s="71" t="s">
        <v>1283</v>
      </c>
      <c r="E1793" s="186">
        <v>2802.5</v>
      </c>
    </row>
    <row r="1794" spans="3:5" x14ac:dyDescent="0.25">
      <c r="D1794" s="139" t="s">
        <v>1280</v>
      </c>
      <c r="E1794" s="138">
        <v>-1180</v>
      </c>
    </row>
    <row r="1795" spans="3:5" x14ac:dyDescent="0.25">
      <c r="D1795" s="139" t="s">
        <v>714</v>
      </c>
      <c r="E1795" s="138">
        <v>-100</v>
      </c>
    </row>
    <row r="1796" spans="3:5" x14ac:dyDescent="0.25">
      <c r="D1796" s="139" t="s">
        <v>1111</v>
      </c>
      <c r="E1796" s="138">
        <v>-10</v>
      </c>
    </row>
    <row r="1797" spans="3:5" x14ac:dyDescent="0.25">
      <c r="D1797" s="71" t="s">
        <v>357</v>
      </c>
      <c r="E1797" s="186">
        <v>2150</v>
      </c>
    </row>
    <row r="1798" spans="3:5" x14ac:dyDescent="0.25">
      <c r="C1798" s="91">
        <v>46193</v>
      </c>
      <c r="D1798" s="71" t="s">
        <v>374</v>
      </c>
      <c r="E1798" s="186">
        <v>2640</v>
      </c>
    </row>
    <row r="1799" spans="3:5" x14ac:dyDescent="0.25">
      <c r="C1799" s="91"/>
      <c r="D1799" s="139" t="s">
        <v>1288</v>
      </c>
      <c r="E1799" s="138">
        <v>-600</v>
      </c>
    </row>
    <row r="1800" spans="3:5" x14ac:dyDescent="0.25">
      <c r="C1800" s="91"/>
      <c r="D1800" s="71" t="s">
        <v>788</v>
      </c>
      <c r="E1800" s="186">
        <v>100</v>
      </c>
    </row>
    <row r="1801" spans="3:5" x14ac:dyDescent="0.25">
      <c r="C1801" s="91"/>
      <c r="D1801" s="139" t="s">
        <v>935</v>
      </c>
      <c r="E1801" s="138">
        <v>-550</v>
      </c>
    </row>
    <row r="1802" spans="3:5" x14ac:dyDescent="0.25">
      <c r="C1802" s="91"/>
      <c r="D1802" s="139" t="s">
        <v>278</v>
      </c>
      <c r="E1802" s="138">
        <v>-360</v>
      </c>
    </row>
    <row r="1803" spans="3:5" x14ac:dyDescent="0.25">
      <c r="C1803" s="91"/>
      <c r="D1803" s="139" t="s">
        <v>1292</v>
      </c>
      <c r="E1803" s="138">
        <v>-1200</v>
      </c>
    </row>
    <row r="1804" spans="3:5" x14ac:dyDescent="0.25">
      <c r="D1804" s="71"/>
      <c r="E1804" s="186"/>
    </row>
    <row r="1805" spans="3:5" x14ac:dyDescent="0.25">
      <c r="D1805" s="163" t="s">
        <v>357</v>
      </c>
      <c r="E1805" s="164">
        <v>2945</v>
      </c>
    </row>
    <row r="1806" spans="3:5" x14ac:dyDescent="0.25">
      <c r="E1806" s="121"/>
    </row>
    <row r="1807" spans="3:5" ht="15.75" x14ac:dyDescent="0.25">
      <c r="D1807" s="132" t="s">
        <v>236</v>
      </c>
      <c r="E1807" s="133">
        <f>SUM(E1761:E1806)</f>
        <v>64748.399999999994</v>
      </c>
    </row>
    <row r="1810" spans="3:5" x14ac:dyDescent="0.25">
      <c r="E1810">
        <v>-11.9</v>
      </c>
    </row>
    <row r="1812" spans="3:5" x14ac:dyDescent="0.25">
      <c r="C1812" s="91"/>
      <c r="D1812" s="39"/>
      <c r="E1812" s="157">
        <f>SUM(E1807:E1811)</f>
        <v>64736.499999999993</v>
      </c>
    </row>
    <row r="1813" spans="3:5" x14ac:dyDescent="0.25">
      <c r="D1813" s="39"/>
      <c r="E1813" s="157"/>
    </row>
    <row r="1816" spans="3:5" ht="18.75" x14ac:dyDescent="0.3">
      <c r="D1816" s="333" t="s">
        <v>1125</v>
      </c>
      <c r="E1816" s="333"/>
    </row>
    <row r="1817" spans="3:5" ht="15.75" x14ac:dyDescent="0.25">
      <c r="D1817" s="166" t="s">
        <v>429</v>
      </c>
      <c r="E1817" s="140">
        <v>170801.57</v>
      </c>
    </row>
    <row r="1818" spans="3:5" ht="15.75" x14ac:dyDescent="0.25">
      <c r="C1818" s="91">
        <v>46189</v>
      </c>
      <c r="D1818" s="166" t="s">
        <v>216</v>
      </c>
      <c r="E1818" s="140">
        <v>-8850</v>
      </c>
    </row>
    <row r="1819" spans="3:5" ht="15.75" x14ac:dyDescent="0.25">
      <c r="C1819" s="91"/>
      <c r="D1819" s="166" t="s">
        <v>1223</v>
      </c>
      <c r="E1819" s="140">
        <v>-1920</v>
      </c>
    </row>
    <row r="1820" spans="3:5" ht="15.75" x14ac:dyDescent="0.25">
      <c r="C1820" s="91"/>
      <c r="D1820" s="214" t="s">
        <v>535</v>
      </c>
      <c r="E1820" s="210">
        <v>-0.45</v>
      </c>
    </row>
    <row r="1821" spans="3:5" ht="15.75" x14ac:dyDescent="0.25">
      <c r="C1821" s="91">
        <v>46190</v>
      </c>
      <c r="D1821" s="178" t="s">
        <v>1234</v>
      </c>
      <c r="E1821" s="212">
        <v>-2880</v>
      </c>
    </row>
    <row r="1822" spans="3:5" ht="15.75" x14ac:dyDescent="0.25">
      <c r="C1822" s="91"/>
      <c r="D1822" s="214" t="s">
        <v>939</v>
      </c>
      <c r="E1822" s="210">
        <v>-10</v>
      </c>
    </row>
    <row r="1823" spans="3:5" ht="15.75" x14ac:dyDescent="0.25">
      <c r="C1823" s="91"/>
      <c r="D1823" s="214" t="s">
        <v>535</v>
      </c>
      <c r="E1823" s="210">
        <v>-0.1</v>
      </c>
    </row>
    <row r="1824" spans="3:5" ht="15.75" x14ac:dyDescent="0.25">
      <c r="C1824" s="91"/>
      <c r="D1824" s="178" t="s">
        <v>1234</v>
      </c>
      <c r="E1824" s="212">
        <v>-2880</v>
      </c>
    </row>
    <row r="1825" spans="3:5" ht="15.75" x14ac:dyDescent="0.25">
      <c r="C1825" s="91">
        <v>46191</v>
      </c>
      <c r="D1825" s="178" t="s">
        <v>891</v>
      </c>
      <c r="E1825" s="212">
        <v>-10</v>
      </c>
    </row>
    <row r="1826" spans="3:5" ht="15.75" x14ac:dyDescent="0.25">
      <c r="C1826" s="91"/>
      <c r="D1826" s="178" t="s">
        <v>250</v>
      </c>
      <c r="E1826" s="212">
        <v>-379.37</v>
      </c>
    </row>
    <row r="1827" spans="3:5" ht="15.75" x14ac:dyDescent="0.25">
      <c r="C1827" s="91">
        <v>46192</v>
      </c>
      <c r="D1827" s="178" t="s">
        <v>535</v>
      </c>
      <c r="E1827" s="212">
        <v>-0.1</v>
      </c>
    </row>
    <row r="1828" spans="3:5" ht="15.75" x14ac:dyDescent="0.25">
      <c r="C1828" s="91"/>
      <c r="D1828" s="178" t="s">
        <v>1264</v>
      </c>
      <c r="E1828" s="212">
        <v>-446.07</v>
      </c>
    </row>
    <row r="1829" spans="3:5" ht="15.75" x14ac:dyDescent="0.25">
      <c r="C1829" s="91"/>
      <c r="D1829" s="178" t="s">
        <v>1274</v>
      </c>
      <c r="E1829" s="212">
        <v>-3180</v>
      </c>
    </row>
    <row r="1830" spans="3:5" ht="15.75" x14ac:dyDescent="0.25">
      <c r="C1830" s="91"/>
      <c r="D1830" s="178" t="s">
        <v>1275</v>
      </c>
      <c r="E1830" s="212">
        <v>-6000</v>
      </c>
    </row>
    <row r="1831" spans="3:5" ht="15.75" x14ac:dyDescent="0.25">
      <c r="C1831" s="91"/>
      <c r="D1831" s="214" t="s">
        <v>1276</v>
      </c>
      <c r="E1831" s="210">
        <v>6400</v>
      </c>
    </row>
    <row r="1832" spans="3:5" ht="15.75" x14ac:dyDescent="0.25">
      <c r="D1832" s="178" t="s">
        <v>1279</v>
      </c>
      <c r="E1832" s="212">
        <v>-5736</v>
      </c>
    </row>
    <row r="1833" spans="3:5" ht="15.75" x14ac:dyDescent="0.25">
      <c r="D1833" s="178" t="s">
        <v>1281</v>
      </c>
      <c r="E1833" s="212">
        <v>-5385.1</v>
      </c>
    </row>
    <row r="1834" spans="3:5" ht="15.75" x14ac:dyDescent="0.25">
      <c r="D1834" s="178" t="s">
        <v>535</v>
      </c>
      <c r="E1834" s="212">
        <v>-1.25</v>
      </c>
    </row>
    <row r="1835" spans="3:5" ht="15.75" x14ac:dyDescent="0.25">
      <c r="D1835" s="178" t="s">
        <v>1285</v>
      </c>
      <c r="E1835" s="212">
        <v>-1920</v>
      </c>
    </row>
    <row r="1836" spans="3:5" ht="15.75" x14ac:dyDescent="0.25">
      <c r="D1836" s="178" t="s">
        <v>1285</v>
      </c>
      <c r="E1836" s="212">
        <v>-570</v>
      </c>
    </row>
    <row r="1837" spans="3:5" ht="15.75" x14ac:dyDescent="0.25">
      <c r="D1837" s="178" t="s">
        <v>1289</v>
      </c>
      <c r="E1837" s="212">
        <v>-9280</v>
      </c>
    </row>
    <row r="1838" spans="3:5" ht="15.75" x14ac:dyDescent="0.25">
      <c r="D1838" s="178" t="s">
        <v>535</v>
      </c>
      <c r="E1838" s="212">
        <v>-0.5</v>
      </c>
    </row>
    <row r="1839" spans="3:5" x14ac:dyDescent="0.25">
      <c r="D1839" s="78"/>
      <c r="E1839" s="78"/>
    </row>
    <row r="1840" spans="3:5" ht="15.75" x14ac:dyDescent="0.25">
      <c r="D1840" s="78" t="s">
        <v>596</v>
      </c>
      <c r="E1840" s="189">
        <f>SUM(E1817:E1839)</f>
        <v>127752.62999999998</v>
      </c>
    </row>
    <row r="1842" spans="3:11" x14ac:dyDescent="0.25">
      <c r="D1842" t="s">
        <v>361</v>
      </c>
      <c r="E1842" s="121">
        <v>1342</v>
      </c>
    </row>
    <row r="1844" spans="3:11" ht="18.75" x14ac:dyDescent="0.3">
      <c r="E1844" s="280">
        <f>E1840+E1842</f>
        <v>129094.62999999998</v>
      </c>
    </row>
    <row r="1854" spans="3:11" ht="18.75" x14ac:dyDescent="0.3">
      <c r="C1854" s="314" t="s">
        <v>1293</v>
      </c>
      <c r="D1854" s="315"/>
      <c r="E1854" s="315"/>
      <c r="F1854" s="315"/>
      <c r="G1854" s="315"/>
      <c r="H1854" s="315"/>
      <c r="I1854" s="315"/>
      <c r="J1854" s="315"/>
      <c r="K1854" s="315"/>
    </row>
    <row r="1855" spans="3:11" x14ac:dyDescent="0.25">
      <c r="C1855" s="78"/>
      <c r="D1855" s="78"/>
      <c r="E1855" s="78"/>
      <c r="F1855" s="78"/>
      <c r="G1855" s="78"/>
      <c r="H1855" s="78"/>
      <c r="I1855" s="78"/>
      <c r="J1855" s="78"/>
      <c r="K1855" s="78"/>
    </row>
    <row r="1856" spans="3:11" ht="15.75" x14ac:dyDescent="0.25">
      <c r="C1856" s="118" t="s">
        <v>223</v>
      </c>
      <c r="D1856" s="118" t="s">
        <v>206</v>
      </c>
      <c r="E1856" s="118" t="s">
        <v>207</v>
      </c>
      <c r="F1856" s="118" t="s">
        <v>218</v>
      </c>
      <c r="G1856" s="78"/>
      <c r="H1856" s="120" t="s">
        <v>6</v>
      </c>
      <c r="I1856" s="120" t="s">
        <v>217</v>
      </c>
      <c r="J1856" s="120" t="s">
        <v>207</v>
      </c>
      <c r="K1856" s="120" t="s">
        <v>218</v>
      </c>
    </row>
    <row r="1857" spans="3:11" x14ac:dyDescent="0.25">
      <c r="C1857" s="276">
        <v>46178</v>
      </c>
      <c r="D1857" s="247" t="s">
        <v>1151</v>
      </c>
      <c r="E1857" s="118" t="s">
        <v>1273</v>
      </c>
      <c r="F1857" s="248">
        <v>11210</v>
      </c>
      <c r="G1857" s="78"/>
      <c r="H1857" s="117"/>
      <c r="I1857" s="78"/>
      <c r="J1857" s="78"/>
      <c r="K1857" s="119"/>
    </row>
    <row r="1858" spans="3:11" x14ac:dyDescent="0.25">
      <c r="C1858" s="276">
        <v>46178</v>
      </c>
      <c r="D1858" s="247" t="s">
        <v>1152</v>
      </c>
      <c r="E1858" s="118" t="s">
        <v>1217</v>
      </c>
      <c r="F1858" s="248">
        <v>3800</v>
      </c>
      <c r="G1858" s="78"/>
      <c r="H1858" s="117">
        <v>46037</v>
      </c>
      <c r="I1858" s="149" t="s">
        <v>66</v>
      </c>
      <c r="J1858" s="78" t="s">
        <v>222</v>
      </c>
      <c r="K1858" s="119">
        <v>2120</v>
      </c>
    </row>
    <row r="1859" spans="3:11" ht="15.75" x14ac:dyDescent="0.25">
      <c r="C1859" s="269">
        <v>46087</v>
      </c>
      <c r="D1859" s="270" t="s">
        <v>214</v>
      </c>
      <c r="E1859" s="270" t="s">
        <v>211</v>
      </c>
      <c r="F1859" s="271">
        <v>2600</v>
      </c>
      <c r="G1859" s="78"/>
      <c r="H1859" s="184"/>
      <c r="I1859" s="78" t="s">
        <v>1084</v>
      </c>
      <c r="J1859" s="185"/>
      <c r="K1859" s="140">
        <v>189000</v>
      </c>
    </row>
    <row r="1860" spans="3:11" ht="15.75" x14ac:dyDescent="0.25">
      <c r="C1860" s="78"/>
      <c r="D1860" s="201" t="s">
        <v>429</v>
      </c>
      <c r="E1860" s="201"/>
      <c r="F1860" s="183">
        <v>101177.48</v>
      </c>
      <c r="G1860" s="78"/>
      <c r="H1860" s="184"/>
      <c r="I1860" s="78" t="s">
        <v>257</v>
      </c>
      <c r="J1860" s="185"/>
      <c r="K1860" s="140">
        <v>7380</v>
      </c>
    </row>
    <row r="1861" spans="3:11" ht="15.75" x14ac:dyDescent="0.25">
      <c r="C1861" s="117">
        <v>46156</v>
      </c>
      <c r="D1861" s="78" t="s">
        <v>353</v>
      </c>
      <c r="E1861" s="166"/>
      <c r="F1861" s="167">
        <v>580</v>
      </c>
      <c r="G1861" s="119"/>
      <c r="H1861" s="184"/>
      <c r="I1861" s="78" t="s">
        <v>281</v>
      </c>
      <c r="J1861" s="185"/>
      <c r="K1861" s="140">
        <v>2250</v>
      </c>
    </row>
    <row r="1862" spans="3:11" x14ac:dyDescent="0.25">
      <c r="C1862" s="117">
        <v>46156</v>
      </c>
      <c r="D1862" s="78" t="s">
        <v>471</v>
      </c>
      <c r="E1862" s="166"/>
      <c r="F1862" s="167">
        <v>3902</v>
      </c>
      <c r="G1862" s="119"/>
      <c r="H1862" s="117"/>
      <c r="I1862" s="78"/>
      <c r="J1862" s="78"/>
      <c r="K1862" s="119"/>
    </row>
    <row r="1863" spans="3:11" ht="18.75" x14ac:dyDescent="0.3">
      <c r="C1863" s="117">
        <v>46156</v>
      </c>
      <c r="D1863" s="78" t="s">
        <v>148</v>
      </c>
      <c r="E1863" s="166"/>
      <c r="F1863" s="167">
        <v>5785</v>
      </c>
      <c r="G1863" s="78"/>
      <c r="H1863" s="78"/>
      <c r="I1863" s="126" t="s">
        <v>226</v>
      </c>
      <c r="J1863" s="126"/>
      <c r="K1863" s="127">
        <f>SUM(K1857:K1862)</f>
        <v>200750</v>
      </c>
    </row>
    <row r="1864" spans="3:11" x14ac:dyDescent="0.25">
      <c r="C1864" s="117">
        <v>46161</v>
      </c>
      <c r="D1864" s="78" t="s">
        <v>995</v>
      </c>
      <c r="E1864" s="166"/>
      <c r="F1864" s="167">
        <v>16277.32</v>
      </c>
      <c r="G1864" s="78"/>
    </row>
    <row r="1865" spans="3:11" x14ac:dyDescent="0.25">
      <c r="C1865" s="117">
        <v>46163</v>
      </c>
      <c r="D1865" s="78" t="s">
        <v>999</v>
      </c>
      <c r="E1865" s="166"/>
      <c r="F1865" s="167">
        <v>4510</v>
      </c>
      <c r="G1865" s="78"/>
      <c r="K1865" s="121"/>
    </row>
    <row r="1866" spans="3:11" x14ac:dyDescent="0.25">
      <c r="C1866" s="295"/>
      <c r="D1866" s="296" t="s">
        <v>1093</v>
      </c>
      <c r="E1866" s="293"/>
      <c r="F1866" s="285">
        <v>1050</v>
      </c>
      <c r="G1866" s="78"/>
      <c r="J1866" s="121"/>
    </row>
    <row r="1867" spans="3:11" x14ac:dyDescent="0.25">
      <c r="C1867" s="257">
        <v>46179</v>
      </c>
      <c r="D1867" s="258" t="s">
        <v>923</v>
      </c>
      <c r="E1867" s="214"/>
      <c r="F1867" s="219">
        <v>8650</v>
      </c>
      <c r="G1867" s="78"/>
      <c r="J1867" s="121"/>
    </row>
    <row r="1868" spans="3:11" x14ac:dyDescent="0.25">
      <c r="C1868" s="257"/>
      <c r="D1868" s="258" t="s">
        <v>497</v>
      </c>
      <c r="E1868" s="214"/>
      <c r="F1868" s="219">
        <v>1200</v>
      </c>
    </row>
    <row r="1869" spans="3:11" ht="15.75" x14ac:dyDescent="0.25">
      <c r="C1869" s="257"/>
      <c r="D1869" s="258" t="s">
        <v>422</v>
      </c>
      <c r="E1869" s="214"/>
      <c r="F1869" s="219">
        <v>3560</v>
      </c>
      <c r="H1869" s="316" t="s">
        <v>227</v>
      </c>
      <c r="I1869" s="317"/>
      <c r="J1869" s="140">
        <f>F1884-K1863</f>
        <v>87089.289999999979</v>
      </c>
    </row>
    <row r="1870" spans="3:11" ht="15.75" x14ac:dyDescent="0.25">
      <c r="C1870" s="257"/>
      <c r="D1870" s="294" t="s">
        <v>1290</v>
      </c>
      <c r="E1870" s="293"/>
      <c r="F1870" s="285">
        <v>2100</v>
      </c>
      <c r="J1870" s="89"/>
    </row>
    <row r="1871" spans="3:11" ht="15.75" x14ac:dyDescent="0.25">
      <c r="C1871" s="257"/>
      <c r="D1871" s="258"/>
      <c r="E1871" s="214"/>
      <c r="F1871" s="219"/>
      <c r="H1871" s="128" t="s">
        <v>285</v>
      </c>
      <c r="J1871" s="124">
        <f>E1900</f>
        <v>36174</v>
      </c>
    </row>
    <row r="1872" spans="3:11" ht="15.75" x14ac:dyDescent="0.25">
      <c r="C1872" s="257"/>
      <c r="D1872" s="286" t="s">
        <v>1197</v>
      </c>
      <c r="E1872" s="254" t="s">
        <v>1282</v>
      </c>
      <c r="F1872" s="287">
        <v>5385.12</v>
      </c>
    </row>
    <row r="1873" spans="3:13" x14ac:dyDescent="0.25">
      <c r="C1873" s="257"/>
      <c r="D1873" s="258"/>
      <c r="E1873" s="214"/>
      <c r="F1873" s="219"/>
    </row>
    <row r="1874" spans="3:13" x14ac:dyDescent="0.25">
      <c r="C1874" s="257"/>
      <c r="D1874" s="258"/>
      <c r="E1874" s="214"/>
      <c r="F1874" s="219"/>
    </row>
    <row r="1875" spans="3:13" x14ac:dyDescent="0.25">
      <c r="C1875" s="257"/>
      <c r="D1875" s="258" t="s">
        <v>1303</v>
      </c>
      <c r="E1875" s="214"/>
      <c r="F1875" s="219">
        <v>69000</v>
      </c>
    </row>
    <row r="1876" spans="3:13" x14ac:dyDescent="0.25">
      <c r="C1876" s="257"/>
      <c r="D1876" s="258"/>
      <c r="E1876" s="214"/>
      <c r="F1876" s="219"/>
      <c r="L1876" s="121"/>
    </row>
    <row r="1877" spans="3:13" ht="21" x14ac:dyDescent="0.35">
      <c r="C1877" s="266">
        <v>46175</v>
      </c>
      <c r="D1877" s="267" t="s">
        <v>1059</v>
      </c>
      <c r="E1877" s="268" t="s">
        <v>1116</v>
      </c>
      <c r="F1877" s="265">
        <v>1473.68</v>
      </c>
      <c r="I1877" s="198" t="s">
        <v>286</v>
      </c>
      <c r="J1877" s="137">
        <f>SUM(J1869:J1871)</f>
        <v>123263.28999999998</v>
      </c>
    </row>
    <row r="1878" spans="3:13" x14ac:dyDescent="0.25">
      <c r="C1878" s="117"/>
      <c r="D1878" s="78"/>
      <c r="E1878" s="166"/>
      <c r="F1878" s="167"/>
      <c r="G1878" s="121"/>
      <c r="J1878" s="157">
        <v>122066.44</v>
      </c>
      <c r="K1878" s="39" t="s">
        <v>76</v>
      </c>
    </row>
    <row r="1879" spans="3:13" x14ac:dyDescent="0.25">
      <c r="C1879" s="78"/>
      <c r="D1879" s="78"/>
      <c r="E1879" s="78"/>
      <c r="F1879" s="122">
        <f>SUM(F1857:F1878)</f>
        <v>242260.59999999998</v>
      </c>
    </row>
    <row r="1880" spans="3:13" ht="18.75" x14ac:dyDescent="0.3">
      <c r="F1880" s="157"/>
      <c r="J1880" s="264">
        <f>J1877-J1878</f>
        <v>1196.8499999999767</v>
      </c>
    </row>
    <row r="1881" spans="3:13" x14ac:dyDescent="0.25">
      <c r="E1881" s="101" t="s">
        <v>224</v>
      </c>
      <c r="F1881" s="101">
        <v>45578.69</v>
      </c>
    </row>
    <row r="1882" spans="3:13" x14ac:dyDescent="0.25">
      <c r="C1882" s="121"/>
    </row>
    <row r="1883" spans="3:13" x14ac:dyDescent="0.25">
      <c r="M1883" s="121"/>
    </row>
    <row r="1884" spans="3:13" ht="18.75" x14ac:dyDescent="0.3">
      <c r="C1884" s="121"/>
      <c r="E1884" s="99" t="s">
        <v>225</v>
      </c>
      <c r="F1884" s="125">
        <f>SUM(F1879+F1881)</f>
        <v>287839.28999999998</v>
      </c>
    </row>
    <row r="1885" spans="3:13" x14ac:dyDescent="0.25">
      <c r="C1885" s="121"/>
    </row>
    <row r="1886" spans="3:13" x14ac:dyDescent="0.25">
      <c r="C1886" s="121"/>
    </row>
    <row r="1888" spans="3:13" x14ac:dyDescent="0.25">
      <c r="C1888" s="91"/>
    </row>
    <row r="1889" spans="3:10" ht="15.75" x14ac:dyDescent="0.25">
      <c r="I1889" s="318"/>
      <c r="J1889" s="318"/>
    </row>
    <row r="1890" spans="3:10" ht="15.75" x14ac:dyDescent="0.25">
      <c r="D1890" s="132" t="s">
        <v>235</v>
      </c>
      <c r="E1890" s="133">
        <v>64748.4</v>
      </c>
      <c r="I1890" s="163"/>
      <c r="J1890" s="121"/>
    </row>
    <row r="1891" spans="3:10" ht="15.75" x14ac:dyDescent="0.25">
      <c r="D1891" s="148" t="s">
        <v>1298</v>
      </c>
      <c r="E1891" s="144">
        <v>-50000</v>
      </c>
      <c r="I1891" s="163"/>
      <c r="J1891" s="121"/>
    </row>
    <row r="1892" spans="3:10" ht="15.75" x14ac:dyDescent="0.25">
      <c r="D1892" s="128" t="s">
        <v>1299</v>
      </c>
      <c r="E1892" s="171">
        <v>9000</v>
      </c>
      <c r="I1892" s="163"/>
      <c r="J1892" s="121"/>
    </row>
    <row r="1893" spans="3:10" ht="15.75" x14ac:dyDescent="0.25">
      <c r="D1893" s="128" t="s">
        <v>1301</v>
      </c>
      <c r="E1893" s="171">
        <v>-120</v>
      </c>
      <c r="H1893" s="121"/>
      <c r="I1893" s="163"/>
      <c r="J1893" s="121"/>
    </row>
    <row r="1894" spans="3:10" ht="15.75" x14ac:dyDescent="0.25">
      <c r="D1894" s="148" t="s">
        <v>1111</v>
      </c>
      <c r="E1894" s="144">
        <v>-10</v>
      </c>
      <c r="I1894" s="163"/>
      <c r="J1894" s="121"/>
    </row>
    <row r="1895" spans="3:10" ht="15.75" x14ac:dyDescent="0.25">
      <c r="D1895" s="128" t="s">
        <v>1304</v>
      </c>
      <c r="E1895" s="171">
        <v>40.6</v>
      </c>
      <c r="I1895" s="163"/>
      <c r="J1895" s="157"/>
    </row>
    <row r="1896" spans="3:10" ht="15.75" x14ac:dyDescent="0.25">
      <c r="D1896" s="128" t="s">
        <v>1305</v>
      </c>
      <c r="E1896" s="171">
        <v>-20</v>
      </c>
      <c r="I1896" s="163"/>
      <c r="J1896" s="157"/>
    </row>
    <row r="1897" spans="3:10" ht="15.75" x14ac:dyDescent="0.25">
      <c r="D1897" s="128" t="s">
        <v>1306</v>
      </c>
      <c r="E1897" s="171">
        <v>8000</v>
      </c>
      <c r="I1897" s="163"/>
      <c r="J1897" s="157"/>
    </row>
    <row r="1898" spans="3:10" ht="15.75" x14ac:dyDescent="0.25">
      <c r="D1898" s="128" t="s">
        <v>357</v>
      </c>
      <c r="E1898" s="171">
        <v>4535</v>
      </c>
      <c r="H1898" s="91"/>
      <c r="I1898" s="163"/>
      <c r="J1898" s="157"/>
    </row>
    <row r="1899" spans="3:10" x14ac:dyDescent="0.25">
      <c r="E1899" s="121"/>
      <c r="H1899" s="91"/>
      <c r="I1899" s="163"/>
      <c r="J1899" s="157"/>
    </row>
    <row r="1900" spans="3:10" ht="15.75" x14ac:dyDescent="0.25">
      <c r="D1900" s="132" t="s">
        <v>236</v>
      </c>
      <c r="E1900" s="133">
        <f>SUM(E1890:E1899)</f>
        <v>36174</v>
      </c>
      <c r="I1900" s="163"/>
      <c r="J1900" s="121"/>
    </row>
    <row r="1901" spans="3:10" ht="15.75" x14ac:dyDescent="0.25">
      <c r="H1901" s="121"/>
      <c r="I1901" s="128"/>
      <c r="J1901" s="171"/>
    </row>
    <row r="1903" spans="3:10" x14ac:dyDescent="0.25">
      <c r="C1903" s="91"/>
      <c r="E1903">
        <v>-11.9</v>
      </c>
    </row>
    <row r="1905" spans="4:11" x14ac:dyDescent="0.25">
      <c r="D1905" s="39"/>
      <c r="E1905" s="157">
        <f>SUM(E1900:E1904)</f>
        <v>36162.1</v>
      </c>
      <c r="H1905" s="121"/>
    </row>
    <row r="1906" spans="4:11" x14ac:dyDescent="0.25">
      <c r="D1906" s="39"/>
      <c r="E1906" s="157"/>
    </row>
    <row r="1907" spans="4:11" x14ac:dyDescent="0.25">
      <c r="K1907" s="121"/>
    </row>
    <row r="1909" spans="4:11" ht="18.75" x14ac:dyDescent="0.3">
      <c r="D1909" s="333" t="s">
        <v>1125</v>
      </c>
      <c r="E1909" s="333"/>
    </row>
    <row r="1910" spans="4:11" ht="15.75" x14ac:dyDescent="0.25">
      <c r="D1910" s="166" t="s">
        <v>429</v>
      </c>
      <c r="E1910" s="140">
        <v>127752.63</v>
      </c>
      <c r="I1910" s="121"/>
    </row>
    <row r="1911" spans="4:11" ht="15.75" x14ac:dyDescent="0.25">
      <c r="D1911" s="166" t="s">
        <v>1296</v>
      </c>
      <c r="E1911" s="140">
        <v>1471</v>
      </c>
    </row>
    <row r="1912" spans="4:11" ht="15.75" x14ac:dyDescent="0.25">
      <c r="D1912" s="166" t="s">
        <v>1297</v>
      </c>
      <c r="E1912" s="140">
        <v>41000</v>
      </c>
    </row>
    <row r="1913" spans="4:11" ht="15.75" x14ac:dyDescent="0.25">
      <c r="D1913" s="166" t="s">
        <v>1300</v>
      </c>
      <c r="E1913" s="140">
        <v>-40.6</v>
      </c>
    </row>
    <row r="1914" spans="4:11" ht="15.75" x14ac:dyDescent="0.25">
      <c r="D1914" s="178" t="s">
        <v>1302</v>
      </c>
      <c r="E1914" s="212">
        <v>-30000</v>
      </c>
    </row>
    <row r="1915" spans="4:11" ht="15.75" x14ac:dyDescent="0.25">
      <c r="D1915" s="178" t="s">
        <v>1302</v>
      </c>
      <c r="E1915" s="212">
        <v>-30000</v>
      </c>
    </row>
    <row r="1916" spans="4:11" ht="15.75" x14ac:dyDescent="0.25">
      <c r="D1916" s="178" t="s">
        <v>1302</v>
      </c>
      <c r="E1916" s="212">
        <v>-9000</v>
      </c>
    </row>
    <row r="1917" spans="4:11" ht="15.75" x14ac:dyDescent="0.25">
      <c r="D1917" s="178" t="s">
        <v>535</v>
      </c>
      <c r="E1917" s="212">
        <v>-5.55</v>
      </c>
    </row>
    <row r="1918" spans="4:11" ht="15.75" x14ac:dyDescent="0.25">
      <c r="D1918" s="78"/>
      <c r="E1918" s="78"/>
      <c r="I1918" s="339"/>
      <c r="J1918" s="339"/>
    </row>
    <row r="1919" spans="4:11" ht="15.75" x14ac:dyDescent="0.25">
      <c r="D1919" s="78" t="s">
        <v>596</v>
      </c>
      <c r="E1919" s="189">
        <f>SUM(E1910:E1918)</f>
        <v>101177.48</v>
      </c>
      <c r="I1919" s="163"/>
      <c r="J1919" s="121"/>
    </row>
    <row r="1920" spans="4:11" x14ac:dyDescent="0.25">
      <c r="I1920" s="163"/>
      <c r="J1920" s="157"/>
    </row>
    <row r="1921" spans="4:10" x14ac:dyDescent="0.25">
      <c r="D1921" t="s">
        <v>361</v>
      </c>
      <c r="E1921" s="121">
        <v>1342</v>
      </c>
      <c r="I1921" s="297"/>
      <c r="J1921" s="298"/>
    </row>
    <row r="1923" spans="4:10" ht="18.75" x14ac:dyDescent="0.3">
      <c r="E1923" s="280">
        <f>E1919+E1921</f>
        <v>102519.48</v>
      </c>
    </row>
    <row r="1927" spans="4:10" ht="15.75" x14ac:dyDescent="0.25">
      <c r="I1927" s="318" t="s">
        <v>497</v>
      </c>
      <c r="J1927" s="318"/>
    </row>
    <row r="1928" spans="4:10" x14ac:dyDescent="0.25">
      <c r="I1928" s="163" t="s">
        <v>1249</v>
      </c>
      <c r="J1928" s="121">
        <v>50</v>
      </c>
    </row>
    <row r="1929" spans="4:10" x14ac:dyDescent="0.25">
      <c r="I1929" s="163" t="s">
        <v>17</v>
      </c>
      <c r="J1929" s="157">
        <v>1</v>
      </c>
    </row>
    <row r="1930" spans="4:10" x14ac:dyDescent="0.25">
      <c r="I1930" s="163" t="s">
        <v>1253</v>
      </c>
      <c r="J1930" s="157">
        <v>360</v>
      </c>
    </row>
    <row r="1931" spans="4:10" x14ac:dyDescent="0.25">
      <c r="I1931" s="163" t="s">
        <v>1249</v>
      </c>
      <c r="J1931" s="157">
        <v>100</v>
      </c>
    </row>
    <row r="1932" spans="4:10" x14ac:dyDescent="0.25">
      <c r="I1932" s="163" t="s">
        <v>1287</v>
      </c>
      <c r="J1932" s="157">
        <v>960</v>
      </c>
    </row>
    <row r="1933" spans="4:10" x14ac:dyDescent="0.25">
      <c r="I1933" s="163" t="s">
        <v>1291</v>
      </c>
      <c r="J1933" s="157">
        <v>1200</v>
      </c>
    </row>
    <row r="1934" spans="4:10" x14ac:dyDescent="0.25">
      <c r="I1934" s="150" t="s">
        <v>541</v>
      </c>
      <c r="J1934" s="151">
        <v>-1471</v>
      </c>
    </row>
    <row r="1935" spans="4:10" x14ac:dyDescent="0.25">
      <c r="I1935" s="163"/>
      <c r="J1935" s="157"/>
    </row>
    <row r="1936" spans="4:10" x14ac:dyDescent="0.25">
      <c r="I1936" s="163"/>
      <c r="J1936" s="121"/>
    </row>
    <row r="1937" spans="3:11" ht="15.75" x14ac:dyDescent="0.25">
      <c r="I1937" s="130" t="s">
        <v>53</v>
      </c>
      <c r="J1937" s="131">
        <f>SUM(J1928:J1936)</f>
        <v>1200</v>
      </c>
    </row>
    <row r="1952" spans="3:11" ht="18.75" x14ac:dyDescent="0.3">
      <c r="C1952" s="314" t="s">
        <v>1307</v>
      </c>
      <c r="D1952" s="315"/>
      <c r="E1952" s="315"/>
      <c r="F1952" s="315"/>
      <c r="G1952" s="315"/>
      <c r="H1952" s="315"/>
      <c r="I1952" s="315"/>
      <c r="J1952" s="315"/>
      <c r="K1952" s="315"/>
    </row>
    <row r="1953" spans="3:11" x14ac:dyDescent="0.25">
      <c r="C1953" s="78"/>
      <c r="D1953" s="78"/>
      <c r="E1953" s="78"/>
      <c r="F1953" s="78"/>
      <c r="G1953" s="78"/>
      <c r="H1953" s="78"/>
      <c r="I1953" s="78"/>
      <c r="J1953" s="78"/>
      <c r="K1953" s="78"/>
    </row>
    <row r="1954" spans="3:11" ht="15.75" x14ac:dyDescent="0.25">
      <c r="C1954" s="118" t="s">
        <v>223</v>
      </c>
      <c r="D1954" s="118" t="s">
        <v>206</v>
      </c>
      <c r="E1954" s="118" t="s">
        <v>207</v>
      </c>
      <c r="F1954" s="118" t="s">
        <v>218</v>
      </c>
      <c r="G1954" s="78"/>
      <c r="H1954" s="120" t="s">
        <v>6</v>
      </c>
      <c r="I1954" s="120" t="s">
        <v>217</v>
      </c>
      <c r="J1954" s="120" t="s">
        <v>207</v>
      </c>
      <c r="K1954" s="120" t="s">
        <v>218</v>
      </c>
    </row>
    <row r="1955" spans="3:11" x14ac:dyDescent="0.25">
      <c r="C1955" s="276">
        <v>46178</v>
      </c>
      <c r="D1955" s="247" t="s">
        <v>1151</v>
      </c>
      <c r="E1955" s="118" t="s">
        <v>1273</v>
      </c>
      <c r="F1955" s="248">
        <v>11210</v>
      </c>
      <c r="G1955" s="78"/>
      <c r="H1955" s="117"/>
      <c r="I1955" s="78"/>
      <c r="J1955" s="78"/>
      <c r="K1955" s="119"/>
    </row>
    <row r="1956" spans="3:11" x14ac:dyDescent="0.25">
      <c r="C1956" s="276">
        <v>46178</v>
      </c>
      <c r="D1956" s="247" t="s">
        <v>1152</v>
      </c>
      <c r="E1956" s="118" t="s">
        <v>1217</v>
      </c>
      <c r="F1956" s="248">
        <v>3800</v>
      </c>
      <c r="G1956" s="78"/>
      <c r="H1956" s="117">
        <v>46037</v>
      </c>
      <c r="I1956" s="149" t="s">
        <v>66</v>
      </c>
      <c r="J1956" s="78" t="s">
        <v>222</v>
      </c>
      <c r="K1956" s="119">
        <v>2120</v>
      </c>
    </row>
    <row r="1957" spans="3:11" ht="15.75" x14ac:dyDescent="0.25">
      <c r="C1957" s="269">
        <v>46087</v>
      </c>
      <c r="D1957" s="270" t="s">
        <v>214</v>
      </c>
      <c r="E1957" s="270" t="s">
        <v>211</v>
      </c>
      <c r="F1957" s="271">
        <v>2600</v>
      </c>
      <c r="G1957" s="78"/>
      <c r="H1957" s="184"/>
      <c r="I1957" s="78" t="s">
        <v>1084</v>
      </c>
      <c r="J1957" s="185"/>
      <c r="K1957" s="140">
        <v>189000</v>
      </c>
    </row>
    <row r="1958" spans="3:11" ht="15.75" x14ac:dyDescent="0.25">
      <c r="C1958" s="78"/>
      <c r="D1958" s="201" t="s">
        <v>429</v>
      </c>
      <c r="E1958" s="201"/>
      <c r="F1958" s="183">
        <v>78515.679999999993</v>
      </c>
      <c r="G1958" s="78"/>
      <c r="H1958" s="184"/>
      <c r="I1958" s="78" t="s">
        <v>257</v>
      </c>
      <c r="J1958" s="185"/>
      <c r="K1958" s="140">
        <v>9780</v>
      </c>
    </row>
    <row r="1959" spans="3:11" ht="15.75" x14ac:dyDescent="0.25">
      <c r="C1959" s="117">
        <v>46156</v>
      </c>
      <c r="D1959" s="78" t="s">
        <v>353</v>
      </c>
      <c r="E1959" s="166"/>
      <c r="F1959" s="167">
        <v>3280</v>
      </c>
      <c r="G1959" s="119"/>
      <c r="H1959" s="184"/>
      <c r="I1959" s="78" t="s">
        <v>281</v>
      </c>
      <c r="J1959" s="185"/>
      <c r="K1959" s="140">
        <v>4600</v>
      </c>
    </row>
    <row r="1960" spans="3:11" x14ac:dyDescent="0.25">
      <c r="C1960" s="117">
        <v>46156</v>
      </c>
      <c r="D1960" s="78" t="s">
        <v>471</v>
      </c>
      <c r="E1960" s="166"/>
      <c r="F1960" s="167">
        <v>3902</v>
      </c>
      <c r="G1960" s="119"/>
      <c r="H1960" s="117"/>
      <c r="I1960" s="78"/>
      <c r="J1960" s="78"/>
      <c r="K1960" s="119"/>
    </row>
    <row r="1961" spans="3:11" ht="18.75" x14ac:dyDescent="0.3">
      <c r="C1961" s="117">
        <v>46156</v>
      </c>
      <c r="D1961" s="78" t="s">
        <v>148</v>
      </c>
      <c r="E1961" s="166"/>
      <c r="F1961" s="167">
        <v>5785</v>
      </c>
      <c r="G1961" s="78"/>
      <c r="H1961" s="78"/>
      <c r="I1961" s="126" t="s">
        <v>226</v>
      </c>
      <c r="J1961" s="126"/>
      <c r="K1961" s="127">
        <f>SUM(K1955:K1960)</f>
        <v>205500</v>
      </c>
    </row>
    <row r="1962" spans="3:11" x14ac:dyDescent="0.25">
      <c r="C1962" s="117">
        <v>46161</v>
      </c>
      <c r="D1962" s="78" t="s">
        <v>995</v>
      </c>
      <c r="E1962" s="166"/>
      <c r="F1962" s="167">
        <v>15177.32</v>
      </c>
      <c r="G1962" s="78"/>
    </row>
    <row r="1963" spans="3:11" x14ac:dyDescent="0.25">
      <c r="C1963" s="117">
        <v>46163</v>
      </c>
      <c r="D1963" s="78" t="s">
        <v>999</v>
      </c>
      <c r="E1963" s="166"/>
      <c r="F1963" s="167">
        <v>4510</v>
      </c>
      <c r="G1963" s="78"/>
      <c r="K1963" s="121"/>
    </row>
    <row r="1964" spans="3:11" x14ac:dyDescent="0.25">
      <c r="C1964" s="295"/>
      <c r="D1964" s="296" t="s">
        <v>1093</v>
      </c>
      <c r="E1964" s="293"/>
      <c r="F1964" s="285">
        <v>1050</v>
      </c>
      <c r="G1964" s="78"/>
      <c r="J1964" s="121"/>
    </row>
    <row r="1965" spans="3:11" x14ac:dyDescent="0.25">
      <c r="C1965" s="257">
        <v>46179</v>
      </c>
      <c r="D1965" s="258" t="s">
        <v>923</v>
      </c>
      <c r="E1965" s="214"/>
      <c r="F1965" s="219">
        <v>8650</v>
      </c>
      <c r="G1965" s="78"/>
      <c r="J1965" s="121"/>
    </row>
    <row r="1966" spans="3:11" x14ac:dyDescent="0.25">
      <c r="C1966" s="257"/>
      <c r="D1966" s="258" t="s">
        <v>497</v>
      </c>
      <c r="E1966" s="214"/>
      <c r="F1966" s="219">
        <v>1200</v>
      </c>
    </row>
    <row r="1967" spans="3:11" ht="15.75" x14ac:dyDescent="0.25">
      <c r="C1967" s="257"/>
      <c r="D1967" s="258" t="s">
        <v>422</v>
      </c>
      <c r="E1967" s="214"/>
      <c r="F1967" s="219">
        <v>3560</v>
      </c>
      <c r="H1967" s="316" t="s">
        <v>227</v>
      </c>
      <c r="I1967" s="317"/>
      <c r="J1967" s="140">
        <f>F1982-K1961</f>
        <v>66152.589999999967</v>
      </c>
    </row>
    <row r="1968" spans="3:11" ht="15.75" x14ac:dyDescent="0.25">
      <c r="C1968" s="257"/>
      <c r="D1968" s="294" t="s">
        <v>1290</v>
      </c>
      <c r="E1968" s="293"/>
      <c r="F1968" s="285">
        <v>2100</v>
      </c>
      <c r="J1968" s="89"/>
    </row>
    <row r="1969" spans="3:13" ht="15.75" x14ac:dyDescent="0.25">
      <c r="C1969" s="257"/>
      <c r="D1969" s="258"/>
      <c r="E1969" s="214"/>
      <c r="F1969" s="219"/>
      <c r="H1969" s="128" t="s">
        <v>285</v>
      </c>
      <c r="J1969" s="124">
        <f>E2004</f>
        <v>57851.5</v>
      </c>
    </row>
    <row r="1970" spans="3:13" ht="15.75" x14ac:dyDescent="0.25">
      <c r="C1970" s="257"/>
      <c r="D1970" s="286" t="s">
        <v>1197</v>
      </c>
      <c r="E1970" s="254" t="s">
        <v>1282</v>
      </c>
      <c r="F1970" s="287">
        <v>11060.72</v>
      </c>
    </row>
    <row r="1971" spans="3:13" x14ac:dyDescent="0.25">
      <c r="C1971" s="257"/>
      <c r="D1971" s="258"/>
      <c r="E1971" s="214"/>
      <c r="F1971" s="219"/>
    </row>
    <row r="1972" spans="3:13" x14ac:dyDescent="0.25">
      <c r="C1972" s="257"/>
      <c r="D1972" s="258"/>
      <c r="E1972" s="214"/>
      <c r="F1972" s="219"/>
    </row>
    <row r="1973" spans="3:13" x14ac:dyDescent="0.25">
      <c r="C1973" s="257"/>
      <c r="D1973" s="258" t="s">
        <v>1303</v>
      </c>
      <c r="E1973" s="214"/>
      <c r="F1973" s="219">
        <v>69000</v>
      </c>
    </row>
    <row r="1974" spans="3:13" x14ac:dyDescent="0.25">
      <c r="C1974" s="257"/>
      <c r="D1974" s="258"/>
      <c r="E1974" s="214"/>
      <c r="F1974" s="219"/>
      <c r="L1974" s="121"/>
    </row>
    <row r="1975" spans="3:13" ht="21" x14ac:dyDescent="0.35">
      <c r="C1975" s="266">
        <v>46175</v>
      </c>
      <c r="D1975" s="267" t="s">
        <v>1059</v>
      </c>
      <c r="E1975" s="268" t="s">
        <v>1116</v>
      </c>
      <c r="F1975" s="265">
        <v>1473.68</v>
      </c>
      <c r="I1975" s="198" t="s">
        <v>286</v>
      </c>
      <c r="J1975" s="137">
        <f>SUM(J1967:J1969)</f>
        <v>124004.08999999997</v>
      </c>
    </row>
    <row r="1976" spans="3:13" x14ac:dyDescent="0.25">
      <c r="C1976" s="117"/>
      <c r="D1976" s="78"/>
      <c r="E1976" s="166"/>
      <c r="F1976" s="167"/>
      <c r="G1976" s="121"/>
      <c r="J1976" s="157">
        <v>123263.29</v>
      </c>
      <c r="K1976" s="39" t="s">
        <v>76</v>
      </c>
    </row>
    <row r="1977" spans="3:13" x14ac:dyDescent="0.25">
      <c r="C1977" s="78"/>
      <c r="D1977" s="78"/>
      <c r="E1977" s="78"/>
      <c r="F1977" s="122">
        <f>SUM(F1955:F1976)</f>
        <v>226874.4</v>
      </c>
    </row>
    <row r="1978" spans="3:13" ht="18.75" x14ac:dyDescent="0.3">
      <c r="F1978" s="157"/>
      <c r="J1978" s="264">
        <f>J1975-J1976</f>
        <v>740.79999999997381</v>
      </c>
    </row>
    <row r="1979" spans="3:13" x14ac:dyDescent="0.25">
      <c r="E1979" s="101" t="s">
        <v>224</v>
      </c>
      <c r="F1979" s="101">
        <v>44778.19</v>
      </c>
    </row>
    <row r="1980" spans="3:13" x14ac:dyDescent="0.25">
      <c r="C1980" s="121"/>
    </row>
    <row r="1981" spans="3:13" x14ac:dyDescent="0.25">
      <c r="H1981">
        <v>44778.19</v>
      </c>
      <c r="M1981" s="121"/>
    </row>
    <row r="1982" spans="3:13" ht="18.75" x14ac:dyDescent="0.3">
      <c r="C1982" s="121"/>
      <c r="E1982" s="99" t="s">
        <v>225</v>
      </c>
      <c r="F1982" s="125">
        <f>SUM(F1977+F1979)</f>
        <v>271652.58999999997</v>
      </c>
    </row>
    <row r="1983" spans="3:13" x14ac:dyDescent="0.25">
      <c r="C1983" s="121"/>
    </row>
    <row r="1984" spans="3:13" x14ac:dyDescent="0.25">
      <c r="C1984" s="121"/>
    </row>
    <row r="1986" spans="3:10" x14ac:dyDescent="0.25">
      <c r="C1986" s="91"/>
    </row>
    <row r="1988" spans="3:10" ht="15.75" x14ac:dyDescent="0.25">
      <c r="D1988" s="132" t="s">
        <v>235</v>
      </c>
      <c r="E1988" s="133">
        <v>64748.4</v>
      </c>
    </row>
    <row r="1989" spans="3:10" ht="15.75" x14ac:dyDescent="0.25">
      <c r="D1989" s="148" t="s">
        <v>1298</v>
      </c>
      <c r="E1989" s="144">
        <v>-50000</v>
      </c>
    </row>
    <row r="1990" spans="3:10" ht="15.75" x14ac:dyDescent="0.25">
      <c r="D1990" s="128" t="s">
        <v>1299</v>
      </c>
      <c r="E1990" s="171">
        <v>9000</v>
      </c>
      <c r="I1990" s="339" t="s">
        <v>93</v>
      </c>
      <c r="J1990" s="339"/>
    </row>
    <row r="1991" spans="3:10" ht="15.75" x14ac:dyDescent="0.25">
      <c r="D1991" s="128" t="s">
        <v>1301</v>
      </c>
      <c r="E1991" s="171">
        <v>-120</v>
      </c>
      <c r="H1991" s="121"/>
      <c r="I1991" t="s">
        <v>121</v>
      </c>
      <c r="J1991" s="163">
        <v>13421.03</v>
      </c>
    </row>
    <row r="1992" spans="3:10" ht="15.75" x14ac:dyDescent="0.25">
      <c r="D1992" s="148" t="s">
        <v>1111</v>
      </c>
      <c r="E1992" s="144">
        <v>-10</v>
      </c>
      <c r="I1992" t="s">
        <v>121</v>
      </c>
      <c r="J1992" s="163">
        <v>15850.29</v>
      </c>
    </row>
    <row r="1993" spans="3:10" ht="15.75" x14ac:dyDescent="0.25">
      <c r="D1993" s="128" t="s">
        <v>1304</v>
      </c>
      <c r="E1993" s="171">
        <v>40.6</v>
      </c>
      <c r="I1993" t="s">
        <v>1311</v>
      </c>
      <c r="J1993" s="297">
        <v>5385.1</v>
      </c>
    </row>
    <row r="1994" spans="3:10" ht="15.75" x14ac:dyDescent="0.25">
      <c r="D1994" s="128" t="s">
        <v>1305</v>
      </c>
      <c r="E1994" s="171">
        <v>-20</v>
      </c>
      <c r="I1994" s="163" t="s">
        <v>121</v>
      </c>
      <c r="J1994" s="121">
        <v>50000</v>
      </c>
    </row>
    <row r="1995" spans="3:10" ht="15.75" x14ac:dyDescent="0.25">
      <c r="D1995" s="128" t="s">
        <v>1306</v>
      </c>
      <c r="E1995" s="171">
        <v>8000</v>
      </c>
      <c r="I1995" s="150" t="s">
        <v>1312</v>
      </c>
      <c r="J1995" s="139">
        <v>-41000</v>
      </c>
    </row>
    <row r="1996" spans="3:10" ht="15.75" x14ac:dyDescent="0.25">
      <c r="D1996" s="128" t="s">
        <v>357</v>
      </c>
      <c r="E1996" s="171">
        <v>4535</v>
      </c>
      <c r="H1996" s="91"/>
      <c r="I1996" s="150" t="s">
        <v>1313</v>
      </c>
      <c r="J1996" s="138">
        <v>-9000</v>
      </c>
    </row>
    <row r="1997" spans="3:10" ht="15.75" x14ac:dyDescent="0.25">
      <c r="C1997" s="91">
        <v>46196</v>
      </c>
      <c r="D1997" s="128" t="s">
        <v>1308</v>
      </c>
      <c r="E1997" s="171">
        <v>2062.5</v>
      </c>
      <c r="H1997" s="91"/>
      <c r="I1997" s="150" t="s">
        <v>1313</v>
      </c>
      <c r="J1997" s="151">
        <v>-8000</v>
      </c>
    </row>
    <row r="1998" spans="3:10" ht="15.75" x14ac:dyDescent="0.25">
      <c r="D1998" s="148" t="s">
        <v>1111</v>
      </c>
      <c r="E1998" s="144">
        <v>-10</v>
      </c>
      <c r="I1998" s="150" t="s">
        <v>1313</v>
      </c>
      <c r="J1998" s="139">
        <v>-21271.3</v>
      </c>
    </row>
    <row r="1999" spans="3:10" ht="15.75" x14ac:dyDescent="0.25">
      <c r="D1999" s="128" t="s">
        <v>357</v>
      </c>
      <c r="E1999" s="299">
        <v>1540</v>
      </c>
      <c r="H1999" s="160">
        <v>46196</v>
      </c>
      <c r="I1999" s="163" t="s">
        <v>1315</v>
      </c>
      <c r="J1999">
        <v>23760.6</v>
      </c>
    </row>
    <row r="2000" spans="3:10" ht="15.75" x14ac:dyDescent="0.25">
      <c r="D2000" s="128" t="s">
        <v>1299</v>
      </c>
      <c r="E2000" s="171">
        <v>5385</v>
      </c>
      <c r="I2000" s="150" t="s">
        <v>1313</v>
      </c>
      <c r="J2000">
        <v>-5385</v>
      </c>
    </row>
    <row r="2001" spans="3:11" ht="15.75" x14ac:dyDescent="0.25">
      <c r="D2001" s="128" t="s">
        <v>1317</v>
      </c>
      <c r="E2001" s="171">
        <v>12700</v>
      </c>
      <c r="I2001" s="300" t="s">
        <v>1317</v>
      </c>
      <c r="J2001">
        <v>-12700</v>
      </c>
    </row>
    <row r="2002" spans="3:11" ht="18.75" x14ac:dyDescent="0.3">
      <c r="D2002" s="128"/>
      <c r="E2002" s="171"/>
      <c r="J2002" s="137">
        <f>SUM(J1991:J2001)</f>
        <v>11060.719999999998</v>
      </c>
    </row>
    <row r="2003" spans="3:11" x14ac:dyDescent="0.25">
      <c r="E2003" s="121"/>
      <c r="H2003" s="121"/>
    </row>
    <row r="2004" spans="3:11" ht="15.75" x14ac:dyDescent="0.25">
      <c r="C2004" s="91"/>
      <c r="D2004" s="132" t="s">
        <v>236</v>
      </c>
      <c r="E2004" s="133">
        <f>SUM(E1988:E2003)</f>
        <v>57851.5</v>
      </c>
    </row>
    <row r="2005" spans="3:11" x14ac:dyDescent="0.25">
      <c r="K2005" s="121"/>
    </row>
    <row r="2007" spans="3:11" x14ac:dyDescent="0.25">
      <c r="E2007">
        <v>-11.9</v>
      </c>
    </row>
    <row r="2008" spans="3:11" x14ac:dyDescent="0.25">
      <c r="I2008" s="121"/>
    </row>
    <row r="2009" spans="3:11" x14ac:dyDescent="0.25">
      <c r="D2009" s="39"/>
      <c r="E2009" s="157">
        <f>SUM(E2004:E2008)</f>
        <v>57839.6</v>
      </c>
    </row>
    <row r="2010" spans="3:11" x14ac:dyDescent="0.25">
      <c r="D2010" s="39"/>
      <c r="E2010" s="157"/>
    </row>
    <row r="2013" spans="3:11" ht="18.75" x14ac:dyDescent="0.3">
      <c r="D2013" s="333" t="s">
        <v>1125</v>
      </c>
      <c r="E2013" s="333"/>
    </row>
    <row r="2014" spans="3:11" ht="15.75" x14ac:dyDescent="0.25">
      <c r="D2014" s="166" t="s">
        <v>429</v>
      </c>
      <c r="E2014" s="140">
        <v>127752.63</v>
      </c>
    </row>
    <row r="2015" spans="3:11" ht="15.75" x14ac:dyDescent="0.25">
      <c r="D2015" s="166" t="s">
        <v>1296</v>
      </c>
      <c r="E2015" s="140">
        <v>1471</v>
      </c>
    </row>
    <row r="2016" spans="3:11" ht="15.75" x14ac:dyDescent="0.25">
      <c r="D2016" s="166" t="s">
        <v>1297</v>
      </c>
      <c r="E2016" s="140">
        <v>41000</v>
      </c>
      <c r="I2016" s="339"/>
      <c r="J2016" s="339"/>
    </row>
    <row r="2017" spans="3:10" ht="15.75" x14ac:dyDescent="0.25">
      <c r="D2017" s="166" t="s">
        <v>1300</v>
      </c>
      <c r="E2017" s="140">
        <v>-40.6</v>
      </c>
      <c r="I2017" s="163"/>
      <c r="J2017" s="121"/>
    </row>
    <row r="2018" spans="3:10" ht="15.75" x14ac:dyDescent="0.25">
      <c r="D2018" s="178" t="s">
        <v>1302</v>
      </c>
      <c r="E2018" s="212">
        <v>-30000</v>
      </c>
      <c r="I2018" s="163"/>
      <c r="J2018" s="157"/>
    </row>
    <row r="2019" spans="3:10" ht="15.75" x14ac:dyDescent="0.25">
      <c r="D2019" s="178" t="s">
        <v>1302</v>
      </c>
      <c r="E2019" s="212">
        <v>-30000</v>
      </c>
      <c r="I2019" s="297"/>
      <c r="J2019" s="298"/>
    </row>
    <row r="2020" spans="3:10" ht="15.75" x14ac:dyDescent="0.25">
      <c r="C2020" s="91">
        <v>46196</v>
      </c>
      <c r="D2020" s="178" t="s">
        <v>1302</v>
      </c>
      <c r="E2020" s="212">
        <v>-9000</v>
      </c>
    </row>
    <row r="2021" spans="3:10" ht="15.75" x14ac:dyDescent="0.25">
      <c r="D2021" s="178" t="s">
        <v>535</v>
      </c>
      <c r="E2021" s="212">
        <v>-5.55</v>
      </c>
    </row>
    <row r="2022" spans="3:10" ht="15.75" x14ac:dyDescent="0.25">
      <c r="D2022" s="178" t="s">
        <v>1314</v>
      </c>
      <c r="E2022" s="212">
        <v>-23760.6</v>
      </c>
    </row>
    <row r="2023" spans="3:10" ht="15.75" x14ac:dyDescent="0.25">
      <c r="D2023" s="178" t="s">
        <v>552</v>
      </c>
      <c r="E2023" s="212">
        <v>-1.2</v>
      </c>
    </row>
    <row r="2024" spans="3:10" ht="15.75" x14ac:dyDescent="0.25">
      <c r="D2024" s="178" t="s">
        <v>1316</v>
      </c>
      <c r="E2024" s="212">
        <v>1100</v>
      </c>
    </row>
    <row r="2025" spans="3:10" ht="15.75" x14ac:dyDescent="0.25">
      <c r="D2025" s="178"/>
      <c r="E2025" s="212"/>
      <c r="I2025" s="318" t="s">
        <v>497</v>
      </c>
      <c r="J2025" s="318"/>
    </row>
    <row r="2026" spans="3:10" x14ac:dyDescent="0.25">
      <c r="D2026" s="78"/>
      <c r="E2026" s="78"/>
      <c r="I2026" s="163" t="s">
        <v>1249</v>
      </c>
      <c r="J2026" s="121">
        <v>50</v>
      </c>
    </row>
    <row r="2027" spans="3:10" ht="15.75" x14ac:dyDescent="0.25">
      <c r="D2027" s="78" t="s">
        <v>596</v>
      </c>
      <c r="E2027" s="189">
        <f>SUM(E2014:E2026)</f>
        <v>78515.680000000008</v>
      </c>
      <c r="I2027" s="163" t="s">
        <v>17</v>
      </c>
      <c r="J2027" s="157">
        <v>1</v>
      </c>
    </row>
    <row r="2028" spans="3:10" x14ac:dyDescent="0.25">
      <c r="I2028" s="163" t="s">
        <v>1253</v>
      </c>
      <c r="J2028" s="157">
        <v>360</v>
      </c>
    </row>
    <row r="2029" spans="3:10" x14ac:dyDescent="0.25">
      <c r="D2029" t="s">
        <v>361</v>
      </c>
      <c r="E2029" s="121">
        <v>1342</v>
      </c>
      <c r="I2029" s="163" t="s">
        <v>1249</v>
      </c>
      <c r="J2029" s="157">
        <v>100</v>
      </c>
    </row>
    <row r="2030" spans="3:10" x14ac:dyDescent="0.25">
      <c r="I2030" s="163" t="s">
        <v>1287</v>
      </c>
      <c r="J2030" s="157">
        <v>960</v>
      </c>
    </row>
    <row r="2031" spans="3:10" ht="18.75" x14ac:dyDescent="0.3">
      <c r="E2031" s="280">
        <f>E2027+E2029</f>
        <v>79857.680000000008</v>
      </c>
      <c r="I2031" s="163" t="s">
        <v>1291</v>
      </c>
      <c r="J2031" s="157">
        <v>1200</v>
      </c>
    </row>
    <row r="2032" spans="3:10" x14ac:dyDescent="0.25">
      <c r="I2032" s="150" t="s">
        <v>541</v>
      </c>
      <c r="J2032" s="151">
        <v>-1471</v>
      </c>
    </row>
    <row r="2033" spans="9:10" x14ac:dyDescent="0.25">
      <c r="I2033" s="163"/>
      <c r="J2033" s="157"/>
    </row>
    <row r="2034" spans="9:10" x14ac:dyDescent="0.25">
      <c r="I2034" s="163"/>
      <c r="J2034" s="121"/>
    </row>
    <row r="2035" spans="9:10" ht="15.75" x14ac:dyDescent="0.25">
      <c r="I2035" s="130" t="s">
        <v>53</v>
      </c>
      <c r="J2035" s="131">
        <f>SUM(J2026:J2034)</f>
        <v>1200</v>
      </c>
    </row>
    <row r="2050" spans="3:11" ht="18.75" x14ac:dyDescent="0.3">
      <c r="C2050" s="314" t="s">
        <v>1318</v>
      </c>
      <c r="D2050" s="315"/>
      <c r="E2050" s="315"/>
      <c r="F2050" s="315"/>
      <c r="G2050" s="315"/>
      <c r="H2050" s="315"/>
      <c r="I2050" s="315"/>
      <c r="J2050" s="315"/>
      <c r="K2050" s="315"/>
    </row>
    <row r="2051" spans="3:11" x14ac:dyDescent="0.25">
      <c r="C2051" s="78"/>
      <c r="D2051" s="78"/>
      <c r="E2051" s="78"/>
      <c r="F2051" s="78"/>
      <c r="G2051" s="78"/>
      <c r="H2051" s="78"/>
      <c r="I2051" s="78"/>
      <c r="J2051" s="78"/>
      <c r="K2051" s="78"/>
    </row>
    <row r="2052" spans="3:11" ht="15.75" x14ac:dyDescent="0.25">
      <c r="C2052" s="118" t="s">
        <v>223</v>
      </c>
      <c r="D2052" s="118" t="s">
        <v>206</v>
      </c>
      <c r="E2052" s="118" t="s">
        <v>207</v>
      </c>
      <c r="F2052" s="118" t="s">
        <v>218</v>
      </c>
      <c r="G2052" s="78"/>
      <c r="H2052" s="120" t="s">
        <v>6</v>
      </c>
      <c r="I2052" s="120" t="s">
        <v>217</v>
      </c>
      <c r="J2052" s="120" t="s">
        <v>207</v>
      </c>
      <c r="K2052" s="120" t="s">
        <v>218</v>
      </c>
    </row>
    <row r="2053" spans="3:11" x14ac:dyDescent="0.25">
      <c r="C2053" s="276">
        <v>46178</v>
      </c>
      <c r="D2053" s="247" t="s">
        <v>1151</v>
      </c>
      <c r="E2053" s="118" t="s">
        <v>1273</v>
      </c>
      <c r="F2053" s="248">
        <v>11210</v>
      </c>
      <c r="G2053" s="78"/>
      <c r="H2053" s="117"/>
      <c r="I2053" s="78"/>
      <c r="J2053" s="78"/>
      <c r="K2053" s="119"/>
    </row>
    <row r="2054" spans="3:11" x14ac:dyDescent="0.25">
      <c r="C2054" s="276">
        <v>46178</v>
      </c>
      <c r="D2054" s="247" t="s">
        <v>1152</v>
      </c>
      <c r="E2054" s="118" t="s">
        <v>1217</v>
      </c>
      <c r="F2054" s="248">
        <v>3800</v>
      </c>
      <c r="G2054" s="78"/>
      <c r="H2054" s="117">
        <v>46037</v>
      </c>
      <c r="I2054" s="149" t="s">
        <v>66</v>
      </c>
      <c r="J2054" s="78" t="s">
        <v>222</v>
      </c>
      <c r="K2054" s="119">
        <v>2120</v>
      </c>
    </row>
    <row r="2055" spans="3:11" ht="15.75" x14ac:dyDescent="0.25">
      <c r="C2055" s="269">
        <v>46087</v>
      </c>
      <c r="D2055" s="270" t="s">
        <v>214</v>
      </c>
      <c r="E2055" s="270" t="s">
        <v>211</v>
      </c>
      <c r="F2055" s="271">
        <v>2600</v>
      </c>
      <c r="G2055" s="78"/>
      <c r="H2055" s="184"/>
      <c r="I2055" s="78" t="s">
        <v>1084</v>
      </c>
      <c r="J2055" s="185"/>
      <c r="K2055" s="140">
        <v>189000</v>
      </c>
    </row>
    <row r="2056" spans="3:11" ht="15.75" x14ac:dyDescent="0.25">
      <c r="C2056" s="78"/>
      <c r="D2056" s="201" t="s">
        <v>429</v>
      </c>
      <c r="E2056" s="201"/>
      <c r="F2056" s="183">
        <v>133362.71</v>
      </c>
      <c r="G2056" s="78"/>
      <c r="H2056" s="184"/>
      <c r="I2056" s="78" t="s">
        <v>257</v>
      </c>
      <c r="J2056" s="185"/>
      <c r="K2056" s="140">
        <v>12780</v>
      </c>
    </row>
    <row r="2057" spans="3:11" ht="15.75" x14ac:dyDescent="0.25">
      <c r="C2057" s="117">
        <v>46156</v>
      </c>
      <c r="D2057" s="78" t="s">
        <v>353</v>
      </c>
      <c r="E2057" s="166"/>
      <c r="F2057" s="167">
        <v>3280</v>
      </c>
      <c r="G2057" s="119"/>
      <c r="H2057" s="184"/>
      <c r="I2057" s="78" t="s">
        <v>281</v>
      </c>
      <c r="J2057" s="185"/>
      <c r="K2057" s="140">
        <v>6790</v>
      </c>
    </row>
    <row r="2058" spans="3:11" x14ac:dyDescent="0.25">
      <c r="C2058" s="117">
        <v>46156</v>
      </c>
      <c r="D2058" s="78" t="s">
        <v>471</v>
      </c>
      <c r="E2058" s="166"/>
      <c r="F2058" s="167">
        <v>3902</v>
      </c>
      <c r="G2058" s="119"/>
      <c r="H2058" s="117"/>
      <c r="I2058" s="78" t="s">
        <v>1329</v>
      </c>
      <c r="J2058" s="78"/>
      <c r="K2058" s="119">
        <v>300</v>
      </c>
    </row>
    <row r="2059" spans="3:11" ht="18.75" x14ac:dyDescent="0.3">
      <c r="C2059" s="117">
        <v>46156</v>
      </c>
      <c r="D2059" s="78" t="s">
        <v>148</v>
      </c>
      <c r="E2059" s="166"/>
      <c r="F2059" s="167">
        <v>5785</v>
      </c>
      <c r="G2059" s="78"/>
      <c r="H2059" s="78"/>
      <c r="I2059" s="126" t="s">
        <v>226</v>
      </c>
      <c r="J2059" s="126"/>
      <c r="K2059" s="127">
        <f>SUM(K2053:K2058)</f>
        <v>210990</v>
      </c>
    </row>
    <row r="2060" spans="3:11" x14ac:dyDescent="0.25">
      <c r="C2060" s="117">
        <v>46161</v>
      </c>
      <c r="D2060" s="78" t="s">
        <v>995</v>
      </c>
      <c r="E2060" s="166"/>
      <c r="F2060" s="167">
        <v>15202.82</v>
      </c>
      <c r="G2060" s="78"/>
    </row>
    <row r="2061" spans="3:11" x14ac:dyDescent="0.25">
      <c r="C2061" s="117">
        <v>46163</v>
      </c>
      <c r="D2061" s="78" t="s">
        <v>999</v>
      </c>
      <c r="E2061" s="166"/>
      <c r="F2061" s="167">
        <v>4510</v>
      </c>
      <c r="G2061" s="78"/>
      <c r="K2061" s="121"/>
    </row>
    <row r="2062" spans="3:11" x14ac:dyDescent="0.25">
      <c r="C2062" s="295"/>
      <c r="D2062" s="296" t="s">
        <v>1093</v>
      </c>
      <c r="E2062" s="293"/>
      <c r="F2062" s="285">
        <v>1050</v>
      </c>
      <c r="G2062" s="78"/>
      <c r="J2062" s="121"/>
    </row>
    <row r="2063" spans="3:11" x14ac:dyDescent="0.25">
      <c r="C2063" s="257">
        <v>46179</v>
      </c>
      <c r="D2063" s="258" t="s">
        <v>923</v>
      </c>
      <c r="E2063" s="214"/>
      <c r="F2063" s="219">
        <v>8650</v>
      </c>
      <c r="G2063" s="78"/>
      <c r="J2063" s="121"/>
    </row>
    <row r="2064" spans="3:11" x14ac:dyDescent="0.25">
      <c r="C2064" s="257"/>
      <c r="D2064" s="258" t="s">
        <v>497</v>
      </c>
      <c r="E2064" s="214"/>
      <c r="F2064" s="219">
        <v>4350</v>
      </c>
    </row>
    <row r="2065" spans="3:13" ht="15.75" x14ac:dyDescent="0.25">
      <c r="C2065" s="257"/>
      <c r="D2065" s="258" t="s">
        <v>422</v>
      </c>
      <c r="E2065" s="214"/>
      <c r="F2065" s="219">
        <v>3560</v>
      </c>
      <c r="H2065" s="316" t="s">
        <v>227</v>
      </c>
      <c r="I2065" s="317"/>
      <c r="J2065" s="140">
        <f>F2080-K2059</f>
        <v>120482.82</v>
      </c>
    </row>
    <row r="2066" spans="3:13" ht="15.75" x14ac:dyDescent="0.25">
      <c r="C2066" s="257"/>
      <c r="D2066" s="294" t="s">
        <v>1290</v>
      </c>
      <c r="E2066" s="293"/>
      <c r="F2066" s="285">
        <v>1100</v>
      </c>
      <c r="J2066" s="89"/>
    </row>
    <row r="2067" spans="3:13" ht="15.75" x14ac:dyDescent="0.25">
      <c r="C2067" s="257"/>
      <c r="D2067" s="258"/>
      <c r="E2067" s="214"/>
      <c r="F2067" s="219"/>
      <c r="H2067" s="128" t="s">
        <v>285</v>
      </c>
      <c r="J2067" s="124">
        <f>E2109</f>
        <v>4267.8999999999996</v>
      </c>
    </row>
    <row r="2068" spans="3:13" ht="15.75" x14ac:dyDescent="0.25">
      <c r="C2068" s="257"/>
      <c r="D2068" s="286" t="s">
        <v>1197</v>
      </c>
      <c r="E2068" s="254" t="s">
        <v>1282</v>
      </c>
      <c r="F2068" s="287">
        <v>11060.72</v>
      </c>
    </row>
    <row r="2069" spans="3:13" x14ac:dyDescent="0.25">
      <c r="C2069" s="257"/>
      <c r="D2069" s="258"/>
      <c r="E2069" s="214"/>
      <c r="F2069" s="219"/>
    </row>
    <row r="2070" spans="3:13" x14ac:dyDescent="0.25">
      <c r="C2070" s="257"/>
      <c r="D2070" s="258"/>
      <c r="E2070" s="214"/>
      <c r="F2070" s="219"/>
    </row>
    <row r="2071" spans="3:13" x14ac:dyDescent="0.25">
      <c r="C2071" s="257"/>
      <c r="D2071" s="258" t="s">
        <v>1303</v>
      </c>
      <c r="E2071" s="214"/>
      <c r="F2071" s="219">
        <v>69000</v>
      </c>
    </row>
    <row r="2072" spans="3:13" x14ac:dyDescent="0.25">
      <c r="C2072" s="257"/>
      <c r="D2072" s="258" t="s">
        <v>1331</v>
      </c>
      <c r="E2072" s="214"/>
      <c r="F2072" s="219">
        <v>20</v>
      </c>
      <c r="L2072" s="121"/>
    </row>
    <row r="2073" spans="3:13" ht="21" x14ac:dyDescent="0.35">
      <c r="C2073" s="266">
        <v>46175</v>
      </c>
      <c r="D2073" s="267" t="s">
        <v>1059</v>
      </c>
      <c r="E2073" s="268" t="s">
        <v>1116</v>
      </c>
      <c r="F2073" s="265">
        <v>1473.68</v>
      </c>
      <c r="I2073" s="198" t="s">
        <v>286</v>
      </c>
      <c r="J2073" s="137">
        <f>SUM(J2065:J2067)</f>
        <v>124750.72</v>
      </c>
    </row>
    <row r="2074" spans="3:13" x14ac:dyDescent="0.25">
      <c r="C2074" s="117"/>
      <c r="D2074" s="78"/>
      <c r="E2074" s="166"/>
      <c r="F2074" s="167"/>
      <c r="G2074" s="121"/>
      <c r="J2074" s="157">
        <v>124004.09</v>
      </c>
      <c r="K2074" s="39" t="s">
        <v>76</v>
      </c>
    </row>
    <row r="2075" spans="3:13" x14ac:dyDescent="0.25">
      <c r="C2075" s="78"/>
      <c r="D2075" s="78"/>
      <c r="E2075" s="78"/>
      <c r="F2075" s="122">
        <f>SUM(F2053:F2074)</f>
        <v>283916.93</v>
      </c>
    </row>
    <row r="2076" spans="3:13" ht="18.75" x14ac:dyDescent="0.3">
      <c r="F2076" s="157"/>
      <c r="J2076" s="264">
        <f>J2073-J2074</f>
        <v>746.63000000000466</v>
      </c>
    </row>
    <row r="2077" spans="3:13" x14ac:dyDescent="0.25">
      <c r="E2077" s="101" t="s">
        <v>224</v>
      </c>
      <c r="F2077" s="101">
        <v>47555.89</v>
      </c>
    </row>
    <row r="2078" spans="3:13" x14ac:dyDescent="0.25">
      <c r="C2078" s="121"/>
    </row>
    <row r="2079" spans="3:13" x14ac:dyDescent="0.25">
      <c r="M2079" s="121"/>
    </row>
    <row r="2080" spans="3:13" ht="18.75" x14ac:dyDescent="0.3">
      <c r="C2080" s="121"/>
      <c r="E2080" s="99" t="s">
        <v>225</v>
      </c>
      <c r="F2080" s="125">
        <f>SUM(F2075+F2077)</f>
        <v>331472.82</v>
      </c>
    </row>
    <row r="2081" spans="3:10" x14ac:dyDescent="0.25">
      <c r="C2081" s="121"/>
    </row>
    <row r="2082" spans="3:10" x14ac:dyDescent="0.25">
      <c r="C2082" s="121"/>
    </row>
    <row r="2084" spans="3:10" x14ac:dyDescent="0.25">
      <c r="C2084" s="91"/>
    </row>
    <row r="2086" spans="3:10" ht="15.75" x14ac:dyDescent="0.25">
      <c r="D2086" s="132" t="s">
        <v>235</v>
      </c>
      <c r="E2086" s="133">
        <v>64748.4</v>
      </c>
    </row>
    <row r="2087" spans="3:10" ht="15.75" x14ac:dyDescent="0.25">
      <c r="D2087" s="148" t="s">
        <v>1298</v>
      </c>
      <c r="E2087" s="144">
        <v>-50000</v>
      </c>
    </row>
    <row r="2088" spans="3:10" ht="15.75" x14ac:dyDescent="0.25">
      <c r="D2088" s="128" t="s">
        <v>1299</v>
      </c>
      <c r="E2088" s="171">
        <v>9000</v>
      </c>
      <c r="I2088" s="339" t="s">
        <v>93</v>
      </c>
      <c r="J2088" s="339"/>
    </row>
    <row r="2089" spans="3:10" ht="15.75" x14ac:dyDescent="0.25">
      <c r="D2089" s="128" t="s">
        <v>1301</v>
      </c>
      <c r="E2089" s="171">
        <v>-120</v>
      </c>
      <c r="H2089" s="121"/>
      <c r="I2089" t="s">
        <v>121</v>
      </c>
      <c r="J2089" s="163">
        <v>13421.03</v>
      </c>
    </row>
    <row r="2090" spans="3:10" ht="15.75" x14ac:dyDescent="0.25">
      <c r="D2090" s="148" t="s">
        <v>1111</v>
      </c>
      <c r="E2090" s="144">
        <v>-10</v>
      </c>
      <c r="I2090" t="s">
        <v>121</v>
      </c>
      <c r="J2090" s="163">
        <v>15850.29</v>
      </c>
    </row>
    <row r="2091" spans="3:10" ht="15.75" x14ac:dyDescent="0.25">
      <c r="D2091" s="128" t="s">
        <v>1304</v>
      </c>
      <c r="E2091" s="171">
        <v>40.6</v>
      </c>
      <c r="I2091" t="s">
        <v>1311</v>
      </c>
      <c r="J2091" s="297">
        <v>5385.1</v>
      </c>
    </row>
    <row r="2092" spans="3:10" ht="15.75" x14ac:dyDescent="0.25">
      <c r="D2092" s="128" t="s">
        <v>1305</v>
      </c>
      <c r="E2092" s="171">
        <v>-20</v>
      </c>
      <c r="I2092" s="163" t="s">
        <v>121</v>
      </c>
      <c r="J2092" s="121">
        <v>50000</v>
      </c>
    </row>
    <row r="2093" spans="3:10" ht="15.75" x14ac:dyDescent="0.25">
      <c r="D2093" s="128" t="s">
        <v>1306</v>
      </c>
      <c r="E2093" s="171">
        <v>8000</v>
      </c>
      <c r="I2093" s="150" t="s">
        <v>1312</v>
      </c>
      <c r="J2093" s="139">
        <v>-41000</v>
      </c>
    </row>
    <row r="2094" spans="3:10" ht="15.75" x14ac:dyDescent="0.25">
      <c r="D2094" s="128" t="s">
        <v>357</v>
      </c>
      <c r="E2094" s="171">
        <v>4535</v>
      </c>
      <c r="H2094" s="91"/>
      <c r="I2094" s="150" t="s">
        <v>1313</v>
      </c>
      <c r="J2094" s="138">
        <v>-9000</v>
      </c>
    </row>
    <row r="2095" spans="3:10" ht="15.75" x14ac:dyDescent="0.25">
      <c r="C2095" s="91">
        <v>46196</v>
      </c>
      <c r="D2095" s="128" t="s">
        <v>1308</v>
      </c>
      <c r="E2095" s="171">
        <v>2062.5</v>
      </c>
      <c r="H2095" s="91"/>
      <c r="I2095" s="150" t="s">
        <v>1313</v>
      </c>
      <c r="J2095" s="151">
        <v>-8000</v>
      </c>
    </row>
    <row r="2096" spans="3:10" ht="15.75" x14ac:dyDescent="0.25">
      <c r="D2096" s="148" t="s">
        <v>1111</v>
      </c>
      <c r="E2096" s="144">
        <v>-10</v>
      </c>
      <c r="I2096" s="150" t="s">
        <v>1313</v>
      </c>
      <c r="J2096" s="139">
        <v>-21271.3</v>
      </c>
    </row>
    <row r="2097" spans="3:11" ht="15.75" x14ac:dyDescent="0.25">
      <c r="D2097" s="128" t="s">
        <v>357</v>
      </c>
      <c r="E2097" s="299">
        <v>1540</v>
      </c>
      <c r="H2097" s="160">
        <v>46196</v>
      </c>
      <c r="I2097" s="163" t="s">
        <v>1315</v>
      </c>
      <c r="J2097">
        <v>23760.6</v>
      </c>
    </row>
    <row r="2098" spans="3:11" ht="15.75" x14ac:dyDescent="0.25">
      <c r="D2098" s="128" t="s">
        <v>1299</v>
      </c>
      <c r="E2098" s="171">
        <v>5385</v>
      </c>
      <c r="I2098" s="150" t="s">
        <v>1313</v>
      </c>
      <c r="J2098">
        <v>-5385</v>
      </c>
    </row>
    <row r="2099" spans="3:11" ht="15.75" x14ac:dyDescent="0.25">
      <c r="D2099" s="128" t="s">
        <v>1317</v>
      </c>
      <c r="E2099" s="171">
        <v>12700</v>
      </c>
      <c r="I2099" s="300" t="s">
        <v>1317</v>
      </c>
      <c r="J2099">
        <v>-12700</v>
      </c>
    </row>
    <row r="2100" spans="3:11" ht="18.75" x14ac:dyDescent="0.3">
      <c r="D2100" s="148" t="s">
        <v>1320</v>
      </c>
      <c r="E2100" s="144">
        <v>-10</v>
      </c>
      <c r="J2100" s="137">
        <f>SUM(J2089:J2099)</f>
        <v>11060.719999999998</v>
      </c>
    </row>
    <row r="2101" spans="3:11" ht="15.75" x14ac:dyDescent="0.25">
      <c r="D2101" s="301" t="s">
        <v>1322</v>
      </c>
      <c r="E2101" s="302">
        <v>-57000</v>
      </c>
      <c r="H2101" s="121"/>
    </row>
    <row r="2102" spans="3:11" ht="15.75" x14ac:dyDescent="0.25">
      <c r="D2102" s="199" t="s">
        <v>1326</v>
      </c>
      <c r="E2102" s="200">
        <v>25</v>
      </c>
    </row>
    <row r="2103" spans="3:11" ht="15.75" x14ac:dyDescent="0.25">
      <c r="D2103" s="148" t="s">
        <v>1330</v>
      </c>
      <c r="E2103" s="144">
        <v>-40</v>
      </c>
      <c r="K2103" s="121"/>
    </row>
    <row r="2104" spans="3:11" ht="15.75" x14ac:dyDescent="0.25">
      <c r="D2104" s="148" t="s">
        <v>398</v>
      </c>
      <c r="E2104" s="144">
        <v>-20</v>
      </c>
    </row>
    <row r="2105" spans="3:11" ht="15.75" x14ac:dyDescent="0.25">
      <c r="D2105" s="128" t="s">
        <v>357</v>
      </c>
      <c r="E2105" s="171">
        <v>3512.4</v>
      </c>
    </row>
    <row r="2106" spans="3:11" ht="15.75" x14ac:dyDescent="0.25">
      <c r="D2106" s="128" t="s">
        <v>1334</v>
      </c>
      <c r="E2106" s="171">
        <v>-26.5</v>
      </c>
      <c r="I2106" s="121"/>
    </row>
    <row r="2107" spans="3:11" ht="15.75" x14ac:dyDescent="0.25">
      <c r="C2107" s="91"/>
      <c r="D2107" s="128" t="s">
        <v>1335</v>
      </c>
      <c r="E2107" s="171">
        <v>-24.5</v>
      </c>
    </row>
    <row r="2108" spans="3:11" x14ac:dyDescent="0.25">
      <c r="E2108" s="121"/>
    </row>
    <row r="2109" spans="3:11" ht="15.75" x14ac:dyDescent="0.25">
      <c r="D2109" s="132" t="s">
        <v>236</v>
      </c>
      <c r="E2109" s="133">
        <f>SUM(E2086:E2108)</f>
        <v>4267.8999999999996</v>
      </c>
    </row>
    <row r="2112" spans="3:11" x14ac:dyDescent="0.25">
      <c r="E2112">
        <v>-11.9</v>
      </c>
    </row>
    <row r="2114" spans="3:10" ht="15.75" x14ac:dyDescent="0.25">
      <c r="D2114" s="39"/>
      <c r="E2114" s="157">
        <f>SUM(E2109:E2113)</f>
        <v>4256</v>
      </c>
      <c r="I2114" s="339"/>
      <c r="J2114" s="339"/>
    </row>
    <row r="2115" spans="3:10" x14ac:dyDescent="0.25">
      <c r="D2115" s="39"/>
      <c r="E2115" s="157"/>
      <c r="I2115" s="163"/>
      <c r="J2115" s="121"/>
    </row>
    <row r="2116" spans="3:10" x14ac:dyDescent="0.25">
      <c r="I2116" s="163"/>
      <c r="J2116" s="157"/>
    </row>
    <row r="2117" spans="3:10" x14ac:dyDescent="0.25">
      <c r="I2117" s="297"/>
      <c r="J2117" s="298"/>
    </row>
    <row r="2118" spans="3:10" ht="18.75" x14ac:dyDescent="0.3">
      <c r="D2118" s="333" t="s">
        <v>1125</v>
      </c>
      <c r="E2118" s="333"/>
    </row>
    <row r="2119" spans="3:10" ht="15.75" x14ac:dyDescent="0.25">
      <c r="D2119" s="166" t="s">
        <v>429</v>
      </c>
      <c r="E2119" s="140">
        <v>127752.63</v>
      </c>
    </row>
    <row r="2120" spans="3:10" ht="15.75" x14ac:dyDescent="0.25">
      <c r="D2120" s="166" t="s">
        <v>1296</v>
      </c>
      <c r="E2120" s="140">
        <v>1471</v>
      </c>
    </row>
    <row r="2121" spans="3:10" ht="15.75" x14ac:dyDescent="0.25">
      <c r="D2121" s="166" t="s">
        <v>1297</v>
      </c>
      <c r="E2121" s="140">
        <v>41000</v>
      </c>
    </row>
    <row r="2122" spans="3:10" ht="15.75" x14ac:dyDescent="0.25">
      <c r="D2122" s="166" t="s">
        <v>1300</v>
      </c>
      <c r="E2122" s="140">
        <v>-40.6</v>
      </c>
    </row>
    <row r="2123" spans="3:10" ht="15.75" x14ac:dyDescent="0.25">
      <c r="C2123" s="91">
        <v>46196</v>
      </c>
      <c r="D2123" s="178" t="s">
        <v>1302</v>
      </c>
      <c r="E2123" s="212">
        <v>-30000</v>
      </c>
      <c r="I2123" s="337" t="s">
        <v>497</v>
      </c>
      <c r="J2123" s="337"/>
    </row>
    <row r="2124" spans="3:10" ht="15.75" x14ac:dyDescent="0.25">
      <c r="D2124" s="178" t="s">
        <v>1302</v>
      </c>
      <c r="E2124" s="212">
        <v>-30000</v>
      </c>
      <c r="I2124" s="163" t="s">
        <v>1333</v>
      </c>
      <c r="J2124" s="121">
        <v>1200</v>
      </c>
    </row>
    <row r="2125" spans="3:10" ht="15.75" x14ac:dyDescent="0.25">
      <c r="D2125" s="178" t="s">
        <v>1302</v>
      </c>
      <c r="E2125" s="212">
        <v>-9000</v>
      </c>
      <c r="I2125" s="163" t="s">
        <v>1224</v>
      </c>
      <c r="J2125" s="157">
        <v>3150</v>
      </c>
    </row>
    <row r="2126" spans="3:10" ht="15.75" x14ac:dyDescent="0.25">
      <c r="D2126" s="178" t="s">
        <v>535</v>
      </c>
      <c r="E2126" s="212">
        <v>-5.55</v>
      </c>
      <c r="I2126" s="163"/>
      <c r="J2126" s="157"/>
    </row>
    <row r="2127" spans="3:10" ht="15.75" x14ac:dyDescent="0.25">
      <c r="D2127" s="178" t="s">
        <v>1314</v>
      </c>
      <c r="E2127" s="212">
        <v>-23760.6</v>
      </c>
      <c r="I2127" s="163"/>
      <c r="J2127" s="157"/>
    </row>
    <row r="2128" spans="3:10" ht="15.75" x14ac:dyDescent="0.25">
      <c r="D2128" s="178" t="s">
        <v>552</v>
      </c>
      <c r="E2128" s="212">
        <v>-1.2</v>
      </c>
      <c r="I2128" s="163"/>
      <c r="J2128" s="121"/>
    </row>
    <row r="2129" spans="4:10" ht="15.75" x14ac:dyDescent="0.25">
      <c r="D2129" s="178" t="s">
        <v>1316</v>
      </c>
      <c r="E2129" s="212">
        <v>1100</v>
      </c>
      <c r="I2129" s="130" t="s">
        <v>53</v>
      </c>
      <c r="J2129" s="131">
        <f>SUM(J2124:J2128)</f>
        <v>4350</v>
      </c>
    </row>
    <row r="2130" spans="4:10" ht="15.75" x14ac:dyDescent="0.25">
      <c r="D2130" s="178" t="s">
        <v>1319</v>
      </c>
      <c r="E2130" s="212">
        <v>-2750</v>
      </c>
    </row>
    <row r="2131" spans="4:10" ht="15.75" x14ac:dyDescent="0.25">
      <c r="D2131" s="178" t="s">
        <v>272</v>
      </c>
      <c r="E2131" s="212">
        <v>-399.97</v>
      </c>
    </row>
    <row r="2132" spans="4:10" ht="15.75" x14ac:dyDescent="0.25">
      <c r="D2132" s="178" t="s">
        <v>1323</v>
      </c>
      <c r="E2132" s="212">
        <v>30000</v>
      </c>
    </row>
    <row r="2133" spans="4:10" ht="15.75" x14ac:dyDescent="0.25">
      <c r="D2133" s="178" t="s">
        <v>1323</v>
      </c>
      <c r="E2133" s="212">
        <v>19020</v>
      </c>
    </row>
    <row r="2134" spans="4:10" ht="15.75" x14ac:dyDescent="0.25">
      <c r="D2134" s="178" t="s">
        <v>1323</v>
      </c>
      <c r="E2134" s="212">
        <v>7980</v>
      </c>
    </row>
    <row r="2135" spans="4:10" ht="15.75" x14ac:dyDescent="0.25">
      <c r="D2135" s="214" t="s">
        <v>1325</v>
      </c>
      <c r="E2135" s="210">
        <v>1000</v>
      </c>
    </row>
    <row r="2136" spans="4:10" ht="15.75" x14ac:dyDescent="0.25">
      <c r="D2136" s="178" t="s">
        <v>535</v>
      </c>
      <c r="E2136" s="212">
        <v>-3</v>
      </c>
    </row>
    <row r="2137" spans="4:10" x14ac:dyDescent="0.25">
      <c r="D2137" s="78"/>
      <c r="E2137" s="78"/>
    </row>
    <row r="2138" spans="4:10" ht="15.75" x14ac:dyDescent="0.25">
      <c r="D2138" s="78" t="s">
        <v>596</v>
      </c>
      <c r="E2138" s="189">
        <f>SUM(E2119:E2137)</f>
        <v>133362.71000000002</v>
      </c>
    </row>
    <row r="2140" spans="4:10" x14ac:dyDescent="0.25">
      <c r="D2140" t="s">
        <v>361</v>
      </c>
      <c r="E2140" s="121">
        <v>1342</v>
      </c>
    </row>
    <row r="2141" spans="4:10" x14ac:dyDescent="0.25">
      <c r="D2141" t="s">
        <v>1324</v>
      </c>
      <c r="E2141">
        <v>1000</v>
      </c>
    </row>
    <row r="2144" spans="4:10" ht="18.75" x14ac:dyDescent="0.3">
      <c r="E2144" s="280">
        <f>SUM(E2138:E2141)</f>
        <v>135704.71000000002</v>
      </c>
    </row>
    <row r="2157" spans="3:11" ht="18.75" x14ac:dyDescent="0.3">
      <c r="C2157" s="314" t="s">
        <v>1336</v>
      </c>
      <c r="D2157" s="315"/>
      <c r="E2157" s="315"/>
      <c r="F2157" s="315"/>
      <c r="G2157" s="315"/>
      <c r="H2157" s="315"/>
      <c r="I2157" s="315"/>
      <c r="J2157" s="315"/>
      <c r="K2157" s="315"/>
    </row>
    <row r="2158" spans="3:11" x14ac:dyDescent="0.25">
      <c r="C2158" s="78"/>
      <c r="D2158" s="78"/>
      <c r="E2158" s="78"/>
      <c r="F2158" s="78"/>
      <c r="G2158" s="78"/>
      <c r="H2158" s="78"/>
      <c r="I2158" s="78"/>
      <c r="J2158" s="78"/>
      <c r="K2158" s="78"/>
    </row>
    <row r="2159" spans="3:11" ht="15.75" x14ac:dyDescent="0.25">
      <c r="C2159" s="118" t="s">
        <v>223</v>
      </c>
      <c r="D2159" s="118" t="s">
        <v>206</v>
      </c>
      <c r="E2159" s="118" t="s">
        <v>207</v>
      </c>
      <c r="F2159" s="118" t="s">
        <v>218</v>
      </c>
      <c r="G2159" s="78"/>
      <c r="H2159" s="120" t="s">
        <v>6</v>
      </c>
      <c r="I2159" s="120" t="s">
        <v>217</v>
      </c>
      <c r="J2159" s="120" t="s">
        <v>207</v>
      </c>
      <c r="K2159" s="120" t="s">
        <v>218</v>
      </c>
    </row>
    <row r="2160" spans="3:11" x14ac:dyDescent="0.25">
      <c r="C2160" s="276">
        <v>46178</v>
      </c>
      <c r="D2160" s="247" t="s">
        <v>1151</v>
      </c>
      <c r="E2160" s="118" t="s">
        <v>1273</v>
      </c>
      <c r="F2160" s="248">
        <v>11210</v>
      </c>
      <c r="G2160" s="78"/>
      <c r="H2160" s="117"/>
      <c r="I2160" s="78"/>
      <c r="J2160" s="78"/>
      <c r="K2160" s="119"/>
    </row>
    <row r="2161" spans="3:11" x14ac:dyDescent="0.25">
      <c r="C2161" s="276">
        <v>46178</v>
      </c>
      <c r="D2161" s="247" t="s">
        <v>1152</v>
      </c>
      <c r="E2161" s="118" t="s">
        <v>1217</v>
      </c>
      <c r="F2161" s="248">
        <v>3800</v>
      </c>
      <c r="G2161" s="78"/>
      <c r="H2161" s="117">
        <v>46037</v>
      </c>
      <c r="I2161" s="149" t="s">
        <v>66</v>
      </c>
      <c r="J2161" s="78" t="s">
        <v>222</v>
      </c>
      <c r="K2161" s="119">
        <v>2120</v>
      </c>
    </row>
    <row r="2162" spans="3:11" ht="15.75" x14ac:dyDescent="0.25">
      <c r="C2162" s="269">
        <v>46087</v>
      </c>
      <c r="D2162" s="270" t="s">
        <v>214</v>
      </c>
      <c r="E2162" s="270" t="s">
        <v>211</v>
      </c>
      <c r="F2162" s="271">
        <v>2600</v>
      </c>
      <c r="G2162" s="78"/>
      <c r="H2162" s="184"/>
      <c r="I2162" s="78" t="s">
        <v>1084</v>
      </c>
      <c r="J2162" s="185"/>
      <c r="K2162" s="140">
        <v>181120.08</v>
      </c>
    </row>
    <row r="2163" spans="3:11" ht="15.75" x14ac:dyDescent="0.25">
      <c r="C2163" s="78"/>
      <c r="D2163" s="201" t="s">
        <v>429</v>
      </c>
      <c r="E2163" s="201"/>
      <c r="F2163" s="183">
        <v>110664.2</v>
      </c>
      <c r="G2163" s="78"/>
      <c r="H2163" s="184"/>
      <c r="I2163" s="78" t="s">
        <v>281</v>
      </c>
      <c r="J2163" s="185"/>
      <c r="K2163" s="140">
        <v>9140</v>
      </c>
    </row>
    <row r="2164" spans="3:11" x14ac:dyDescent="0.25">
      <c r="C2164" s="117">
        <v>46156</v>
      </c>
      <c r="D2164" s="78" t="s">
        <v>353</v>
      </c>
      <c r="E2164" s="166"/>
      <c r="F2164" s="167">
        <v>3280</v>
      </c>
      <c r="G2164" s="119"/>
      <c r="H2164" s="117"/>
      <c r="I2164" s="78" t="s">
        <v>1329</v>
      </c>
      <c r="J2164" s="78"/>
      <c r="K2164" s="119">
        <v>300</v>
      </c>
    </row>
    <row r="2165" spans="3:11" x14ac:dyDescent="0.25">
      <c r="C2165" s="117">
        <v>46156</v>
      </c>
      <c r="D2165" s="78" t="s">
        <v>471</v>
      </c>
      <c r="E2165" s="166"/>
      <c r="F2165" s="167">
        <v>3902</v>
      </c>
      <c r="G2165" s="119"/>
      <c r="I2165" s="174" t="s">
        <v>1350</v>
      </c>
      <c r="K2165" s="168">
        <v>25632</v>
      </c>
    </row>
    <row r="2166" spans="3:11" ht="18.75" x14ac:dyDescent="0.3">
      <c r="C2166" s="117">
        <v>46156</v>
      </c>
      <c r="D2166" s="78" t="s">
        <v>148</v>
      </c>
      <c r="E2166" s="166"/>
      <c r="F2166" s="167">
        <v>5785</v>
      </c>
      <c r="G2166" s="78"/>
      <c r="H2166" s="78"/>
      <c r="I2166" s="126" t="s">
        <v>226</v>
      </c>
      <c r="J2166" s="126"/>
      <c r="K2166" s="127">
        <f>SUM(K2160:K2165)</f>
        <v>218312.08</v>
      </c>
    </row>
    <row r="2167" spans="3:11" x14ac:dyDescent="0.25">
      <c r="C2167" s="117">
        <v>46161</v>
      </c>
      <c r="D2167" s="78" t="s">
        <v>995</v>
      </c>
      <c r="E2167" s="166"/>
      <c r="F2167" s="167">
        <v>15202.82</v>
      </c>
      <c r="G2167" s="78"/>
      <c r="K2167" s="121"/>
    </row>
    <row r="2168" spans="3:11" x14ac:dyDescent="0.25">
      <c r="C2168" s="295"/>
      <c r="D2168" s="296" t="s">
        <v>1093</v>
      </c>
      <c r="E2168" s="293"/>
      <c r="F2168" s="285">
        <v>1050</v>
      </c>
      <c r="G2168" s="78"/>
      <c r="J2168" s="121"/>
    </row>
    <row r="2169" spans="3:11" x14ac:dyDescent="0.25">
      <c r="C2169" s="257">
        <v>46179</v>
      </c>
      <c r="D2169" s="258" t="s">
        <v>923</v>
      </c>
      <c r="E2169" s="214"/>
      <c r="F2169" s="219">
        <v>8650</v>
      </c>
      <c r="G2169" s="78"/>
      <c r="J2169" s="121"/>
    </row>
    <row r="2170" spans="3:11" x14ac:dyDescent="0.25">
      <c r="C2170" s="257"/>
      <c r="D2170" s="258" t="s">
        <v>497</v>
      </c>
      <c r="E2170" s="214"/>
      <c r="F2170" s="219">
        <v>4400</v>
      </c>
      <c r="G2170" s="78"/>
    </row>
    <row r="2171" spans="3:11" ht="15.75" x14ac:dyDescent="0.25">
      <c r="C2171" s="257"/>
      <c r="D2171" s="258" t="s">
        <v>422</v>
      </c>
      <c r="E2171" s="214"/>
      <c r="F2171" s="219">
        <v>3560</v>
      </c>
      <c r="H2171" s="316" t="s">
        <v>227</v>
      </c>
      <c r="I2171" s="317"/>
      <c r="J2171" s="140">
        <f>F2185-K2166</f>
        <v>74935.260000000038</v>
      </c>
    </row>
    <row r="2172" spans="3:11" ht="15.75" x14ac:dyDescent="0.25">
      <c r="C2172" s="257"/>
      <c r="D2172" s="294" t="s">
        <v>1290</v>
      </c>
      <c r="E2172" s="293"/>
      <c r="F2172" s="285">
        <v>1100</v>
      </c>
      <c r="J2172" s="89"/>
    </row>
    <row r="2173" spans="3:11" ht="15.75" x14ac:dyDescent="0.25">
      <c r="C2173" s="257"/>
      <c r="D2173" s="258"/>
      <c r="E2173" s="214"/>
      <c r="F2173" s="219"/>
      <c r="H2173" s="128" t="s">
        <v>285</v>
      </c>
      <c r="J2173" s="124">
        <f>E2221</f>
        <v>49793.619999999995</v>
      </c>
    </row>
    <row r="2174" spans="3:11" x14ac:dyDescent="0.25">
      <c r="C2174" s="257"/>
      <c r="D2174" s="258"/>
      <c r="E2174" s="214"/>
      <c r="F2174" s="219"/>
    </row>
    <row r="2175" spans="3:11" x14ac:dyDescent="0.25">
      <c r="C2175" s="257"/>
      <c r="D2175" s="258"/>
      <c r="E2175" s="214"/>
      <c r="F2175" s="219"/>
    </row>
    <row r="2176" spans="3:11" x14ac:dyDescent="0.25">
      <c r="C2176" s="257"/>
      <c r="D2176" s="258" t="s">
        <v>1303</v>
      </c>
      <c r="E2176" s="214"/>
      <c r="F2176" s="219">
        <v>69000</v>
      </c>
    </row>
    <row r="2177" spans="3:13" x14ac:dyDescent="0.25">
      <c r="C2177" s="257"/>
      <c r="D2177" s="258" t="s">
        <v>1331</v>
      </c>
      <c r="E2177" s="214"/>
      <c r="F2177" s="219">
        <v>20</v>
      </c>
    </row>
    <row r="2178" spans="3:13" x14ac:dyDescent="0.25">
      <c r="C2178" s="266">
        <v>46175</v>
      </c>
      <c r="D2178" s="267" t="s">
        <v>1059</v>
      </c>
      <c r="E2178" s="268" t="s">
        <v>1116</v>
      </c>
      <c r="F2178" s="265">
        <v>1473.68</v>
      </c>
    </row>
    <row r="2179" spans="3:13" ht="21" x14ac:dyDescent="0.35">
      <c r="C2179" s="117"/>
      <c r="D2179" s="78"/>
      <c r="E2179" s="166"/>
      <c r="F2179" s="167"/>
      <c r="I2179" s="198" t="s">
        <v>286</v>
      </c>
      <c r="J2179" s="137">
        <f>SUM(J2171:J2173)</f>
        <v>124728.88000000003</v>
      </c>
      <c r="L2179" s="121"/>
    </row>
    <row r="2180" spans="3:13" x14ac:dyDescent="0.25">
      <c r="C2180" s="78"/>
      <c r="D2180" s="78"/>
      <c r="E2180" s="78"/>
      <c r="F2180" s="122">
        <f>SUM(F2160:F2179)</f>
        <v>245697.7</v>
      </c>
      <c r="J2180" s="157">
        <v>124750.72</v>
      </c>
      <c r="K2180" s="39" t="s">
        <v>76</v>
      </c>
    </row>
    <row r="2181" spans="3:13" x14ac:dyDescent="0.25">
      <c r="F2181" s="157"/>
      <c r="G2181" s="121"/>
    </row>
    <row r="2182" spans="3:13" ht="18.75" x14ac:dyDescent="0.3">
      <c r="E2182" s="101" t="s">
        <v>224</v>
      </c>
      <c r="F2182" s="101">
        <v>47549.64</v>
      </c>
      <c r="J2182" s="264">
        <f>J2179-J2180</f>
        <v>-21.839999999967404</v>
      </c>
    </row>
    <row r="2183" spans="3:13" x14ac:dyDescent="0.25">
      <c r="C2183" s="121"/>
    </row>
    <row r="2185" spans="3:13" ht="18.75" x14ac:dyDescent="0.3">
      <c r="C2185" s="121"/>
      <c r="E2185" s="99" t="s">
        <v>225</v>
      </c>
      <c r="F2185" s="125">
        <f>SUM(F2180+F2182)</f>
        <v>293247.34000000003</v>
      </c>
    </row>
    <row r="2186" spans="3:13" x14ac:dyDescent="0.25">
      <c r="C2186" s="121"/>
      <c r="M2186" s="121"/>
    </row>
    <row r="2187" spans="3:13" x14ac:dyDescent="0.25">
      <c r="C2187" s="121"/>
    </row>
    <row r="2189" spans="3:13" x14ac:dyDescent="0.25">
      <c r="C2189" s="91"/>
    </row>
    <row r="2191" spans="3:13" ht="15.75" x14ac:dyDescent="0.25">
      <c r="D2191" s="132" t="s">
        <v>235</v>
      </c>
      <c r="E2191" s="133">
        <v>64748.4</v>
      </c>
    </row>
    <row r="2192" spans="3:13" ht="15.75" x14ac:dyDescent="0.25">
      <c r="D2192" s="148" t="s">
        <v>1298</v>
      </c>
      <c r="E2192" s="144">
        <v>-50000</v>
      </c>
    </row>
    <row r="2193" spans="3:10" ht="15.75" x14ac:dyDescent="0.25">
      <c r="D2193" s="128" t="s">
        <v>1299</v>
      </c>
      <c r="E2193" s="171">
        <v>9000</v>
      </c>
    </row>
    <row r="2194" spans="3:10" ht="15.75" x14ac:dyDescent="0.25">
      <c r="D2194" s="128" t="s">
        <v>1301</v>
      </c>
      <c r="E2194" s="171">
        <v>-120</v>
      </c>
      <c r="I2194" s="318"/>
      <c r="J2194" s="318"/>
    </row>
    <row r="2195" spans="3:10" ht="15.75" x14ac:dyDescent="0.25">
      <c r="D2195" s="148" t="s">
        <v>1111</v>
      </c>
      <c r="E2195" s="144">
        <v>-10</v>
      </c>
      <c r="H2195" s="121"/>
      <c r="J2195" s="163"/>
    </row>
    <row r="2196" spans="3:10" ht="15.75" x14ac:dyDescent="0.25">
      <c r="D2196" s="128" t="s">
        <v>1304</v>
      </c>
      <c r="E2196" s="171">
        <v>40.6</v>
      </c>
      <c r="J2196" s="163"/>
    </row>
    <row r="2197" spans="3:10" ht="15.75" x14ac:dyDescent="0.25">
      <c r="D2197" s="128" t="s">
        <v>1305</v>
      </c>
      <c r="E2197" s="171">
        <v>-20</v>
      </c>
      <c r="J2197" s="163"/>
    </row>
    <row r="2198" spans="3:10" ht="15.75" x14ac:dyDescent="0.25">
      <c r="D2198" s="128" t="s">
        <v>1306</v>
      </c>
      <c r="E2198" s="171">
        <v>8000</v>
      </c>
      <c r="I2198" s="163"/>
      <c r="J2198" s="121"/>
    </row>
    <row r="2199" spans="3:10" ht="15.75" x14ac:dyDescent="0.25">
      <c r="D2199" s="128" t="s">
        <v>357</v>
      </c>
      <c r="E2199" s="171">
        <v>4535</v>
      </c>
      <c r="I2199" s="150"/>
      <c r="J2199" s="139"/>
    </row>
    <row r="2200" spans="3:10" ht="15.75" x14ac:dyDescent="0.25">
      <c r="C2200" s="91">
        <v>46196</v>
      </c>
      <c r="D2200" s="128" t="s">
        <v>1308</v>
      </c>
      <c r="E2200" s="171">
        <v>2062.5</v>
      </c>
      <c r="H2200" s="91"/>
      <c r="I2200" s="150"/>
      <c r="J2200" s="138"/>
    </row>
    <row r="2201" spans="3:10" ht="15.75" x14ac:dyDescent="0.25">
      <c r="D2201" s="148" t="s">
        <v>1111</v>
      </c>
      <c r="E2201" s="144">
        <v>-10</v>
      </c>
      <c r="H2201" s="91"/>
      <c r="I2201" s="150"/>
      <c r="J2201" s="151"/>
    </row>
    <row r="2202" spans="3:10" ht="15.75" x14ac:dyDescent="0.25">
      <c r="D2202" s="128" t="s">
        <v>357</v>
      </c>
      <c r="E2202" s="299">
        <v>1540</v>
      </c>
      <c r="I2202" s="150"/>
      <c r="J2202" s="139"/>
    </row>
    <row r="2203" spans="3:10" ht="15.75" x14ac:dyDescent="0.25">
      <c r="D2203" s="128" t="s">
        <v>1299</v>
      </c>
      <c r="E2203" s="171">
        <v>5385</v>
      </c>
      <c r="H2203" s="160"/>
      <c r="I2203" s="163"/>
    </row>
    <row r="2204" spans="3:10" ht="15.75" x14ac:dyDescent="0.25">
      <c r="D2204" s="128" t="s">
        <v>1317</v>
      </c>
      <c r="E2204" s="171">
        <v>12700</v>
      </c>
      <c r="I2204" s="150"/>
    </row>
    <row r="2205" spans="3:10" ht="15.75" x14ac:dyDescent="0.25">
      <c r="D2205" s="148" t="s">
        <v>1320</v>
      </c>
      <c r="E2205" s="144">
        <v>-10</v>
      </c>
      <c r="I2205" s="300"/>
    </row>
    <row r="2206" spans="3:10" ht="18.75" x14ac:dyDescent="0.3">
      <c r="D2206" s="301" t="s">
        <v>1322</v>
      </c>
      <c r="E2206" s="302">
        <v>-57000</v>
      </c>
      <c r="J2206" s="125"/>
    </row>
    <row r="2207" spans="3:10" ht="15.75" x14ac:dyDescent="0.25">
      <c r="C2207" s="91">
        <v>46197</v>
      </c>
      <c r="D2207" s="199" t="s">
        <v>1326</v>
      </c>
      <c r="E2207" s="200">
        <v>25</v>
      </c>
      <c r="H2207" s="121"/>
    </row>
    <row r="2208" spans="3:10" ht="15.75" x14ac:dyDescent="0.25">
      <c r="D2208" s="148" t="s">
        <v>1330</v>
      </c>
      <c r="E2208" s="144">
        <v>-40</v>
      </c>
    </row>
    <row r="2209" spans="3:11" ht="15.75" x14ac:dyDescent="0.25">
      <c r="D2209" s="148" t="s">
        <v>398</v>
      </c>
      <c r="E2209" s="144">
        <v>-20</v>
      </c>
      <c r="K2209" s="121"/>
    </row>
    <row r="2210" spans="3:11" ht="15.75" x14ac:dyDescent="0.25">
      <c r="D2210" s="128" t="s">
        <v>357</v>
      </c>
      <c r="E2210" s="171">
        <v>3512.4</v>
      </c>
    </row>
    <row r="2211" spans="3:11" ht="15.75" x14ac:dyDescent="0.25">
      <c r="D2211" s="128" t="s">
        <v>1334</v>
      </c>
      <c r="E2211" s="171">
        <v>-26.5</v>
      </c>
    </row>
    <row r="2212" spans="3:11" ht="15.75" x14ac:dyDescent="0.25">
      <c r="C2212" s="91"/>
      <c r="D2212" s="128" t="s">
        <v>1335</v>
      </c>
      <c r="E2212" s="171">
        <v>-24.5</v>
      </c>
      <c r="I2212" s="121"/>
    </row>
    <row r="2213" spans="3:11" ht="15.75" x14ac:dyDescent="0.25">
      <c r="C2213" s="91">
        <v>46198</v>
      </c>
      <c r="D2213" s="128" t="s">
        <v>1337</v>
      </c>
      <c r="E2213" s="171">
        <v>4510</v>
      </c>
    </row>
    <row r="2214" spans="3:11" ht="15.75" x14ac:dyDescent="0.25">
      <c r="C2214" s="91"/>
      <c r="D2214" s="128" t="s">
        <v>1131</v>
      </c>
      <c r="E2214" s="171">
        <v>11060.72</v>
      </c>
    </row>
    <row r="2215" spans="3:11" ht="15.75" x14ac:dyDescent="0.25">
      <c r="C2215" s="91"/>
      <c r="D2215" s="148" t="s">
        <v>1338</v>
      </c>
      <c r="E2215" s="144">
        <v>-1000</v>
      </c>
    </row>
    <row r="2216" spans="3:11" ht="15.75" x14ac:dyDescent="0.25">
      <c r="C2216" s="91"/>
      <c r="D2216" s="148" t="s">
        <v>1344</v>
      </c>
      <c r="E2216" s="144">
        <v>-50</v>
      </c>
    </row>
    <row r="2217" spans="3:11" ht="15.75" x14ac:dyDescent="0.25">
      <c r="C2217" s="91"/>
      <c r="D2217" s="148" t="s">
        <v>357</v>
      </c>
      <c r="E2217" s="144">
        <v>1005</v>
      </c>
    </row>
    <row r="2218" spans="3:11" ht="15.75" x14ac:dyDescent="0.25">
      <c r="C2218" s="91"/>
      <c r="D2218" s="148" t="s">
        <v>1347</v>
      </c>
      <c r="E2218" s="144">
        <v>30000</v>
      </c>
    </row>
    <row r="2219" spans="3:11" ht="15.75" x14ac:dyDescent="0.25">
      <c r="C2219" s="91"/>
      <c r="D2219" s="128"/>
      <c r="E2219" s="171"/>
    </row>
    <row r="2220" spans="3:11" ht="15.75" x14ac:dyDescent="0.25">
      <c r="E2220" s="121"/>
      <c r="I2220" s="339" t="s">
        <v>1036</v>
      </c>
      <c r="J2220" s="339"/>
    </row>
    <row r="2221" spans="3:11" ht="15.75" x14ac:dyDescent="0.25">
      <c r="D2221" s="132" t="s">
        <v>236</v>
      </c>
      <c r="E2221" s="133">
        <f>SUM(E2191:E2220)</f>
        <v>49793.619999999995</v>
      </c>
      <c r="I2221" s="163" t="s">
        <v>1036</v>
      </c>
      <c r="J2221" s="121">
        <v>189000</v>
      </c>
    </row>
    <row r="2222" spans="3:11" x14ac:dyDescent="0.25">
      <c r="I2222" s="150" t="s">
        <v>825</v>
      </c>
      <c r="J2222" s="138">
        <v>-7879.92</v>
      </c>
    </row>
    <row r="2223" spans="3:11" x14ac:dyDescent="0.25">
      <c r="I2223" s="163"/>
      <c r="J2223" s="157"/>
    </row>
    <row r="2224" spans="3:11" x14ac:dyDescent="0.25">
      <c r="E2224">
        <v>-11.9</v>
      </c>
      <c r="I2224" s="297"/>
      <c r="J2224" s="298">
        <f>SUM(J2221:J2223)</f>
        <v>181120.08</v>
      </c>
    </row>
    <row r="2226" spans="3:10" x14ac:dyDescent="0.25">
      <c r="D2226" s="39"/>
      <c r="E2226" s="157">
        <f>SUM(E2221:E2225)</f>
        <v>49781.719999999994</v>
      </c>
    </row>
    <row r="2227" spans="3:10" x14ac:dyDescent="0.25">
      <c r="D2227" s="39"/>
      <c r="E2227" s="157"/>
    </row>
    <row r="2230" spans="3:10" ht="18.75" x14ac:dyDescent="0.3">
      <c r="D2230" s="333" t="s">
        <v>1125</v>
      </c>
      <c r="E2230" s="333"/>
      <c r="I2230" s="337" t="s">
        <v>497</v>
      </c>
      <c r="J2230" s="337"/>
    </row>
    <row r="2231" spans="3:10" ht="15.75" x14ac:dyDescent="0.25">
      <c r="D2231" s="166" t="s">
        <v>429</v>
      </c>
      <c r="E2231" s="140">
        <v>127752.63</v>
      </c>
      <c r="I2231" s="163" t="s">
        <v>1333</v>
      </c>
      <c r="J2231" s="121"/>
    </row>
    <row r="2232" spans="3:10" ht="15.75" x14ac:dyDescent="0.25">
      <c r="D2232" s="166" t="s">
        <v>1296</v>
      </c>
      <c r="E2232" s="140">
        <v>1471</v>
      </c>
      <c r="I2232" s="163" t="s">
        <v>1224</v>
      </c>
      <c r="J2232" s="157">
        <v>3150</v>
      </c>
    </row>
    <row r="2233" spans="3:10" ht="15.75" x14ac:dyDescent="0.25">
      <c r="D2233" s="166" t="s">
        <v>1297</v>
      </c>
      <c r="E2233" s="140">
        <v>41000</v>
      </c>
      <c r="I2233" s="163" t="s">
        <v>1349</v>
      </c>
      <c r="J2233" s="157">
        <v>50</v>
      </c>
    </row>
    <row r="2234" spans="3:10" ht="15.75" x14ac:dyDescent="0.25">
      <c r="D2234" s="166" t="s">
        <v>1300</v>
      </c>
      <c r="E2234" s="140">
        <v>-40.6</v>
      </c>
      <c r="I2234" s="163"/>
      <c r="J2234" s="157">
        <v>7879.92</v>
      </c>
    </row>
    <row r="2235" spans="3:10" ht="15.75" x14ac:dyDescent="0.25">
      <c r="C2235" s="91">
        <v>46196</v>
      </c>
      <c r="D2235" s="178" t="s">
        <v>1302</v>
      </c>
      <c r="E2235" s="212">
        <v>-30000</v>
      </c>
      <c r="I2235" s="163"/>
      <c r="J2235" s="121"/>
    </row>
    <row r="2236" spans="3:10" ht="15.75" x14ac:dyDescent="0.25">
      <c r="D2236" s="178" t="s">
        <v>1302</v>
      </c>
      <c r="E2236" s="212">
        <v>-30000</v>
      </c>
      <c r="I2236" s="130" t="s">
        <v>53</v>
      </c>
      <c r="J2236" s="131">
        <f>SUM(J2231:J2235)</f>
        <v>11079.92</v>
      </c>
    </row>
    <row r="2237" spans="3:10" ht="15.75" x14ac:dyDescent="0.25">
      <c r="D2237" s="178" t="s">
        <v>1302</v>
      </c>
      <c r="E2237" s="212">
        <v>-9000</v>
      </c>
    </row>
    <row r="2238" spans="3:10" ht="15.75" x14ac:dyDescent="0.25">
      <c r="D2238" s="178" t="s">
        <v>535</v>
      </c>
      <c r="E2238" s="212">
        <v>-5.55</v>
      </c>
    </row>
    <row r="2239" spans="3:10" ht="15.75" x14ac:dyDescent="0.25">
      <c r="D2239" s="178" t="s">
        <v>1314</v>
      </c>
      <c r="E2239" s="212">
        <v>-23760.6</v>
      </c>
      <c r="J2239">
        <v>5000</v>
      </c>
    </row>
    <row r="2240" spans="3:10" ht="15.75" x14ac:dyDescent="0.25">
      <c r="D2240" s="178" t="s">
        <v>552</v>
      </c>
      <c r="E2240" s="212">
        <v>-1.2</v>
      </c>
      <c r="J2240" s="121">
        <f>J2236-J2239</f>
        <v>6079.92</v>
      </c>
    </row>
    <row r="2241" spans="3:5" ht="15.75" x14ac:dyDescent="0.25">
      <c r="D2241" s="178" t="s">
        <v>1316</v>
      </c>
      <c r="E2241" s="212">
        <v>1100</v>
      </c>
    </row>
    <row r="2242" spans="3:5" ht="15.75" x14ac:dyDescent="0.25">
      <c r="C2242" s="91">
        <v>46197</v>
      </c>
      <c r="D2242" s="178" t="s">
        <v>1319</v>
      </c>
      <c r="E2242" s="212">
        <v>-2750</v>
      </c>
    </row>
    <row r="2243" spans="3:5" ht="15.75" x14ac:dyDescent="0.25">
      <c r="D2243" s="178" t="s">
        <v>272</v>
      </c>
      <c r="E2243" s="212">
        <v>-399.97</v>
      </c>
    </row>
    <row r="2244" spans="3:5" ht="15.75" x14ac:dyDescent="0.25">
      <c r="D2244" s="178" t="s">
        <v>1323</v>
      </c>
      <c r="E2244" s="212">
        <v>30000</v>
      </c>
    </row>
    <row r="2245" spans="3:5" ht="15.75" x14ac:dyDescent="0.25">
      <c r="D2245" s="178" t="s">
        <v>1323</v>
      </c>
      <c r="E2245" s="212">
        <v>19020</v>
      </c>
    </row>
    <row r="2246" spans="3:5" ht="15.75" x14ac:dyDescent="0.25">
      <c r="D2246" s="178" t="s">
        <v>1323</v>
      </c>
      <c r="E2246" s="212">
        <v>7980</v>
      </c>
    </row>
    <row r="2247" spans="3:5" ht="15.75" x14ac:dyDescent="0.25">
      <c r="D2247" s="214" t="s">
        <v>1325</v>
      </c>
      <c r="E2247" s="210">
        <v>1000</v>
      </c>
    </row>
    <row r="2248" spans="3:5" ht="15.75" x14ac:dyDescent="0.25">
      <c r="D2248" s="178" t="s">
        <v>535</v>
      </c>
      <c r="E2248" s="212">
        <v>-3</v>
      </c>
    </row>
    <row r="2249" spans="3:5" ht="15.75" x14ac:dyDescent="0.25">
      <c r="C2249" s="91">
        <v>46198</v>
      </c>
      <c r="D2249" s="214" t="s">
        <v>1339</v>
      </c>
      <c r="E2249" s="210">
        <v>1000</v>
      </c>
    </row>
    <row r="2250" spans="3:5" ht="15.75" x14ac:dyDescent="0.25">
      <c r="D2250" s="178" t="s">
        <v>1340</v>
      </c>
      <c r="E2250" s="212">
        <v>-12780</v>
      </c>
    </row>
    <row r="2251" spans="3:5" ht="15.75" x14ac:dyDescent="0.25">
      <c r="D2251" s="214" t="s">
        <v>1343</v>
      </c>
      <c r="E2251" s="210">
        <v>1719</v>
      </c>
    </row>
    <row r="2252" spans="3:5" ht="15.75" x14ac:dyDescent="0.25">
      <c r="D2252" s="303" t="s">
        <v>1345</v>
      </c>
      <c r="E2252" s="304">
        <v>-7879.92</v>
      </c>
    </row>
    <row r="2253" spans="3:5" ht="15.75" x14ac:dyDescent="0.25">
      <c r="D2253" s="178" t="s">
        <v>250</v>
      </c>
      <c r="E2253" s="212">
        <v>-385.84</v>
      </c>
    </row>
    <row r="2254" spans="3:5" ht="15.75" x14ac:dyDescent="0.25">
      <c r="D2254" s="178" t="s">
        <v>535</v>
      </c>
      <c r="E2254" s="212">
        <v>-3.75</v>
      </c>
    </row>
    <row r="2255" spans="3:5" ht="15.75" x14ac:dyDescent="0.25">
      <c r="D2255" s="178" t="s">
        <v>1348</v>
      </c>
      <c r="E2255" s="212">
        <v>-30000</v>
      </c>
    </row>
    <row r="2256" spans="3:5" ht="15.75" x14ac:dyDescent="0.25">
      <c r="D2256" s="178" t="s">
        <v>1351</v>
      </c>
      <c r="E2256" s="212">
        <v>25632</v>
      </c>
    </row>
    <row r="2257" spans="4:8" ht="15.75" x14ac:dyDescent="0.25">
      <c r="D2257" s="178"/>
      <c r="E2257" s="212"/>
    </row>
    <row r="2258" spans="4:8" x14ac:dyDescent="0.25">
      <c r="D2258" s="78"/>
      <c r="E2258" s="78"/>
    </row>
    <row r="2259" spans="4:8" ht="15.75" x14ac:dyDescent="0.25">
      <c r="D2259" s="78" t="s">
        <v>596</v>
      </c>
      <c r="E2259" s="189">
        <f>SUM(E2231:E2258)</f>
        <v>110664.20000000003</v>
      </c>
    </row>
    <row r="2261" spans="4:8" x14ac:dyDescent="0.25">
      <c r="D2261" t="s">
        <v>361</v>
      </c>
      <c r="E2261" s="121">
        <v>1342</v>
      </c>
    </row>
    <row r="2265" spans="4:8" ht="18.75" x14ac:dyDescent="0.3">
      <c r="E2265" s="280">
        <f>SUM(E2259:E2262)</f>
        <v>112006.20000000003</v>
      </c>
    </row>
    <row r="2270" spans="4:8" x14ac:dyDescent="0.25">
      <c r="H2270" s="121"/>
    </row>
    <row r="2272" spans="4:8" x14ac:dyDescent="0.25">
      <c r="G2272" s="121"/>
    </row>
    <row r="2276" spans="3:11" ht="18.75" x14ac:dyDescent="0.3">
      <c r="C2276" s="314" t="s">
        <v>1352</v>
      </c>
      <c r="D2276" s="315"/>
      <c r="E2276" s="315"/>
      <c r="F2276" s="315"/>
      <c r="G2276" s="315"/>
      <c r="H2276" s="315"/>
      <c r="I2276" s="315"/>
      <c r="J2276" s="315"/>
      <c r="K2276" s="315"/>
    </row>
    <row r="2277" spans="3:11" x14ac:dyDescent="0.25">
      <c r="C2277" s="78"/>
      <c r="D2277" s="78"/>
      <c r="E2277" s="78"/>
      <c r="F2277" s="78"/>
      <c r="G2277" s="78"/>
      <c r="H2277" s="78"/>
      <c r="I2277" s="78"/>
      <c r="J2277" s="78"/>
      <c r="K2277" s="78"/>
    </row>
    <row r="2278" spans="3:11" ht="15.75" x14ac:dyDescent="0.25">
      <c r="C2278" s="118" t="s">
        <v>223</v>
      </c>
      <c r="D2278" s="118" t="s">
        <v>206</v>
      </c>
      <c r="E2278" s="118" t="s">
        <v>207</v>
      </c>
      <c r="F2278" s="118" t="s">
        <v>218</v>
      </c>
      <c r="G2278" s="78"/>
      <c r="H2278" s="120" t="s">
        <v>6</v>
      </c>
      <c r="I2278" s="120" t="s">
        <v>217</v>
      </c>
      <c r="J2278" s="120" t="s">
        <v>207</v>
      </c>
      <c r="K2278" s="120" t="s">
        <v>218</v>
      </c>
    </row>
    <row r="2279" spans="3:11" x14ac:dyDescent="0.25">
      <c r="C2279" s="276">
        <v>46178</v>
      </c>
      <c r="D2279" s="247" t="s">
        <v>1151</v>
      </c>
      <c r="E2279" s="118" t="s">
        <v>1361</v>
      </c>
      <c r="F2279" s="248">
        <v>8850</v>
      </c>
      <c r="G2279" s="78"/>
      <c r="H2279" s="117"/>
      <c r="I2279" s="78"/>
      <c r="J2279" s="78"/>
      <c r="K2279" s="119"/>
    </row>
    <row r="2280" spans="3:11" x14ac:dyDescent="0.25">
      <c r="C2280" s="276">
        <v>46178</v>
      </c>
      <c r="D2280" s="247" t="s">
        <v>1152</v>
      </c>
      <c r="E2280" s="118" t="s">
        <v>1217</v>
      </c>
      <c r="F2280" s="248">
        <v>3800</v>
      </c>
      <c r="G2280" s="78"/>
      <c r="H2280" s="117">
        <v>46037</v>
      </c>
      <c r="I2280" s="149" t="s">
        <v>66</v>
      </c>
      <c r="J2280" s="78" t="s">
        <v>222</v>
      </c>
      <c r="K2280" s="119">
        <v>2120</v>
      </c>
    </row>
    <row r="2281" spans="3:11" ht="15.75" x14ac:dyDescent="0.25">
      <c r="C2281" s="269">
        <v>46087</v>
      </c>
      <c r="D2281" s="270" t="s">
        <v>214</v>
      </c>
      <c r="E2281" s="270" t="s">
        <v>211</v>
      </c>
      <c r="F2281" s="271">
        <v>2600</v>
      </c>
      <c r="G2281" s="78"/>
      <c r="H2281" s="184"/>
      <c r="I2281" s="78" t="s">
        <v>1084</v>
      </c>
      <c r="J2281" s="185"/>
      <c r="K2281" s="140">
        <v>189000</v>
      </c>
    </row>
    <row r="2282" spans="3:11" ht="15.75" x14ac:dyDescent="0.25">
      <c r="C2282" s="78"/>
      <c r="D2282" s="201" t="s">
        <v>429</v>
      </c>
      <c r="E2282" s="201"/>
      <c r="F2282" s="183">
        <v>115743.85</v>
      </c>
      <c r="G2282" s="78"/>
      <c r="H2282" s="184"/>
      <c r="I2282" s="78" t="s">
        <v>281</v>
      </c>
      <c r="J2282" s="185"/>
      <c r="K2282" s="140">
        <v>9140</v>
      </c>
    </row>
    <row r="2283" spans="3:11" x14ac:dyDescent="0.25">
      <c r="C2283" s="117">
        <v>46156</v>
      </c>
      <c r="D2283" s="78" t="s">
        <v>353</v>
      </c>
      <c r="E2283" s="166"/>
      <c r="F2283" s="167">
        <v>3280</v>
      </c>
      <c r="G2283" s="119"/>
      <c r="H2283" s="117"/>
      <c r="I2283" s="78" t="s">
        <v>1329</v>
      </c>
      <c r="J2283" s="78"/>
      <c r="K2283" s="119">
        <v>300</v>
      </c>
    </row>
    <row r="2284" spans="3:11" x14ac:dyDescent="0.25">
      <c r="C2284" s="117">
        <v>46156</v>
      </c>
      <c r="D2284" s="78" t="s">
        <v>471</v>
      </c>
      <c r="E2284" s="166"/>
      <c r="F2284" s="167">
        <v>3902</v>
      </c>
      <c r="G2284" s="119"/>
      <c r="I2284" s="174" t="s">
        <v>1350</v>
      </c>
      <c r="K2284" s="168">
        <v>25632</v>
      </c>
    </row>
    <row r="2285" spans="3:11" x14ac:dyDescent="0.25">
      <c r="C2285" s="117">
        <v>46156</v>
      </c>
      <c r="D2285" s="78" t="s">
        <v>148</v>
      </c>
      <c r="E2285" s="166"/>
      <c r="F2285" s="167">
        <v>5785</v>
      </c>
      <c r="G2285" s="78"/>
      <c r="H2285" s="78"/>
      <c r="I2285" s="78" t="s">
        <v>82</v>
      </c>
      <c r="J2285" s="78"/>
      <c r="K2285" s="78">
        <v>2500</v>
      </c>
    </row>
    <row r="2286" spans="3:11" x14ac:dyDescent="0.25">
      <c r="C2286" s="117">
        <v>46161</v>
      </c>
      <c r="D2286" s="78" t="s">
        <v>995</v>
      </c>
      <c r="E2286" s="166"/>
      <c r="F2286" s="167">
        <v>15202.82</v>
      </c>
      <c r="G2286" s="78"/>
      <c r="H2286" s="78"/>
      <c r="I2286" s="78"/>
      <c r="J2286" s="78"/>
      <c r="K2286" s="119"/>
    </row>
    <row r="2287" spans="3:11" ht="18.75" x14ac:dyDescent="0.3">
      <c r="C2287" s="295"/>
      <c r="D2287" s="296" t="s">
        <v>1093</v>
      </c>
      <c r="E2287" s="293"/>
      <c r="F2287" s="285">
        <v>1050</v>
      </c>
      <c r="G2287" s="78"/>
      <c r="H2287" s="78"/>
      <c r="I2287" s="126" t="s">
        <v>226</v>
      </c>
      <c r="J2287" s="126"/>
      <c r="K2287" s="127">
        <f>SUM(K2279:K2285)</f>
        <v>228692</v>
      </c>
    </row>
    <row r="2288" spans="3:11" x14ac:dyDescent="0.25">
      <c r="C2288" s="257">
        <v>46179</v>
      </c>
      <c r="D2288" s="258" t="s">
        <v>923</v>
      </c>
      <c r="E2288" s="214"/>
      <c r="F2288" s="219">
        <v>8650</v>
      </c>
      <c r="G2288" s="78"/>
      <c r="J2288" s="121"/>
    </row>
    <row r="2289" spans="3:12" x14ac:dyDescent="0.25">
      <c r="C2289" s="257"/>
      <c r="D2289" s="258" t="s">
        <v>422</v>
      </c>
      <c r="E2289" s="214"/>
      <c r="F2289" s="219">
        <v>3560</v>
      </c>
      <c r="G2289" s="78"/>
    </row>
    <row r="2290" spans="3:12" ht="15.75" x14ac:dyDescent="0.25">
      <c r="C2290" s="257"/>
      <c r="D2290" s="294" t="s">
        <v>1290</v>
      </c>
      <c r="E2290" s="293"/>
      <c r="F2290" s="285">
        <v>1100</v>
      </c>
      <c r="H2290" s="316" t="s">
        <v>227</v>
      </c>
      <c r="I2290" s="317"/>
      <c r="J2290" s="140">
        <f>F2303-K2287</f>
        <v>72508.989999999991</v>
      </c>
    </row>
    <row r="2291" spans="3:12" ht="15.75" x14ac:dyDescent="0.25">
      <c r="C2291" s="257"/>
      <c r="D2291" s="258" t="s">
        <v>1063</v>
      </c>
      <c r="E2291" s="214"/>
      <c r="F2291" s="219">
        <v>1180</v>
      </c>
      <c r="J2291" s="89"/>
    </row>
    <row r="2292" spans="3:12" ht="15.75" x14ac:dyDescent="0.25">
      <c r="C2292" s="257"/>
      <c r="D2292" s="258" t="s">
        <v>519</v>
      </c>
      <c r="E2292" s="214"/>
      <c r="F2292" s="219">
        <v>20</v>
      </c>
      <c r="H2292" s="128" t="s">
        <v>285</v>
      </c>
      <c r="J2292" s="124">
        <f>E2344</f>
        <v>52818.619999999995</v>
      </c>
    </row>
    <row r="2293" spans="3:12" x14ac:dyDescent="0.25">
      <c r="C2293" s="257"/>
      <c r="D2293" s="258" t="s">
        <v>1303</v>
      </c>
      <c r="E2293" s="214"/>
      <c r="F2293" s="219">
        <v>5000</v>
      </c>
    </row>
    <row r="2294" spans="3:12" x14ac:dyDescent="0.25">
      <c r="C2294" s="257"/>
      <c r="D2294" s="258" t="s">
        <v>1303</v>
      </c>
      <c r="E2294" s="214" t="s">
        <v>825</v>
      </c>
      <c r="F2294" s="219">
        <v>69000</v>
      </c>
    </row>
    <row r="2295" spans="3:12" x14ac:dyDescent="0.25">
      <c r="C2295" s="257"/>
      <c r="D2295" s="258" t="s">
        <v>1331</v>
      </c>
      <c r="E2295" s="214"/>
      <c r="F2295" s="219">
        <v>20</v>
      </c>
    </row>
    <row r="2296" spans="3:12" x14ac:dyDescent="0.25">
      <c r="C2296" s="266">
        <v>46175</v>
      </c>
      <c r="D2296" s="267" t="s">
        <v>1059</v>
      </c>
      <c r="E2296" s="268" t="s">
        <v>1116</v>
      </c>
      <c r="F2296" s="265">
        <v>1473.68</v>
      </c>
    </row>
    <row r="2297" spans="3:12" x14ac:dyDescent="0.25">
      <c r="C2297" s="117"/>
      <c r="D2297" s="78"/>
      <c r="E2297" s="166"/>
      <c r="F2297" s="167"/>
    </row>
    <row r="2298" spans="3:12" ht="21" x14ac:dyDescent="0.35">
      <c r="C2298" s="78"/>
      <c r="D2298" s="78"/>
      <c r="E2298" s="78"/>
      <c r="F2298" s="122">
        <f>SUM(F2279:F2297)</f>
        <v>250217.35</v>
      </c>
      <c r="I2298" s="198" t="s">
        <v>286</v>
      </c>
      <c r="J2298" s="137">
        <f>SUM(J2290:J2292)</f>
        <v>125327.60999999999</v>
      </c>
      <c r="L2298" s="121"/>
    </row>
    <row r="2299" spans="3:12" x14ac:dyDescent="0.25">
      <c r="F2299" s="157"/>
      <c r="J2299" s="157">
        <v>124728.88</v>
      </c>
      <c r="K2299" s="39" t="s">
        <v>76</v>
      </c>
    </row>
    <row r="2300" spans="3:12" x14ac:dyDescent="0.25">
      <c r="E2300" s="101" t="s">
        <v>224</v>
      </c>
      <c r="F2300" s="101">
        <v>50983.64</v>
      </c>
      <c r="G2300" s="121"/>
    </row>
    <row r="2301" spans="3:12" ht="18.75" x14ac:dyDescent="0.3">
      <c r="C2301" s="121"/>
      <c r="J2301" s="264">
        <f>J2298-J2299</f>
        <v>598.72999999998137</v>
      </c>
    </row>
    <row r="2303" spans="3:12" ht="18.75" x14ac:dyDescent="0.3">
      <c r="C2303" s="121"/>
      <c r="E2303" s="99" t="s">
        <v>225</v>
      </c>
      <c r="F2303" s="125">
        <f>SUM(F2298+F2300)</f>
        <v>301200.99</v>
      </c>
    </row>
    <row r="2304" spans="3:12" x14ac:dyDescent="0.25">
      <c r="C2304" s="121"/>
    </row>
    <row r="2305" spans="3:13" x14ac:dyDescent="0.25">
      <c r="C2305" s="121"/>
      <c r="M2305" s="121"/>
    </row>
    <row r="2307" spans="3:13" x14ac:dyDescent="0.25">
      <c r="C2307" s="91"/>
    </row>
    <row r="2309" spans="3:13" ht="15.75" x14ac:dyDescent="0.25">
      <c r="D2309" s="132" t="s">
        <v>235</v>
      </c>
      <c r="E2309" s="133">
        <v>64748.4</v>
      </c>
    </row>
    <row r="2310" spans="3:13" ht="15.75" x14ac:dyDescent="0.25">
      <c r="D2310" s="148" t="s">
        <v>1298</v>
      </c>
      <c r="E2310" s="144">
        <v>-50000</v>
      </c>
    </row>
    <row r="2311" spans="3:13" ht="15.75" x14ac:dyDescent="0.25">
      <c r="D2311" s="128" t="s">
        <v>1299</v>
      </c>
      <c r="E2311" s="171">
        <v>9000</v>
      </c>
    </row>
    <row r="2312" spans="3:13" ht="15.75" x14ac:dyDescent="0.25">
      <c r="D2312" s="128" t="s">
        <v>1301</v>
      </c>
      <c r="E2312" s="171">
        <v>-120</v>
      </c>
    </row>
    <row r="2313" spans="3:13" ht="15.75" x14ac:dyDescent="0.25">
      <c r="D2313" s="148" t="s">
        <v>1111</v>
      </c>
      <c r="E2313" s="144">
        <v>-10</v>
      </c>
      <c r="I2313" s="318"/>
      <c r="J2313" s="318"/>
    </row>
    <row r="2314" spans="3:13" ht="15.75" x14ac:dyDescent="0.25">
      <c r="D2314" s="128" t="s">
        <v>1304</v>
      </c>
      <c r="E2314" s="171">
        <v>40.6</v>
      </c>
      <c r="H2314" s="121"/>
      <c r="J2314" s="163"/>
    </row>
    <row r="2315" spans="3:13" ht="15.75" x14ac:dyDescent="0.25">
      <c r="D2315" s="128" t="s">
        <v>1305</v>
      </c>
      <c r="E2315" s="171">
        <v>-20</v>
      </c>
      <c r="J2315" s="163"/>
    </row>
    <row r="2316" spans="3:13" ht="15.75" x14ac:dyDescent="0.25">
      <c r="D2316" s="128" t="s">
        <v>1306</v>
      </c>
      <c r="E2316" s="171">
        <v>8000</v>
      </c>
      <c r="J2316" s="163"/>
    </row>
    <row r="2317" spans="3:13" ht="15.75" x14ac:dyDescent="0.25">
      <c r="D2317" s="128" t="s">
        <v>357</v>
      </c>
      <c r="E2317" s="171">
        <v>4535</v>
      </c>
      <c r="I2317" s="163"/>
      <c r="J2317" s="121"/>
    </row>
    <row r="2318" spans="3:13" ht="15.75" x14ac:dyDescent="0.25">
      <c r="C2318" s="91">
        <v>46196</v>
      </c>
      <c r="D2318" s="128" t="s">
        <v>1308</v>
      </c>
      <c r="E2318" s="171">
        <v>2062.5</v>
      </c>
      <c r="I2318" s="150"/>
      <c r="J2318" s="139"/>
    </row>
    <row r="2319" spans="3:13" ht="15.75" x14ac:dyDescent="0.25">
      <c r="D2319" s="148" t="s">
        <v>1111</v>
      </c>
      <c r="E2319" s="144">
        <v>-10</v>
      </c>
      <c r="H2319" s="91"/>
      <c r="I2319" s="150"/>
      <c r="J2319" s="138"/>
    </row>
    <row r="2320" spans="3:13" ht="15.75" x14ac:dyDescent="0.25">
      <c r="D2320" s="128" t="s">
        <v>357</v>
      </c>
      <c r="E2320" s="299">
        <v>1540</v>
      </c>
      <c r="H2320" s="91"/>
      <c r="I2320" s="150"/>
      <c r="J2320" s="151"/>
    </row>
    <row r="2321" spans="3:11" ht="15.75" x14ac:dyDescent="0.25">
      <c r="D2321" s="128" t="s">
        <v>1299</v>
      </c>
      <c r="E2321" s="171">
        <v>5385</v>
      </c>
      <c r="I2321" s="150"/>
      <c r="J2321" s="139"/>
    </row>
    <row r="2322" spans="3:11" ht="15.75" x14ac:dyDescent="0.25">
      <c r="D2322" s="128" t="s">
        <v>1317</v>
      </c>
      <c r="E2322" s="171">
        <v>12700</v>
      </c>
      <c r="H2322" s="160"/>
      <c r="I2322" s="163"/>
    </row>
    <row r="2323" spans="3:11" ht="15.75" x14ac:dyDescent="0.25">
      <c r="D2323" s="148" t="s">
        <v>1320</v>
      </c>
      <c r="E2323" s="144">
        <v>-10</v>
      </c>
      <c r="I2323" s="150"/>
    </row>
    <row r="2324" spans="3:11" ht="15.75" x14ac:dyDescent="0.25">
      <c r="D2324" s="301" t="s">
        <v>1322</v>
      </c>
      <c r="E2324" s="302">
        <v>-57000</v>
      </c>
      <c r="I2324" s="300"/>
    </row>
    <row r="2325" spans="3:11" ht="18.75" x14ac:dyDescent="0.3">
      <c r="C2325" s="91">
        <v>46197</v>
      </c>
      <c r="D2325" s="199" t="s">
        <v>1326</v>
      </c>
      <c r="E2325" s="200">
        <v>25</v>
      </c>
      <c r="J2325" s="125"/>
    </row>
    <row r="2326" spans="3:11" ht="15.75" x14ac:dyDescent="0.25">
      <c r="D2326" s="148" t="s">
        <v>1330</v>
      </c>
      <c r="E2326" s="144">
        <v>-40</v>
      </c>
      <c r="H2326" s="121"/>
    </row>
    <row r="2327" spans="3:11" ht="15.75" x14ac:dyDescent="0.25">
      <c r="D2327" s="148" t="s">
        <v>398</v>
      </c>
      <c r="E2327" s="144">
        <v>-20</v>
      </c>
    </row>
    <row r="2328" spans="3:11" ht="15.75" x14ac:dyDescent="0.25">
      <c r="D2328" s="128" t="s">
        <v>357</v>
      </c>
      <c r="E2328" s="171">
        <v>3512.4</v>
      </c>
      <c r="K2328" s="121"/>
    </row>
    <row r="2329" spans="3:11" ht="15.75" x14ac:dyDescent="0.25">
      <c r="D2329" s="128" t="s">
        <v>1334</v>
      </c>
      <c r="E2329" s="171">
        <v>-26.5</v>
      </c>
    </row>
    <row r="2330" spans="3:11" ht="15.75" x14ac:dyDescent="0.25">
      <c r="C2330" s="91"/>
      <c r="D2330" s="128" t="s">
        <v>1335</v>
      </c>
      <c r="E2330" s="171">
        <v>-24.5</v>
      </c>
    </row>
    <row r="2331" spans="3:11" ht="15.75" x14ac:dyDescent="0.25">
      <c r="C2331" s="91">
        <v>46198</v>
      </c>
      <c r="D2331" s="128" t="s">
        <v>1337</v>
      </c>
      <c r="E2331" s="171">
        <v>4510</v>
      </c>
      <c r="I2331" s="121"/>
    </row>
    <row r="2332" spans="3:11" ht="15.75" x14ac:dyDescent="0.25">
      <c r="C2332" s="91"/>
      <c r="D2332" s="128" t="s">
        <v>1131</v>
      </c>
      <c r="E2332" s="171">
        <v>11060.72</v>
      </c>
    </row>
    <row r="2333" spans="3:11" ht="15.75" x14ac:dyDescent="0.25">
      <c r="C2333" s="91"/>
      <c r="D2333" s="148" t="s">
        <v>1338</v>
      </c>
      <c r="E2333" s="144">
        <v>-1000</v>
      </c>
    </row>
    <row r="2334" spans="3:11" ht="15.75" x14ac:dyDescent="0.25">
      <c r="C2334" s="91"/>
      <c r="D2334" s="148" t="s">
        <v>1344</v>
      </c>
      <c r="E2334" s="144">
        <v>-50</v>
      </c>
    </row>
    <row r="2335" spans="3:11" ht="15.75" x14ac:dyDescent="0.25">
      <c r="C2335" s="91"/>
      <c r="D2335" s="199" t="s">
        <v>357</v>
      </c>
      <c r="E2335" s="200">
        <v>1005</v>
      </c>
    </row>
    <row r="2336" spans="3:11" ht="15.75" x14ac:dyDescent="0.25">
      <c r="C2336" s="91"/>
      <c r="D2336" s="148" t="s">
        <v>1347</v>
      </c>
      <c r="E2336" s="144">
        <v>30000</v>
      </c>
    </row>
    <row r="2337" spans="3:10" ht="15.75" x14ac:dyDescent="0.25">
      <c r="C2337" s="91">
        <v>46199</v>
      </c>
      <c r="D2337" s="148" t="s">
        <v>1303</v>
      </c>
      <c r="E2337" s="144">
        <v>-5000</v>
      </c>
    </row>
    <row r="2338" spans="3:10" ht="15.75" x14ac:dyDescent="0.25">
      <c r="C2338" s="91"/>
      <c r="D2338" s="148" t="s">
        <v>1356</v>
      </c>
      <c r="E2338" s="144">
        <v>5000</v>
      </c>
    </row>
    <row r="2339" spans="3:10" ht="15.75" x14ac:dyDescent="0.25">
      <c r="C2339" s="91"/>
      <c r="D2339" s="148" t="s">
        <v>1358</v>
      </c>
      <c r="E2339" s="144">
        <v>2200</v>
      </c>
    </row>
    <row r="2340" spans="3:10" ht="15.75" x14ac:dyDescent="0.25">
      <c r="C2340" s="91"/>
      <c r="D2340" s="148"/>
      <c r="E2340" s="144">
        <v>825</v>
      </c>
    </row>
    <row r="2341" spans="3:10" ht="15.75" x14ac:dyDescent="0.25">
      <c r="C2341" s="91"/>
      <c r="D2341" s="148"/>
      <c r="E2341" s="144"/>
    </row>
    <row r="2342" spans="3:10" ht="15.75" x14ac:dyDescent="0.25">
      <c r="C2342" s="91"/>
      <c r="D2342" s="128"/>
      <c r="E2342" s="171"/>
    </row>
    <row r="2343" spans="3:10" x14ac:dyDescent="0.25">
      <c r="C2343" s="91"/>
      <c r="E2343" s="121"/>
    </row>
    <row r="2344" spans="3:10" ht="15.75" x14ac:dyDescent="0.25">
      <c r="D2344" s="132" t="s">
        <v>236</v>
      </c>
      <c r="E2344" s="133">
        <f>SUM(E2309:E2343)</f>
        <v>52818.619999999995</v>
      </c>
    </row>
    <row r="2347" spans="3:10" x14ac:dyDescent="0.25">
      <c r="E2347">
        <v>-11.9</v>
      </c>
    </row>
    <row r="2349" spans="3:10" ht="15.75" x14ac:dyDescent="0.25">
      <c r="D2349" s="39"/>
      <c r="E2349" s="157">
        <f>SUM(E2344:E2348)</f>
        <v>52806.719999999994</v>
      </c>
      <c r="I2349" s="337" t="s">
        <v>497</v>
      </c>
      <c r="J2349" s="337"/>
    </row>
    <row r="2350" spans="3:10" x14ac:dyDescent="0.25">
      <c r="D2350" s="39"/>
      <c r="E2350" s="157"/>
      <c r="I2350" s="163" t="s">
        <v>1333</v>
      </c>
      <c r="J2350" s="121">
        <v>1200</v>
      </c>
    </row>
    <row r="2351" spans="3:10" x14ac:dyDescent="0.25">
      <c r="I2351" s="163" t="s">
        <v>1224</v>
      </c>
      <c r="J2351" s="157">
        <v>3150</v>
      </c>
    </row>
    <row r="2352" spans="3:10" x14ac:dyDescent="0.25">
      <c r="I2352" s="163" t="s">
        <v>1349</v>
      </c>
      <c r="J2352" s="157">
        <v>50</v>
      </c>
    </row>
    <row r="2353" spans="3:10" ht="18.75" x14ac:dyDescent="0.3">
      <c r="D2353" s="333" t="s">
        <v>1125</v>
      </c>
      <c r="E2353" s="333"/>
      <c r="I2353" s="163" t="s">
        <v>1353</v>
      </c>
      <c r="J2353" s="157">
        <v>7879.92</v>
      </c>
    </row>
    <row r="2354" spans="3:10" ht="15.75" x14ac:dyDescent="0.25">
      <c r="D2354" s="166" t="s">
        <v>429</v>
      </c>
      <c r="E2354" s="140">
        <v>127752.63</v>
      </c>
      <c r="I2354" s="150" t="s">
        <v>1354</v>
      </c>
      <c r="J2354" s="151">
        <v>-5079.92</v>
      </c>
    </row>
    <row r="2355" spans="3:10" ht="15.75" x14ac:dyDescent="0.25">
      <c r="D2355" s="166" t="s">
        <v>1296</v>
      </c>
      <c r="E2355" s="140">
        <v>1471</v>
      </c>
      <c r="I2355" s="150" t="s">
        <v>1355</v>
      </c>
      <c r="J2355" s="151">
        <v>-5000</v>
      </c>
    </row>
    <row r="2356" spans="3:10" ht="15.75" x14ac:dyDescent="0.25">
      <c r="D2356" s="166" t="s">
        <v>1297</v>
      </c>
      <c r="E2356" s="140">
        <v>41000</v>
      </c>
      <c r="I2356" s="163"/>
      <c r="J2356" s="121">
        <v>-2200</v>
      </c>
    </row>
    <row r="2357" spans="3:10" ht="15.75" x14ac:dyDescent="0.25">
      <c r="D2357" s="166" t="s">
        <v>1300</v>
      </c>
      <c r="E2357" s="140">
        <v>-40.6</v>
      </c>
      <c r="I2357" s="130" t="s">
        <v>53</v>
      </c>
      <c r="J2357" s="131">
        <f>SUM(J2350:J2356)</f>
        <v>0</v>
      </c>
    </row>
    <row r="2358" spans="3:10" ht="15.75" x14ac:dyDescent="0.25">
      <c r="D2358" s="178" t="s">
        <v>1302</v>
      </c>
      <c r="E2358" s="212">
        <v>-30000</v>
      </c>
    </row>
    <row r="2359" spans="3:10" ht="15.75" x14ac:dyDescent="0.25">
      <c r="C2359" s="91">
        <v>46196</v>
      </c>
      <c r="D2359" s="178" t="s">
        <v>1302</v>
      </c>
      <c r="E2359" s="212">
        <v>-30000</v>
      </c>
    </row>
    <row r="2360" spans="3:10" ht="15.75" x14ac:dyDescent="0.25">
      <c r="D2360" s="178" t="s">
        <v>1302</v>
      </c>
      <c r="E2360" s="212">
        <v>-9000</v>
      </c>
    </row>
    <row r="2361" spans="3:10" ht="15.75" x14ac:dyDescent="0.25">
      <c r="D2361" s="178" t="s">
        <v>535</v>
      </c>
      <c r="E2361" s="212">
        <v>-5.55</v>
      </c>
      <c r="J2361" s="121"/>
    </row>
    <row r="2362" spans="3:10" ht="15.75" x14ac:dyDescent="0.25">
      <c r="D2362" s="178" t="s">
        <v>1314</v>
      </c>
      <c r="E2362" s="212">
        <v>-23760.6</v>
      </c>
      <c r="J2362" s="121"/>
    </row>
    <row r="2363" spans="3:10" ht="15.75" x14ac:dyDescent="0.25">
      <c r="D2363" s="178" t="s">
        <v>552</v>
      </c>
      <c r="E2363" s="212">
        <v>-1.2</v>
      </c>
    </row>
    <row r="2364" spans="3:10" ht="15.75" x14ac:dyDescent="0.25">
      <c r="D2364" s="178" t="s">
        <v>1316</v>
      </c>
      <c r="E2364" s="212">
        <v>1100</v>
      </c>
    </row>
    <row r="2365" spans="3:10" ht="15.75" x14ac:dyDescent="0.25">
      <c r="D2365" s="178" t="s">
        <v>1319</v>
      </c>
      <c r="E2365" s="212">
        <v>-2750</v>
      </c>
    </row>
    <row r="2366" spans="3:10" ht="15.75" x14ac:dyDescent="0.25">
      <c r="C2366" s="91">
        <v>46197</v>
      </c>
      <c r="D2366" s="178" t="s">
        <v>272</v>
      </c>
      <c r="E2366" s="212">
        <v>-399.97</v>
      </c>
    </row>
    <row r="2367" spans="3:10" ht="15.75" x14ac:dyDescent="0.25">
      <c r="D2367" s="178" t="s">
        <v>1323</v>
      </c>
      <c r="E2367" s="212">
        <v>30000</v>
      </c>
    </row>
    <row r="2368" spans="3:10" ht="15.75" x14ac:dyDescent="0.25">
      <c r="D2368" s="178" t="s">
        <v>1323</v>
      </c>
      <c r="E2368" s="212">
        <v>19020</v>
      </c>
    </row>
    <row r="2369" spans="3:5" ht="15.75" x14ac:dyDescent="0.25">
      <c r="D2369" s="178" t="s">
        <v>1323</v>
      </c>
      <c r="E2369" s="212">
        <v>7980</v>
      </c>
    </row>
    <row r="2370" spans="3:5" ht="15.75" x14ac:dyDescent="0.25">
      <c r="D2370" s="214" t="s">
        <v>1325</v>
      </c>
      <c r="E2370" s="210">
        <v>1000</v>
      </c>
    </row>
    <row r="2371" spans="3:5" ht="15.75" x14ac:dyDescent="0.25">
      <c r="D2371" s="178" t="s">
        <v>535</v>
      </c>
      <c r="E2371" s="212">
        <v>-3</v>
      </c>
    </row>
    <row r="2372" spans="3:5" ht="15.75" x14ac:dyDescent="0.25">
      <c r="D2372" s="214" t="s">
        <v>1339</v>
      </c>
      <c r="E2372" s="210">
        <v>1000</v>
      </c>
    </row>
    <row r="2373" spans="3:5" ht="15.75" x14ac:dyDescent="0.25">
      <c r="C2373" s="91">
        <v>46198</v>
      </c>
      <c r="D2373" s="178" t="s">
        <v>1340</v>
      </c>
      <c r="E2373" s="212">
        <v>-12780</v>
      </c>
    </row>
    <row r="2374" spans="3:5" ht="15.75" x14ac:dyDescent="0.25">
      <c r="D2374" s="214" t="s">
        <v>1343</v>
      </c>
      <c r="E2374" s="210">
        <v>1719</v>
      </c>
    </row>
    <row r="2375" spans="3:5" ht="15.75" x14ac:dyDescent="0.25">
      <c r="D2375" s="303" t="s">
        <v>1345</v>
      </c>
      <c r="E2375" s="304">
        <v>-7879.92</v>
      </c>
    </row>
    <row r="2376" spans="3:5" ht="15.75" x14ac:dyDescent="0.25">
      <c r="D2376" s="178" t="s">
        <v>250</v>
      </c>
      <c r="E2376" s="212">
        <v>-385.84</v>
      </c>
    </row>
    <row r="2377" spans="3:5" ht="15.75" x14ac:dyDescent="0.25">
      <c r="D2377" s="178" t="s">
        <v>535</v>
      </c>
      <c r="E2377" s="212">
        <v>-3.75</v>
      </c>
    </row>
    <row r="2378" spans="3:5" ht="15.75" x14ac:dyDescent="0.25">
      <c r="D2378" s="178" t="s">
        <v>1348</v>
      </c>
      <c r="E2378" s="212">
        <v>-30000</v>
      </c>
    </row>
    <row r="2379" spans="3:5" ht="15.75" x14ac:dyDescent="0.25">
      <c r="D2379" s="178" t="s">
        <v>1351</v>
      </c>
      <c r="E2379" s="212">
        <v>25632</v>
      </c>
    </row>
    <row r="2380" spans="3:5" ht="15.75" x14ac:dyDescent="0.25">
      <c r="C2380" s="91">
        <v>46199</v>
      </c>
      <c r="D2380" s="214" t="s">
        <v>1357</v>
      </c>
      <c r="E2380" s="210">
        <v>5079.92</v>
      </c>
    </row>
    <row r="2381" spans="3:5" ht="15.75" x14ac:dyDescent="0.25">
      <c r="D2381" s="178" t="s">
        <v>535</v>
      </c>
      <c r="E2381" s="212">
        <v>-0.27</v>
      </c>
    </row>
    <row r="2382" spans="3:5" x14ac:dyDescent="0.25">
      <c r="D2382" s="78"/>
      <c r="E2382" s="78"/>
    </row>
    <row r="2383" spans="3:5" ht="15.75" x14ac:dyDescent="0.25">
      <c r="D2383" s="78" t="s">
        <v>596</v>
      </c>
      <c r="E2383" s="189">
        <f>SUM(E2354:E2382)</f>
        <v>115743.85000000002</v>
      </c>
    </row>
    <row r="2385" spans="4:5" x14ac:dyDescent="0.25">
      <c r="D2385" t="s">
        <v>361</v>
      </c>
      <c r="E2385" s="121">
        <v>1342</v>
      </c>
    </row>
    <row r="2389" spans="4:5" ht="18.75" x14ac:dyDescent="0.3">
      <c r="E2389" s="280">
        <f>SUM(E2383:E2386)</f>
        <v>117085.85000000002</v>
      </c>
    </row>
    <row r="2410" spans="3:11" ht="18.75" x14ac:dyDescent="0.3">
      <c r="C2410" s="314" t="s">
        <v>1362</v>
      </c>
      <c r="D2410" s="315"/>
      <c r="E2410" s="315"/>
      <c r="F2410" s="315"/>
      <c r="G2410" s="315"/>
      <c r="H2410" s="315"/>
      <c r="I2410" s="315"/>
      <c r="J2410" s="315"/>
      <c r="K2410" s="315"/>
    </row>
    <row r="2411" spans="3:11" x14ac:dyDescent="0.25">
      <c r="C2411" s="78"/>
      <c r="D2411" s="78"/>
      <c r="E2411" s="78"/>
      <c r="F2411" s="78"/>
      <c r="G2411" s="78"/>
      <c r="H2411" s="78"/>
      <c r="I2411" s="78"/>
      <c r="J2411" s="78"/>
      <c r="K2411" s="78"/>
    </row>
    <row r="2412" spans="3:11" ht="15.75" x14ac:dyDescent="0.25">
      <c r="C2412" s="118" t="s">
        <v>223</v>
      </c>
      <c r="D2412" s="118" t="s">
        <v>206</v>
      </c>
      <c r="E2412" s="118" t="s">
        <v>207</v>
      </c>
      <c r="F2412" s="118" t="s">
        <v>218</v>
      </c>
      <c r="G2412" s="78"/>
      <c r="H2412" s="120" t="s">
        <v>6</v>
      </c>
      <c r="I2412" s="120" t="s">
        <v>217</v>
      </c>
      <c r="J2412" s="120" t="s">
        <v>207</v>
      </c>
      <c r="K2412" s="120" t="s">
        <v>218</v>
      </c>
    </row>
    <row r="2413" spans="3:11" x14ac:dyDescent="0.25">
      <c r="C2413" s="276">
        <v>46200</v>
      </c>
      <c r="D2413" s="247" t="s">
        <v>1365</v>
      </c>
      <c r="E2413" s="118"/>
      <c r="F2413" s="248">
        <v>11400</v>
      </c>
      <c r="G2413" s="78"/>
      <c r="H2413" s="117">
        <v>46200</v>
      </c>
      <c r="I2413" s="78" t="s">
        <v>1367</v>
      </c>
      <c r="J2413" s="78"/>
      <c r="K2413" s="119">
        <v>5000</v>
      </c>
    </row>
    <row r="2414" spans="3:11" x14ac:dyDescent="0.25">
      <c r="C2414" s="276">
        <v>46178</v>
      </c>
      <c r="D2414" s="247" t="s">
        <v>1151</v>
      </c>
      <c r="E2414" s="118" t="s">
        <v>1361</v>
      </c>
      <c r="F2414" s="248">
        <v>8850</v>
      </c>
      <c r="G2414" s="78"/>
      <c r="H2414" s="117">
        <v>46037</v>
      </c>
      <c r="I2414" s="149" t="s">
        <v>66</v>
      </c>
      <c r="J2414" s="78" t="s">
        <v>222</v>
      </c>
      <c r="K2414" s="119">
        <v>2120</v>
      </c>
    </row>
    <row r="2415" spans="3:11" ht="15.75" x14ac:dyDescent="0.25">
      <c r="C2415" s="276">
        <v>46178</v>
      </c>
      <c r="D2415" s="247" t="s">
        <v>1152</v>
      </c>
      <c r="E2415" s="118" t="s">
        <v>1217</v>
      </c>
      <c r="F2415" s="248">
        <v>3800</v>
      </c>
      <c r="G2415" s="78"/>
      <c r="H2415" s="184"/>
      <c r="I2415" s="78" t="s">
        <v>1084</v>
      </c>
      <c r="J2415" s="185"/>
      <c r="K2415" s="140">
        <v>189000</v>
      </c>
    </row>
    <row r="2416" spans="3:11" ht="15.75" x14ac:dyDescent="0.25">
      <c r="C2416" s="269">
        <v>46087</v>
      </c>
      <c r="D2416" s="270" t="s">
        <v>214</v>
      </c>
      <c r="E2416" s="270" t="s">
        <v>211</v>
      </c>
      <c r="F2416" s="271">
        <v>2500</v>
      </c>
      <c r="G2416" s="78"/>
      <c r="H2416" s="184"/>
      <c r="I2416" s="78" t="s">
        <v>281</v>
      </c>
      <c r="J2416" s="185"/>
      <c r="K2416" s="140">
        <v>11260</v>
      </c>
    </row>
    <row r="2417" spans="3:11" ht="15.75" x14ac:dyDescent="0.25">
      <c r="C2417" s="78"/>
      <c r="D2417" s="201" t="s">
        <v>429</v>
      </c>
      <c r="E2417" s="201"/>
      <c r="F2417" s="183">
        <v>113178.05</v>
      </c>
      <c r="G2417" s="119"/>
      <c r="H2417" s="117"/>
      <c r="I2417" s="78" t="s">
        <v>1329</v>
      </c>
      <c r="J2417" s="78"/>
      <c r="K2417" s="119">
        <v>300</v>
      </c>
    </row>
    <row r="2418" spans="3:11" x14ac:dyDescent="0.25">
      <c r="C2418" s="117">
        <v>46156</v>
      </c>
      <c r="D2418" s="78" t="s">
        <v>353</v>
      </c>
      <c r="E2418" s="166"/>
      <c r="F2418" s="167">
        <v>3280</v>
      </c>
      <c r="G2418" s="119"/>
      <c r="I2418" s="174" t="s">
        <v>1350</v>
      </c>
      <c r="K2418" s="168">
        <v>25632</v>
      </c>
    </row>
    <row r="2419" spans="3:11" x14ac:dyDescent="0.25">
      <c r="C2419" s="117">
        <v>46156</v>
      </c>
      <c r="D2419" s="78" t="s">
        <v>471</v>
      </c>
      <c r="E2419" s="166"/>
      <c r="F2419" s="167">
        <v>3902</v>
      </c>
      <c r="G2419" s="78"/>
      <c r="H2419" s="78"/>
      <c r="I2419" s="78" t="s">
        <v>82</v>
      </c>
      <c r="J2419" s="78"/>
      <c r="K2419" s="78">
        <v>2500</v>
      </c>
    </row>
    <row r="2420" spans="3:11" x14ac:dyDescent="0.25">
      <c r="C2420" s="117">
        <v>46156</v>
      </c>
      <c r="D2420" s="78" t="s">
        <v>148</v>
      </c>
      <c r="E2420" s="166"/>
      <c r="F2420" s="167">
        <v>5785</v>
      </c>
      <c r="G2420" s="78"/>
      <c r="H2420" s="78"/>
      <c r="I2420" s="78"/>
      <c r="J2420" s="78"/>
      <c r="K2420" s="119"/>
    </row>
    <row r="2421" spans="3:11" ht="18.75" x14ac:dyDescent="0.3">
      <c r="C2421" s="117">
        <v>46161</v>
      </c>
      <c r="D2421" s="78" t="s">
        <v>995</v>
      </c>
      <c r="E2421" s="166"/>
      <c r="F2421" s="167">
        <v>15202.82</v>
      </c>
      <c r="G2421" s="78"/>
      <c r="H2421" s="78"/>
      <c r="I2421" s="126" t="s">
        <v>226</v>
      </c>
      <c r="J2421" s="126"/>
      <c r="K2421" s="127">
        <f>SUM(K2413:K2419)</f>
        <v>235812</v>
      </c>
    </row>
    <row r="2422" spans="3:11" x14ac:dyDescent="0.25">
      <c r="C2422" s="295"/>
      <c r="D2422" s="296" t="s">
        <v>1093</v>
      </c>
      <c r="E2422" s="293"/>
      <c r="F2422" s="285">
        <v>1050</v>
      </c>
      <c r="G2422" s="78"/>
      <c r="J2422" s="121"/>
    </row>
    <row r="2423" spans="3:11" x14ac:dyDescent="0.25">
      <c r="C2423" s="257">
        <v>46179</v>
      </c>
      <c r="D2423" s="258" t="s">
        <v>923</v>
      </c>
      <c r="E2423" s="214"/>
      <c r="F2423" s="219">
        <v>3400</v>
      </c>
      <c r="G2423" s="78"/>
    </row>
    <row r="2424" spans="3:11" ht="15.75" x14ac:dyDescent="0.25">
      <c r="C2424" s="257"/>
      <c r="D2424" s="258" t="s">
        <v>422</v>
      </c>
      <c r="E2424" s="214"/>
      <c r="F2424" s="219">
        <v>3560</v>
      </c>
      <c r="H2424" s="316" t="s">
        <v>227</v>
      </c>
      <c r="I2424" s="317"/>
      <c r="J2424" s="140">
        <f>F2438-K2421</f>
        <v>75154.489999999991</v>
      </c>
    </row>
    <row r="2425" spans="3:11" ht="15.75" x14ac:dyDescent="0.25">
      <c r="C2425" s="257"/>
      <c r="D2425" s="294" t="s">
        <v>1290</v>
      </c>
      <c r="E2425" s="293"/>
      <c r="F2425" s="285">
        <v>1100</v>
      </c>
      <c r="J2425" s="89"/>
    </row>
    <row r="2426" spans="3:11" ht="15.75" x14ac:dyDescent="0.25">
      <c r="C2426" s="257"/>
      <c r="D2426" s="258" t="s">
        <v>1063</v>
      </c>
      <c r="E2426" s="214"/>
      <c r="F2426" s="219">
        <v>1180</v>
      </c>
      <c r="H2426" s="128" t="s">
        <v>285</v>
      </c>
      <c r="J2426" s="124">
        <f>E2487</f>
        <v>49663.619999999995</v>
      </c>
    </row>
    <row r="2427" spans="3:11" x14ac:dyDescent="0.25">
      <c r="C2427" s="257"/>
      <c r="D2427" s="258" t="s">
        <v>519</v>
      </c>
      <c r="E2427" s="214"/>
      <c r="F2427" s="219">
        <v>7835.8</v>
      </c>
    </row>
    <row r="2428" spans="3:11" x14ac:dyDescent="0.25">
      <c r="C2428" s="257"/>
      <c r="D2428" s="258" t="s">
        <v>1303</v>
      </c>
      <c r="E2428" s="214"/>
      <c r="F2428" s="219">
        <v>5000</v>
      </c>
    </row>
    <row r="2429" spans="3:11" x14ac:dyDescent="0.25">
      <c r="C2429" s="257"/>
      <c r="D2429" s="258" t="s">
        <v>1303</v>
      </c>
      <c r="E2429" s="214" t="s">
        <v>825</v>
      </c>
      <c r="F2429" s="219">
        <v>69000</v>
      </c>
    </row>
    <row r="2430" spans="3:11" x14ac:dyDescent="0.25">
      <c r="C2430" s="257"/>
      <c r="D2430" s="258" t="s">
        <v>1331</v>
      </c>
      <c r="E2430" s="214"/>
      <c r="F2430" s="219">
        <v>20</v>
      </c>
    </row>
    <row r="2431" spans="3:11" x14ac:dyDescent="0.25">
      <c r="C2431" s="266">
        <v>46175</v>
      </c>
      <c r="D2431" s="267" t="s">
        <v>1059</v>
      </c>
      <c r="E2431" s="268" t="s">
        <v>1116</v>
      </c>
      <c r="F2431" s="265">
        <v>1473.68</v>
      </c>
    </row>
    <row r="2432" spans="3:11" ht="21" x14ac:dyDescent="0.35">
      <c r="C2432" s="117"/>
      <c r="D2432" s="78"/>
      <c r="E2432" s="166"/>
      <c r="F2432" s="167"/>
      <c r="I2432" s="198" t="s">
        <v>286</v>
      </c>
      <c r="J2432" s="137">
        <f>SUM(J2424:J2426)</f>
        <v>124818.10999999999</v>
      </c>
    </row>
    <row r="2433" spans="3:11" x14ac:dyDescent="0.25">
      <c r="C2433" s="78"/>
      <c r="D2433" s="78"/>
      <c r="E2433" s="78"/>
      <c r="F2433" s="122">
        <f>SUM(F2413:F2431)</f>
        <v>261517.34999999998</v>
      </c>
      <c r="J2433" s="157">
        <v>125327.61</v>
      </c>
      <c r="K2433" s="39" t="s">
        <v>76</v>
      </c>
    </row>
    <row r="2434" spans="3:11" x14ac:dyDescent="0.25">
      <c r="F2434" s="157"/>
      <c r="G2434" s="121"/>
    </row>
    <row r="2435" spans="3:11" ht="18.75" x14ac:dyDescent="0.3">
      <c r="E2435" s="101" t="s">
        <v>224</v>
      </c>
      <c r="F2435" s="101">
        <v>49449.14</v>
      </c>
      <c r="J2435" s="264">
        <f>J2432-J2433</f>
        <v>-509.50000000001455</v>
      </c>
    </row>
    <row r="2436" spans="3:11" x14ac:dyDescent="0.25">
      <c r="C2436" s="121"/>
    </row>
    <row r="2438" spans="3:11" ht="18.75" x14ac:dyDescent="0.3">
      <c r="C2438" s="121"/>
      <c r="E2438" s="99" t="s">
        <v>225</v>
      </c>
      <c r="F2438" s="125">
        <f>SUM(F2433+F2435)</f>
        <v>310966.49</v>
      </c>
    </row>
    <row r="2439" spans="3:11" x14ac:dyDescent="0.25">
      <c r="C2439" s="121"/>
    </row>
    <row r="2440" spans="3:11" x14ac:dyDescent="0.25">
      <c r="C2440" s="121"/>
    </row>
    <row r="2442" spans="3:11" x14ac:dyDescent="0.25">
      <c r="C2442" s="91"/>
    </row>
    <row r="2444" spans="3:11" ht="15.75" x14ac:dyDescent="0.25">
      <c r="D2444" s="132" t="s">
        <v>235</v>
      </c>
      <c r="E2444" s="133">
        <v>64748.4</v>
      </c>
    </row>
    <row r="2445" spans="3:11" ht="15.75" x14ac:dyDescent="0.25">
      <c r="D2445" s="148" t="s">
        <v>1298</v>
      </c>
      <c r="E2445" s="144">
        <v>-50000</v>
      </c>
    </row>
    <row r="2446" spans="3:11" ht="15.75" x14ac:dyDescent="0.25">
      <c r="D2446" s="128" t="s">
        <v>1299</v>
      </c>
      <c r="E2446" s="171">
        <v>9000</v>
      </c>
    </row>
    <row r="2447" spans="3:11" ht="15.75" x14ac:dyDescent="0.25">
      <c r="D2447" s="128" t="s">
        <v>1301</v>
      </c>
      <c r="E2447" s="171">
        <v>-120</v>
      </c>
      <c r="I2447" s="318"/>
      <c r="J2447" s="318"/>
    </row>
    <row r="2448" spans="3:11" ht="15.75" x14ac:dyDescent="0.25">
      <c r="D2448" s="148" t="s">
        <v>1111</v>
      </c>
      <c r="E2448" s="144">
        <v>-10</v>
      </c>
      <c r="H2448" s="121"/>
      <c r="J2448" s="163"/>
    </row>
    <row r="2449" spans="3:11" ht="15.75" x14ac:dyDescent="0.25">
      <c r="D2449" s="128" t="s">
        <v>1304</v>
      </c>
      <c r="E2449" s="171">
        <v>40.6</v>
      </c>
      <c r="J2449" s="163"/>
    </row>
    <row r="2450" spans="3:11" ht="15.75" x14ac:dyDescent="0.25">
      <c r="D2450" s="128" t="s">
        <v>1305</v>
      </c>
      <c r="E2450" s="171">
        <v>-20</v>
      </c>
      <c r="J2450" s="163"/>
    </row>
    <row r="2451" spans="3:11" ht="15.75" x14ac:dyDescent="0.25">
      <c r="D2451" s="128" t="s">
        <v>1306</v>
      </c>
      <c r="E2451" s="171">
        <v>8000</v>
      </c>
      <c r="I2451" s="163"/>
      <c r="J2451" s="121"/>
    </row>
    <row r="2452" spans="3:11" ht="15.75" x14ac:dyDescent="0.25">
      <c r="D2452" s="128" t="s">
        <v>357</v>
      </c>
      <c r="E2452" s="171">
        <v>4535</v>
      </c>
      <c r="I2452" s="150"/>
      <c r="J2452" s="139"/>
    </row>
    <row r="2453" spans="3:11" ht="15.75" x14ac:dyDescent="0.25">
      <c r="C2453" s="91">
        <v>46196</v>
      </c>
      <c r="D2453" s="128" t="s">
        <v>1308</v>
      </c>
      <c r="E2453" s="171">
        <v>2062.5</v>
      </c>
      <c r="H2453" s="91"/>
      <c r="I2453" s="150"/>
      <c r="J2453" s="138"/>
    </row>
    <row r="2454" spans="3:11" ht="15.75" x14ac:dyDescent="0.25">
      <c r="D2454" s="148" t="s">
        <v>1111</v>
      </c>
      <c r="E2454" s="144">
        <v>-10</v>
      </c>
      <c r="H2454" s="91"/>
      <c r="I2454" s="150"/>
      <c r="J2454" s="151"/>
    </row>
    <row r="2455" spans="3:11" ht="15.75" x14ac:dyDescent="0.25">
      <c r="D2455" s="128" t="s">
        <v>357</v>
      </c>
      <c r="E2455" s="299">
        <v>1540</v>
      </c>
      <c r="I2455" s="150"/>
      <c r="J2455" s="139"/>
    </row>
    <row r="2456" spans="3:11" ht="15.75" x14ac:dyDescent="0.25">
      <c r="D2456" s="128" t="s">
        <v>1299</v>
      </c>
      <c r="E2456" s="171">
        <v>5385</v>
      </c>
      <c r="H2456" s="160"/>
      <c r="I2456" s="163"/>
    </row>
    <row r="2457" spans="3:11" ht="15.75" x14ac:dyDescent="0.25">
      <c r="D2457" s="128" t="s">
        <v>1317</v>
      </c>
      <c r="E2457" s="171">
        <v>12700</v>
      </c>
      <c r="I2457" s="150"/>
    </row>
    <row r="2458" spans="3:11" ht="15.75" x14ac:dyDescent="0.25">
      <c r="D2458" s="148" t="s">
        <v>1320</v>
      </c>
      <c r="E2458" s="144">
        <v>-10</v>
      </c>
      <c r="I2458" s="300"/>
    </row>
    <row r="2459" spans="3:11" ht="18.75" x14ac:dyDescent="0.3">
      <c r="D2459" s="301" t="s">
        <v>1322</v>
      </c>
      <c r="E2459" s="302">
        <v>-57000</v>
      </c>
      <c r="J2459" s="125"/>
    </row>
    <row r="2460" spans="3:11" ht="15.75" x14ac:dyDescent="0.25">
      <c r="C2460" s="91">
        <v>46197</v>
      </c>
      <c r="D2460" s="199" t="s">
        <v>1326</v>
      </c>
      <c r="E2460" s="200">
        <v>25</v>
      </c>
      <c r="H2460" s="121"/>
    </row>
    <row r="2461" spans="3:11" ht="15.75" x14ac:dyDescent="0.25">
      <c r="D2461" s="148" t="s">
        <v>1330</v>
      </c>
      <c r="E2461" s="144">
        <v>-40</v>
      </c>
    </row>
    <row r="2462" spans="3:11" ht="15.75" x14ac:dyDescent="0.25">
      <c r="D2462" s="148" t="s">
        <v>398</v>
      </c>
      <c r="E2462" s="144">
        <v>-20</v>
      </c>
      <c r="K2462" s="121"/>
    </row>
    <row r="2463" spans="3:11" ht="15.75" x14ac:dyDescent="0.25">
      <c r="D2463" s="128" t="s">
        <v>357</v>
      </c>
      <c r="E2463" s="171">
        <v>3512.4</v>
      </c>
    </row>
    <row r="2464" spans="3:11" ht="15.75" x14ac:dyDescent="0.25">
      <c r="D2464" s="128" t="s">
        <v>1334</v>
      </c>
      <c r="E2464" s="171">
        <v>-26.5</v>
      </c>
    </row>
    <row r="2465" spans="3:9" ht="15.75" x14ac:dyDescent="0.25">
      <c r="C2465" s="91"/>
      <c r="D2465" s="128" t="s">
        <v>1335</v>
      </c>
      <c r="E2465" s="171">
        <v>-24.5</v>
      </c>
      <c r="I2465" s="121"/>
    </row>
    <row r="2466" spans="3:9" ht="15.75" x14ac:dyDescent="0.25">
      <c r="C2466" s="91">
        <v>46198</v>
      </c>
      <c r="D2466" s="128" t="s">
        <v>1337</v>
      </c>
      <c r="E2466" s="171">
        <v>4510</v>
      </c>
    </row>
    <row r="2467" spans="3:9" ht="15.75" x14ac:dyDescent="0.25">
      <c r="C2467" s="91"/>
      <c r="D2467" s="128" t="s">
        <v>1131</v>
      </c>
      <c r="E2467" s="171">
        <v>11060.72</v>
      </c>
    </row>
    <row r="2468" spans="3:9" ht="15.75" x14ac:dyDescent="0.25">
      <c r="C2468" s="91"/>
      <c r="D2468" s="148" t="s">
        <v>1338</v>
      </c>
      <c r="E2468" s="144">
        <v>-1000</v>
      </c>
    </row>
    <row r="2469" spans="3:9" ht="15.75" x14ac:dyDescent="0.25">
      <c r="C2469" s="91"/>
      <c r="D2469" s="148" t="s">
        <v>1344</v>
      </c>
      <c r="E2469" s="144">
        <v>-50</v>
      </c>
    </row>
    <row r="2470" spans="3:9" ht="15.75" x14ac:dyDescent="0.25">
      <c r="C2470" s="91"/>
      <c r="D2470" s="199" t="s">
        <v>357</v>
      </c>
      <c r="E2470" s="200">
        <v>1005</v>
      </c>
    </row>
    <row r="2471" spans="3:9" ht="15.75" x14ac:dyDescent="0.25">
      <c r="C2471" s="91"/>
      <c r="D2471" s="148" t="s">
        <v>1347</v>
      </c>
      <c r="E2471" s="144">
        <v>30000</v>
      </c>
    </row>
    <row r="2472" spans="3:9" ht="15.75" x14ac:dyDescent="0.25">
      <c r="C2472" s="91">
        <v>46199</v>
      </c>
      <c r="D2472" s="148" t="s">
        <v>1303</v>
      </c>
      <c r="E2472" s="144">
        <v>-5000</v>
      </c>
    </row>
    <row r="2473" spans="3:9" ht="15.75" x14ac:dyDescent="0.25">
      <c r="C2473" s="91"/>
      <c r="D2473" s="148" t="s">
        <v>1356</v>
      </c>
      <c r="E2473" s="144">
        <v>5000</v>
      </c>
    </row>
    <row r="2474" spans="3:9" ht="15.75" x14ac:dyDescent="0.25">
      <c r="C2474" s="91"/>
      <c r="D2474" s="148" t="s">
        <v>1358</v>
      </c>
      <c r="E2474" s="144">
        <v>2200</v>
      </c>
    </row>
    <row r="2475" spans="3:9" ht="15.75" x14ac:dyDescent="0.25">
      <c r="C2475" s="91"/>
      <c r="D2475" s="148" t="s">
        <v>357</v>
      </c>
      <c r="E2475" s="144">
        <v>825</v>
      </c>
    </row>
    <row r="2476" spans="3:9" ht="15.75" x14ac:dyDescent="0.25">
      <c r="C2476" s="91">
        <v>46200</v>
      </c>
      <c r="D2476" s="199" t="s">
        <v>1364</v>
      </c>
      <c r="E2476" s="200">
        <v>3700</v>
      </c>
    </row>
    <row r="2477" spans="3:9" ht="15.75" x14ac:dyDescent="0.25">
      <c r="C2477" s="91"/>
      <c r="D2477" s="148" t="s">
        <v>1366</v>
      </c>
      <c r="E2477" s="144">
        <v>-6400</v>
      </c>
    </row>
    <row r="2478" spans="3:9" ht="15.75" x14ac:dyDescent="0.25">
      <c r="C2478" s="91"/>
      <c r="D2478" s="148" t="s">
        <v>1368</v>
      </c>
      <c r="E2478" s="144">
        <v>-400</v>
      </c>
    </row>
    <row r="2479" spans="3:9" ht="15.75" x14ac:dyDescent="0.25">
      <c r="C2479" s="91"/>
      <c r="D2479" s="199" t="s">
        <v>357</v>
      </c>
      <c r="E2479" s="200">
        <v>1125</v>
      </c>
    </row>
    <row r="2480" spans="3:9" ht="15.75" x14ac:dyDescent="0.25">
      <c r="C2480" s="91"/>
      <c r="D2480" s="148" t="s">
        <v>1178</v>
      </c>
      <c r="E2480" s="144">
        <v>-40</v>
      </c>
    </row>
    <row r="2481" spans="3:10" ht="15.75" x14ac:dyDescent="0.25">
      <c r="C2481" s="91"/>
      <c r="D2481" s="148" t="s">
        <v>277</v>
      </c>
      <c r="E2481" s="144">
        <v>-430</v>
      </c>
    </row>
    <row r="2482" spans="3:10" ht="15.75" x14ac:dyDescent="0.25">
      <c r="C2482" s="91"/>
      <c r="D2482" s="148" t="s">
        <v>278</v>
      </c>
      <c r="E2482" s="144">
        <v>-350</v>
      </c>
    </row>
    <row r="2483" spans="3:10" ht="15.75" x14ac:dyDescent="0.25">
      <c r="C2483" s="91"/>
      <c r="D2483" s="148" t="s">
        <v>284</v>
      </c>
      <c r="E2483" s="144">
        <v>-460</v>
      </c>
      <c r="I2483" s="337" t="s">
        <v>497</v>
      </c>
      <c r="J2483" s="337"/>
    </row>
    <row r="2484" spans="3:10" ht="15.75" x14ac:dyDescent="0.25">
      <c r="C2484" s="91"/>
      <c r="D2484" s="199" t="s">
        <v>577</v>
      </c>
      <c r="E2484" s="200">
        <v>100</v>
      </c>
      <c r="H2484" s="91">
        <v>46158</v>
      </c>
      <c r="I2484" s="163" t="s">
        <v>923</v>
      </c>
      <c r="J2484" s="121">
        <v>2600</v>
      </c>
    </row>
    <row r="2485" spans="3:10" ht="15.75" x14ac:dyDescent="0.25">
      <c r="C2485" s="91"/>
      <c r="D2485" s="128"/>
      <c r="E2485" s="171"/>
      <c r="I2485" s="163" t="s">
        <v>1363</v>
      </c>
      <c r="J2485" s="157">
        <v>20</v>
      </c>
    </row>
    <row r="2486" spans="3:10" x14ac:dyDescent="0.25">
      <c r="C2486" s="91"/>
      <c r="E2486" s="121"/>
      <c r="H2486" s="91">
        <v>46164</v>
      </c>
      <c r="I2486" s="163" t="s">
        <v>923</v>
      </c>
      <c r="J2486" s="157">
        <v>2650</v>
      </c>
    </row>
    <row r="2487" spans="3:10" ht="15.75" x14ac:dyDescent="0.25">
      <c r="D2487" s="132" t="s">
        <v>236</v>
      </c>
      <c r="E2487" s="133">
        <f>SUM(E2444:E2486)</f>
        <v>49663.619999999995</v>
      </c>
      <c r="I2487" s="163" t="s">
        <v>1371</v>
      </c>
      <c r="J2487" s="157">
        <v>2265.8000000000002</v>
      </c>
    </row>
    <row r="2488" spans="3:10" x14ac:dyDescent="0.25">
      <c r="I2488" s="163" t="s">
        <v>1371</v>
      </c>
      <c r="J2488" s="151">
        <v>300</v>
      </c>
    </row>
    <row r="2489" spans="3:10" x14ac:dyDescent="0.25">
      <c r="I2489" s="150"/>
      <c r="J2489" s="151"/>
    </row>
    <row r="2490" spans="3:10" x14ac:dyDescent="0.25">
      <c r="E2490">
        <v>-11.9</v>
      </c>
      <c r="I2490" s="163"/>
      <c r="J2490" s="121"/>
    </row>
    <row r="2491" spans="3:10" ht="15.75" x14ac:dyDescent="0.25">
      <c r="I2491" s="130" t="s">
        <v>53</v>
      </c>
      <c r="J2491" s="131">
        <f>SUM(J2484:J2490)</f>
        <v>7835.8</v>
      </c>
    </row>
    <row r="2492" spans="3:10" x14ac:dyDescent="0.25">
      <c r="D2492" s="39"/>
      <c r="E2492" s="157">
        <f>SUM(E2487:E2491)</f>
        <v>49651.719999999994</v>
      </c>
    </row>
    <row r="2493" spans="3:10" x14ac:dyDescent="0.25">
      <c r="D2493" s="39"/>
      <c r="E2493" s="157"/>
    </row>
    <row r="2495" spans="3:10" x14ac:dyDescent="0.25">
      <c r="J2495" s="121"/>
    </row>
    <row r="2496" spans="3:10" ht="18.75" x14ac:dyDescent="0.3">
      <c r="D2496" s="333" t="s">
        <v>1125</v>
      </c>
      <c r="E2496" s="333"/>
      <c r="J2496" s="121"/>
    </row>
    <row r="2497" spans="3:5" ht="15.75" x14ac:dyDescent="0.25">
      <c r="D2497" s="166" t="s">
        <v>429</v>
      </c>
      <c r="E2497" s="140">
        <v>127752.63</v>
      </c>
    </row>
    <row r="2498" spans="3:5" ht="15.75" x14ac:dyDescent="0.25">
      <c r="D2498" s="166" t="s">
        <v>1296</v>
      </c>
      <c r="E2498" s="140">
        <v>1471</v>
      </c>
    </row>
    <row r="2499" spans="3:5" ht="15.75" x14ac:dyDescent="0.25">
      <c r="D2499" s="166" t="s">
        <v>1297</v>
      </c>
      <c r="E2499" s="140">
        <v>41000</v>
      </c>
    </row>
    <row r="2500" spans="3:5" ht="15.75" x14ac:dyDescent="0.25">
      <c r="D2500" s="166" t="s">
        <v>1300</v>
      </c>
      <c r="E2500" s="140">
        <v>-40.6</v>
      </c>
    </row>
    <row r="2501" spans="3:5" ht="15.75" x14ac:dyDescent="0.25">
      <c r="D2501" s="178" t="s">
        <v>1302</v>
      </c>
      <c r="E2501" s="212">
        <v>-30000</v>
      </c>
    </row>
    <row r="2502" spans="3:5" ht="15.75" x14ac:dyDescent="0.25">
      <c r="C2502" s="91">
        <v>46196</v>
      </c>
      <c r="D2502" s="178" t="s">
        <v>1302</v>
      </c>
      <c r="E2502" s="212">
        <v>-30000</v>
      </c>
    </row>
    <row r="2503" spans="3:5" ht="15.75" x14ac:dyDescent="0.25">
      <c r="D2503" s="178" t="s">
        <v>1302</v>
      </c>
      <c r="E2503" s="212">
        <v>-9000</v>
      </c>
    </row>
    <row r="2504" spans="3:5" ht="15.75" x14ac:dyDescent="0.25">
      <c r="D2504" s="178" t="s">
        <v>535</v>
      </c>
      <c r="E2504" s="212">
        <v>-5.55</v>
      </c>
    </row>
    <row r="2505" spans="3:5" ht="15.75" x14ac:dyDescent="0.25">
      <c r="D2505" s="178" t="s">
        <v>1314</v>
      </c>
      <c r="E2505" s="212">
        <v>-23760.6</v>
      </c>
    </row>
    <row r="2506" spans="3:5" ht="15.75" x14ac:dyDescent="0.25">
      <c r="D2506" s="178" t="s">
        <v>552</v>
      </c>
      <c r="E2506" s="212">
        <v>-1.2</v>
      </c>
    </row>
    <row r="2507" spans="3:5" ht="15.75" x14ac:dyDescent="0.25">
      <c r="D2507" s="178" t="s">
        <v>1316</v>
      </c>
      <c r="E2507" s="212">
        <v>1100</v>
      </c>
    </row>
    <row r="2508" spans="3:5" ht="15.75" x14ac:dyDescent="0.25">
      <c r="D2508" s="178" t="s">
        <v>1319</v>
      </c>
      <c r="E2508" s="212">
        <v>-2750</v>
      </c>
    </row>
    <row r="2509" spans="3:5" ht="15.75" x14ac:dyDescent="0.25">
      <c r="C2509" s="91">
        <v>46197</v>
      </c>
      <c r="D2509" s="178" t="s">
        <v>272</v>
      </c>
      <c r="E2509" s="212">
        <v>-399.97</v>
      </c>
    </row>
    <row r="2510" spans="3:5" ht="15.75" x14ac:dyDescent="0.25">
      <c r="D2510" s="178" t="s">
        <v>1323</v>
      </c>
      <c r="E2510" s="212">
        <v>30000</v>
      </c>
    </row>
    <row r="2511" spans="3:5" ht="15.75" x14ac:dyDescent="0.25">
      <c r="D2511" s="178" t="s">
        <v>1323</v>
      </c>
      <c r="E2511" s="212">
        <v>19020</v>
      </c>
    </row>
    <row r="2512" spans="3:5" ht="15.75" x14ac:dyDescent="0.25">
      <c r="D2512" s="178" t="s">
        <v>1323</v>
      </c>
      <c r="E2512" s="212">
        <v>7980</v>
      </c>
    </row>
    <row r="2513" spans="3:5" ht="15.75" x14ac:dyDescent="0.25">
      <c r="D2513" s="214" t="s">
        <v>1325</v>
      </c>
      <c r="E2513" s="210">
        <v>1000</v>
      </c>
    </row>
    <row r="2514" spans="3:5" ht="15.75" x14ac:dyDescent="0.25">
      <c r="D2514" s="178" t="s">
        <v>535</v>
      </c>
      <c r="E2514" s="212">
        <v>-3</v>
      </c>
    </row>
    <row r="2515" spans="3:5" ht="15.75" x14ac:dyDescent="0.25">
      <c r="D2515" s="214" t="s">
        <v>1339</v>
      </c>
      <c r="E2515" s="210">
        <v>1000</v>
      </c>
    </row>
    <row r="2516" spans="3:5" ht="15.75" x14ac:dyDescent="0.25">
      <c r="C2516" s="91">
        <v>46198</v>
      </c>
      <c r="D2516" s="178" t="s">
        <v>1340</v>
      </c>
      <c r="E2516" s="212">
        <v>-12780</v>
      </c>
    </row>
    <row r="2517" spans="3:5" ht="15.75" x14ac:dyDescent="0.25">
      <c r="D2517" s="214" t="s">
        <v>1343</v>
      </c>
      <c r="E2517" s="210">
        <v>1719</v>
      </c>
    </row>
    <row r="2518" spans="3:5" ht="15.75" x14ac:dyDescent="0.25">
      <c r="D2518" s="303" t="s">
        <v>1345</v>
      </c>
      <c r="E2518" s="304">
        <v>-7879.92</v>
      </c>
    </row>
    <row r="2519" spans="3:5" ht="15.75" x14ac:dyDescent="0.25">
      <c r="D2519" s="178" t="s">
        <v>250</v>
      </c>
      <c r="E2519" s="212">
        <v>-385.84</v>
      </c>
    </row>
    <row r="2520" spans="3:5" ht="15.75" x14ac:dyDescent="0.25">
      <c r="D2520" s="178" t="s">
        <v>535</v>
      </c>
      <c r="E2520" s="212">
        <v>-3.75</v>
      </c>
    </row>
    <row r="2521" spans="3:5" ht="15.75" x14ac:dyDescent="0.25">
      <c r="D2521" s="178" t="s">
        <v>1348</v>
      </c>
      <c r="E2521" s="212">
        <v>-30000</v>
      </c>
    </row>
    <row r="2522" spans="3:5" ht="15.75" x14ac:dyDescent="0.25">
      <c r="D2522" s="178" t="s">
        <v>1351</v>
      </c>
      <c r="E2522" s="212">
        <v>25632</v>
      </c>
    </row>
    <row r="2523" spans="3:5" ht="15.75" x14ac:dyDescent="0.25">
      <c r="C2523" s="91">
        <v>46199</v>
      </c>
      <c r="D2523" s="214" t="s">
        <v>1357</v>
      </c>
      <c r="E2523" s="210">
        <v>5079.92</v>
      </c>
    </row>
    <row r="2524" spans="3:5" ht="15.75" x14ac:dyDescent="0.25">
      <c r="D2524" s="178" t="s">
        <v>535</v>
      </c>
      <c r="E2524" s="212">
        <v>-0.27</v>
      </c>
    </row>
    <row r="2525" spans="3:5" ht="15.75" x14ac:dyDescent="0.25">
      <c r="D2525" s="178" t="s">
        <v>1370</v>
      </c>
      <c r="E2525" s="212">
        <v>-2265.8000000000002</v>
      </c>
    </row>
    <row r="2526" spans="3:5" ht="15.75" x14ac:dyDescent="0.25">
      <c r="D2526" s="178" t="s">
        <v>1370</v>
      </c>
      <c r="E2526" s="212">
        <v>-300</v>
      </c>
    </row>
    <row r="2527" spans="3:5" x14ac:dyDescent="0.25">
      <c r="D2527" s="78"/>
      <c r="E2527" s="78"/>
    </row>
    <row r="2528" spans="3:5" ht="15.75" x14ac:dyDescent="0.25">
      <c r="D2528" s="78" t="s">
        <v>596</v>
      </c>
      <c r="E2528" s="189">
        <f>SUM(E2497:E2527)</f>
        <v>113178.05000000002</v>
      </c>
    </row>
    <row r="2530" spans="4:5" x14ac:dyDescent="0.25">
      <c r="D2530" t="s">
        <v>361</v>
      </c>
      <c r="E2530" s="121">
        <v>1342</v>
      </c>
    </row>
    <row r="2534" spans="4:5" ht="18.75" x14ac:dyDescent="0.3">
      <c r="E2534" s="280">
        <f>SUM(E2528:E2531)</f>
        <v>114520.05000000002</v>
      </c>
    </row>
    <row r="2550" spans="3:11" ht="18.75" x14ac:dyDescent="0.3">
      <c r="C2550" s="314" t="s">
        <v>1372</v>
      </c>
      <c r="D2550" s="315"/>
      <c r="E2550" s="315"/>
      <c r="F2550" s="315"/>
      <c r="G2550" s="315"/>
      <c r="H2550" s="315"/>
      <c r="I2550" s="315"/>
      <c r="J2550" s="315"/>
      <c r="K2550" s="315"/>
    </row>
    <row r="2551" spans="3:11" x14ac:dyDescent="0.25">
      <c r="C2551" s="78"/>
      <c r="D2551" s="78"/>
      <c r="E2551" s="78"/>
      <c r="F2551" s="78"/>
      <c r="G2551" s="78"/>
      <c r="H2551" s="78"/>
      <c r="I2551" s="78"/>
      <c r="J2551" s="78"/>
      <c r="K2551" s="78"/>
    </row>
    <row r="2552" spans="3:11" ht="15.75" x14ac:dyDescent="0.25">
      <c r="C2552" s="118" t="s">
        <v>223</v>
      </c>
      <c r="D2552" s="118" t="s">
        <v>206</v>
      </c>
      <c r="E2552" s="118" t="s">
        <v>207</v>
      </c>
      <c r="F2552" s="118" t="s">
        <v>218</v>
      </c>
      <c r="G2552" s="78"/>
      <c r="H2552" s="120" t="s">
        <v>6</v>
      </c>
      <c r="I2552" s="120" t="s">
        <v>217</v>
      </c>
      <c r="J2552" s="120" t="s">
        <v>207</v>
      </c>
      <c r="K2552" s="120" t="s">
        <v>218</v>
      </c>
    </row>
    <row r="2553" spans="3:11" x14ac:dyDescent="0.25">
      <c r="C2553" s="276">
        <v>46200</v>
      </c>
      <c r="D2553" s="247" t="s">
        <v>1365</v>
      </c>
      <c r="E2553" s="118"/>
      <c r="F2553" s="248">
        <v>11400</v>
      </c>
      <c r="G2553" s="78"/>
      <c r="H2553" s="117">
        <v>46200</v>
      </c>
      <c r="I2553" s="78" t="s">
        <v>1367</v>
      </c>
      <c r="J2553" s="78"/>
      <c r="K2553" s="119">
        <v>5000</v>
      </c>
    </row>
    <row r="2554" spans="3:11" x14ac:dyDescent="0.25">
      <c r="C2554" s="276">
        <v>46178</v>
      </c>
      <c r="D2554" s="247" t="s">
        <v>1151</v>
      </c>
      <c r="E2554" s="118" t="s">
        <v>1361</v>
      </c>
      <c r="F2554" s="248">
        <v>8850</v>
      </c>
      <c r="G2554" s="78"/>
      <c r="H2554" s="117">
        <v>46037</v>
      </c>
      <c r="I2554" s="149" t="s">
        <v>66</v>
      </c>
      <c r="J2554" s="78" t="s">
        <v>222</v>
      </c>
      <c r="K2554" s="119">
        <v>2120</v>
      </c>
    </row>
    <row r="2555" spans="3:11" ht="15.75" x14ac:dyDescent="0.25">
      <c r="C2555" s="276">
        <v>46178</v>
      </c>
      <c r="D2555" s="247" t="s">
        <v>1152</v>
      </c>
      <c r="E2555" s="118" t="s">
        <v>1217</v>
      </c>
      <c r="F2555" s="248">
        <v>3800</v>
      </c>
      <c r="G2555" s="78"/>
      <c r="H2555" s="184"/>
      <c r="I2555" s="78" t="s">
        <v>1084</v>
      </c>
      <c r="J2555" s="185"/>
      <c r="K2555" s="140">
        <v>189000</v>
      </c>
    </row>
    <row r="2556" spans="3:11" ht="15.75" x14ac:dyDescent="0.25">
      <c r="C2556" s="269">
        <v>46087</v>
      </c>
      <c r="D2556" s="270" t="s">
        <v>214</v>
      </c>
      <c r="E2556" s="270" t="s">
        <v>211</v>
      </c>
      <c r="F2556" s="271">
        <v>2500</v>
      </c>
      <c r="G2556" s="78"/>
      <c r="H2556" s="184"/>
      <c r="I2556" s="78" t="s">
        <v>281</v>
      </c>
      <c r="J2556" s="185"/>
      <c r="K2556" s="140">
        <v>11260</v>
      </c>
    </row>
    <row r="2557" spans="3:11" ht="15.75" x14ac:dyDescent="0.25">
      <c r="C2557" s="78"/>
      <c r="D2557" s="201" t="s">
        <v>429</v>
      </c>
      <c r="E2557" s="201"/>
      <c r="F2557" s="183">
        <v>109897.8</v>
      </c>
      <c r="G2557" s="119"/>
      <c r="H2557" s="117"/>
      <c r="I2557" s="78" t="s">
        <v>1329</v>
      </c>
      <c r="J2557" s="78"/>
      <c r="K2557" s="119">
        <v>300</v>
      </c>
    </row>
    <row r="2558" spans="3:11" x14ac:dyDescent="0.25">
      <c r="C2558" s="117">
        <v>46156</v>
      </c>
      <c r="D2558" s="78" t="s">
        <v>353</v>
      </c>
      <c r="E2558" s="166"/>
      <c r="F2558" s="167">
        <v>3280</v>
      </c>
      <c r="G2558" s="119"/>
      <c r="H2558" s="78"/>
      <c r="I2558" s="78" t="s">
        <v>82</v>
      </c>
      <c r="J2558" s="78"/>
      <c r="K2558" s="78">
        <v>2500</v>
      </c>
    </row>
    <row r="2559" spans="3:11" x14ac:dyDescent="0.25">
      <c r="C2559" s="117">
        <v>46156</v>
      </c>
      <c r="D2559" s="78" t="s">
        <v>471</v>
      </c>
      <c r="E2559" s="166"/>
      <c r="F2559" s="167">
        <v>3902</v>
      </c>
      <c r="G2559" s="78"/>
      <c r="H2559" s="78"/>
      <c r="I2559" s="78"/>
      <c r="J2559" s="78"/>
      <c r="K2559" s="119"/>
    </row>
    <row r="2560" spans="3:11" ht="18.75" x14ac:dyDescent="0.3">
      <c r="C2560" s="117">
        <v>46156</v>
      </c>
      <c r="D2560" s="78" t="s">
        <v>148</v>
      </c>
      <c r="E2560" s="166"/>
      <c r="F2560" s="167">
        <v>5785</v>
      </c>
      <c r="G2560" s="78"/>
      <c r="H2560" s="78"/>
      <c r="I2560" s="126" t="s">
        <v>226</v>
      </c>
      <c r="J2560" s="126"/>
      <c r="K2560" s="127">
        <f>SUM(K2553:K2558)</f>
        <v>210180</v>
      </c>
    </row>
    <row r="2561" spans="3:11" x14ac:dyDescent="0.25">
      <c r="C2561" s="117">
        <v>46161</v>
      </c>
      <c r="D2561" s="78" t="s">
        <v>995</v>
      </c>
      <c r="E2561" s="166"/>
      <c r="F2561" s="167">
        <v>15202.82</v>
      </c>
      <c r="G2561" s="78"/>
      <c r="J2561" s="121"/>
    </row>
    <row r="2562" spans="3:11" x14ac:dyDescent="0.25">
      <c r="C2562" s="295"/>
      <c r="D2562" s="296" t="s">
        <v>1093</v>
      </c>
      <c r="E2562" s="293"/>
      <c r="F2562" s="285">
        <v>1050</v>
      </c>
      <c r="G2562" s="78"/>
    </row>
    <row r="2563" spans="3:11" ht="15.75" x14ac:dyDescent="0.25">
      <c r="C2563" s="257">
        <v>46179</v>
      </c>
      <c r="D2563" s="258" t="s">
        <v>923</v>
      </c>
      <c r="E2563" s="214"/>
      <c r="F2563" s="219">
        <v>3400</v>
      </c>
      <c r="G2563" s="78"/>
      <c r="H2563" s="316" t="s">
        <v>227</v>
      </c>
      <c r="I2563" s="317"/>
      <c r="J2563" s="140">
        <f>F2577-K2560</f>
        <v>92124.44</v>
      </c>
    </row>
    <row r="2564" spans="3:11" ht="15.75" x14ac:dyDescent="0.25">
      <c r="C2564" s="257"/>
      <c r="D2564" s="258" t="s">
        <v>422</v>
      </c>
      <c r="E2564" s="214"/>
      <c r="F2564" s="219">
        <v>2610</v>
      </c>
      <c r="J2564" s="89"/>
    </row>
    <row r="2565" spans="3:11" ht="15.75" x14ac:dyDescent="0.25">
      <c r="C2565" s="257"/>
      <c r="D2565" s="294" t="s">
        <v>1290</v>
      </c>
      <c r="E2565" s="293"/>
      <c r="F2565" s="285">
        <v>1100</v>
      </c>
      <c r="H2565" s="128" t="s">
        <v>285</v>
      </c>
      <c r="J2565" s="124">
        <f>E2592</f>
        <v>33401.42</v>
      </c>
    </row>
    <row r="2566" spans="3:11" x14ac:dyDescent="0.25">
      <c r="C2566" s="257"/>
      <c r="D2566" s="258" t="s">
        <v>1063</v>
      </c>
      <c r="E2566" s="214"/>
      <c r="F2566" s="219">
        <v>1180</v>
      </c>
    </row>
    <row r="2567" spans="3:11" x14ac:dyDescent="0.25">
      <c r="C2567" s="257"/>
      <c r="D2567" s="258" t="s">
        <v>1303</v>
      </c>
      <c r="E2567" s="214"/>
      <c r="F2567" s="219">
        <v>5000</v>
      </c>
    </row>
    <row r="2568" spans="3:11" x14ac:dyDescent="0.25">
      <c r="C2568" s="257"/>
      <c r="D2568" s="258" t="s">
        <v>1303</v>
      </c>
      <c r="E2568" s="214" t="s">
        <v>825</v>
      </c>
      <c r="F2568" s="219">
        <v>69000</v>
      </c>
    </row>
    <row r="2569" spans="3:11" x14ac:dyDescent="0.25">
      <c r="C2569" s="257"/>
      <c r="D2569" s="258" t="s">
        <v>1331</v>
      </c>
      <c r="E2569" s="214"/>
      <c r="F2569" s="219">
        <v>20</v>
      </c>
    </row>
    <row r="2570" spans="3:11" x14ac:dyDescent="0.25">
      <c r="C2570" s="266">
        <v>46175</v>
      </c>
      <c r="D2570" s="267" t="s">
        <v>1059</v>
      </c>
      <c r="E2570" s="268" t="s">
        <v>1116</v>
      </c>
      <c r="F2570" s="265">
        <v>1473.68</v>
      </c>
    </row>
    <row r="2571" spans="3:11" ht="21" x14ac:dyDescent="0.35">
      <c r="C2571" s="117"/>
      <c r="D2571" s="78"/>
      <c r="E2571" s="166"/>
      <c r="F2571" s="167"/>
      <c r="I2571" s="198" t="s">
        <v>286</v>
      </c>
      <c r="J2571" s="137">
        <f>SUM(J2563:J2565)</f>
        <v>125525.86</v>
      </c>
    </row>
    <row r="2572" spans="3:11" x14ac:dyDescent="0.25">
      <c r="C2572" s="78"/>
      <c r="D2572" s="78"/>
      <c r="E2572" s="78"/>
      <c r="F2572" s="122">
        <f>SUM(F2553:F2570)</f>
        <v>249451.3</v>
      </c>
      <c r="J2572" s="157">
        <v>124818.11</v>
      </c>
      <c r="K2572" s="39" t="s">
        <v>76</v>
      </c>
    </row>
    <row r="2573" spans="3:11" x14ac:dyDescent="0.25">
      <c r="F2573" s="157"/>
    </row>
    <row r="2574" spans="3:11" ht="18.75" x14ac:dyDescent="0.3">
      <c r="E2574" s="101" t="s">
        <v>224</v>
      </c>
      <c r="F2574" s="101">
        <v>52853.14</v>
      </c>
      <c r="G2574" s="121"/>
      <c r="J2574" s="264">
        <f>J2571-J2572</f>
        <v>707.75</v>
      </c>
    </row>
    <row r="2575" spans="3:11" x14ac:dyDescent="0.25">
      <c r="C2575" s="121"/>
    </row>
    <row r="2577" spans="3:6" ht="18.75" x14ac:dyDescent="0.3">
      <c r="C2577" s="121"/>
      <c r="E2577" s="99" t="s">
        <v>225</v>
      </c>
      <c r="F2577" s="125">
        <f>SUM(F2572+F2574)</f>
        <v>302304.44</v>
      </c>
    </row>
    <row r="2578" spans="3:6" x14ac:dyDescent="0.25">
      <c r="C2578" s="121"/>
    </row>
    <row r="2579" spans="3:6" x14ac:dyDescent="0.25">
      <c r="C2579" s="121"/>
    </row>
    <row r="2581" spans="3:6" x14ac:dyDescent="0.25">
      <c r="C2581" s="91"/>
    </row>
    <row r="2583" spans="3:6" ht="15.75" x14ac:dyDescent="0.25">
      <c r="D2583" s="132" t="s">
        <v>235</v>
      </c>
      <c r="E2583" s="133">
        <v>49663.62</v>
      </c>
    </row>
    <row r="2584" spans="3:6" ht="15.75" x14ac:dyDescent="0.25">
      <c r="D2584" s="148"/>
      <c r="E2584" s="144"/>
    </row>
    <row r="2585" spans="3:6" ht="15.75" x14ac:dyDescent="0.25">
      <c r="D2585" s="128" t="s">
        <v>1374</v>
      </c>
      <c r="E2585" s="171">
        <v>-1500</v>
      </c>
    </row>
    <row r="2586" spans="3:6" ht="15.75" x14ac:dyDescent="0.25">
      <c r="C2586" s="91"/>
      <c r="D2586" s="148" t="s">
        <v>1378</v>
      </c>
      <c r="E2586" s="144">
        <v>-50</v>
      </c>
    </row>
    <row r="2587" spans="3:6" ht="15.75" x14ac:dyDescent="0.25">
      <c r="C2587" s="91"/>
      <c r="D2587" s="199" t="s">
        <v>357</v>
      </c>
      <c r="E2587" s="200">
        <v>3084</v>
      </c>
    </row>
    <row r="2588" spans="3:6" ht="15.75" x14ac:dyDescent="0.25">
      <c r="C2588" s="91"/>
      <c r="D2588" s="199" t="s">
        <v>1379</v>
      </c>
      <c r="E2588" s="200">
        <v>-17796.2</v>
      </c>
    </row>
    <row r="2589" spans="3:6" ht="15.75" x14ac:dyDescent="0.25">
      <c r="C2589" s="91"/>
      <c r="D2589" s="199"/>
      <c r="E2589" s="200"/>
    </row>
    <row r="2590" spans="3:6" ht="15.75" x14ac:dyDescent="0.25">
      <c r="C2590" s="91"/>
      <c r="D2590" s="128"/>
      <c r="E2590" s="171"/>
    </row>
    <row r="2591" spans="3:6" x14ac:dyDescent="0.25">
      <c r="C2591" s="91"/>
      <c r="E2591" s="121"/>
    </row>
    <row r="2592" spans="3:6" ht="15.75" x14ac:dyDescent="0.25">
      <c r="D2592" s="132" t="s">
        <v>236</v>
      </c>
      <c r="E2592" s="133">
        <f>SUM(E2583:E2591)</f>
        <v>33401.42</v>
      </c>
    </row>
    <row r="2595" spans="4:10" x14ac:dyDescent="0.25">
      <c r="E2595">
        <v>-11.9</v>
      </c>
    </row>
    <row r="2597" spans="4:10" x14ac:dyDescent="0.25">
      <c r="D2597" s="39"/>
      <c r="E2597" s="157">
        <f>SUM(E2592:E2596)</f>
        <v>33389.519999999997</v>
      </c>
    </row>
    <row r="2598" spans="4:10" x14ac:dyDescent="0.25">
      <c r="D2598" s="39"/>
      <c r="E2598" s="157"/>
      <c r="J2598" s="121"/>
    </row>
    <row r="2599" spans="4:10" x14ac:dyDescent="0.25">
      <c r="J2599" s="121"/>
    </row>
    <row r="2601" spans="4:10" ht="18.75" x14ac:dyDescent="0.3">
      <c r="D2601" s="333" t="s">
        <v>1125</v>
      </c>
      <c r="E2601" s="333"/>
    </row>
    <row r="2602" spans="4:10" ht="15.75" x14ac:dyDescent="0.25">
      <c r="D2602" s="166" t="s">
        <v>429</v>
      </c>
      <c r="E2602" s="140">
        <v>113178.05</v>
      </c>
    </row>
    <row r="2603" spans="4:10" x14ac:dyDescent="0.25">
      <c r="D2603" s="78" t="s">
        <v>1377</v>
      </c>
      <c r="E2603" s="188">
        <v>-3280</v>
      </c>
    </row>
    <row r="2604" spans="4:10" x14ac:dyDescent="0.25">
      <c r="D2604" s="78"/>
      <c r="E2604" s="188">
        <v>-0.25</v>
      </c>
    </row>
    <row r="2605" spans="4:10" x14ac:dyDescent="0.25">
      <c r="D2605" s="78"/>
      <c r="E2605" s="78"/>
    </row>
    <row r="2606" spans="4:10" x14ac:dyDescent="0.25">
      <c r="D2606" s="78"/>
      <c r="E2606" s="78"/>
    </row>
    <row r="2607" spans="4:10" ht="15.75" x14ac:dyDescent="0.25">
      <c r="D2607" s="78" t="s">
        <v>596</v>
      </c>
      <c r="E2607" s="189">
        <f>SUM(E2602:E2606)</f>
        <v>109897.8</v>
      </c>
    </row>
    <row r="2609" spans="3:11" x14ac:dyDescent="0.25">
      <c r="D2609" t="s">
        <v>361</v>
      </c>
      <c r="E2609" s="121">
        <v>1342</v>
      </c>
    </row>
    <row r="2613" spans="3:11" ht="18.75" x14ac:dyDescent="0.3">
      <c r="E2613" s="280">
        <f>SUM(E2607:E2610)</f>
        <v>111239.8</v>
      </c>
    </row>
    <row r="2621" spans="3:11" ht="18.75" x14ac:dyDescent="0.3">
      <c r="C2621" s="314" t="s">
        <v>1380</v>
      </c>
      <c r="D2621" s="315"/>
      <c r="E2621" s="315"/>
      <c r="F2621" s="315"/>
      <c r="G2621" s="315"/>
      <c r="H2621" s="315"/>
      <c r="I2621" s="315"/>
      <c r="J2621" s="315"/>
      <c r="K2621" s="315"/>
    </row>
    <row r="2622" spans="3:11" x14ac:dyDescent="0.25">
      <c r="C2622" s="78"/>
      <c r="D2622" s="78"/>
      <c r="E2622" s="78"/>
      <c r="F2622" s="78"/>
      <c r="G2622" s="78"/>
      <c r="H2622" s="78"/>
      <c r="I2622" s="78"/>
      <c r="J2622" s="78"/>
      <c r="K2622" s="78"/>
    </row>
    <row r="2623" spans="3:11" ht="15.75" x14ac:dyDescent="0.25">
      <c r="C2623" s="118" t="s">
        <v>223</v>
      </c>
      <c r="D2623" s="118" t="s">
        <v>206</v>
      </c>
      <c r="E2623" s="118" t="s">
        <v>207</v>
      </c>
      <c r="F2623" s="118" t="s">
        <v>218</v>
      </c>
      <c r="G2623" s="78"/>
      <c r="H2623" s="120" t="s">
        <v>6</v>
      </c>
      <c r="I2623" s="120" t="s">
        <v>217</v>
      </c>
      <c r="J2623" s="120" t="s">
        <v>207</v>
      </c>
      <c r="K2623" s="120" t="s">
        <v>218</v>
      </c>
    </row>
    <row r="2624" spans="3:11" x14ac:dyDescent="0.25">
      <c r="C2624" s="276">
        <v>46200</v>
      </c>
      <c r="D2624" s="247" t="s">
        <v>1365</v>
      </c>
      <c r="E2624" s="118"/>
      <c r="F2624" s="248">
        <v>11400</v>
      </c>
      <c r="G2624" s="78"/>
      <c r="H2624" s="117">
        <v>46200</v>
      </c>
      <c r="I2624" s="78" t="s">
        <v>1367</v>
      </c>
      <c r="J2624" s="78"/>
      <c r="K2624" s="119">
        <v>5000</v>
      </c>
    </row>
    <row r="2625" spans="3:11" x14ac:dyDescent="0.25">
      <c r="C2625" s="276">
        <v>46178</v>
      </c>
      <c r="D2625" s="247" t="s">
        <v>1151</v>
      </c>
      <c r="E2625" s="118" t="s">
        <v>1361</v>
      </c>
      <c r="F2625" s="248">
        <v>8850</v>
      </c>
      <c r="G2625" s="78"/>
      <c r="H2625" s="117">
        <v>46037</v>
      </c>
      <c r="I2625" s="149" t="s">
        <v>66</v>
      </c>
      <c r="J2625" s="78" t="s">
        <v>222</v>
      </c>
      <c r="K2625" s="119">
        <v>2120</v>
      </c>
    </row>
    <row r="2626" spans="3:11" ht="15.75" x14ac:dyDescent="0.25">
      <c r="C2626" s="276">
        <v>46178</v>
      </c>
      <c r="D2626" s="247" t="s">
        <v>1152</v>
      </c>
      <c r="E2626" s="118" t="s">
        <v>1217</v>
      </c>
      <c r="F2626" s="248">
        <v>3800</v>
      </c>
      <c r="G2626" s="78"/>
      <c r="H2626" s="184"/>
      <c r="I2626" s="78" t="s">
        <v>1084</v>
      </c>
      <c r="J2626" s="185"/>
      <c r="K2626" s="140">
        <v>179514.19</v>
      </c>
    </row>
    <row r="2627" spans="3:11" ht="15.75" x14ac:dyDescent="0.25">
      <c r="C2627" s="269">
        <v>46087</v>
      </c>
      <c r="D2627" s="270" t="s">
        <v>214</v>
      </c>
      <c r="E2627" s="270" t="s">
        <v>211</v>
      </c>
      <c r="F2627" s="271">
        <v>2500</v>
      </c>
      <c r="G2627" s="78"/>
      <c r="H2627" s="184"/>
      <c r="I2627" s="78" t="s">
        <v>281</v>
      </c>
      <c r="J2627" s="185"/>
      <c r="K2627" s="140">
        <v>13645</v>
      </c>
    </row>
    <row r="2628" spans="3:11" ht="15.75" x14ac:dyDescent="0.25">
      <c r="C2628" s="78"/>
      <c r="D2628" s="201" t="s">
        <v>429</v>
      </c>
      <c r="E2628" s="201"/>
      <c r="F2628" s="183">
        <v>97641.44</v>
      </c>
      <c r="G2628" s="119"/>
      <c r="H2628" s="117"/>
      <c r="I2628" s="78" t="s">
        <v>1329</v>
      </c>
      <c r="J2628" s="78"/>
      <c r="K2628" s="119">
        <v>300</v>
      </c>
    </row>
    <row r="2629" spans="3:11" x14ac:dyDescent="0.25">
      <c r="C2629" s="117">
        <v>46156</v>
      </c>
      <c r="D2629" s="78" t="s">
        <v>353</v>
      </c>
      <c r="E2629" s="166"/>
      <c r="F2629" s="167">
        <v>3280</v>
      </c>
      <c r="G2629" s="119"/>
      <c r="H2629" s="78"/>
      <c r="I2629" s="78" t="s">
        <v>82</v>
      </c>
      <c r="J2629" s="78"/>
      <c r="K2629" s="78">
        <v>5000</v>
      </c>
    </row>
    <row r="2630" spans="3:11" x14ac:dyDescent="0.25">
      <c r="C2630" s="117">
        <v>46156</v>
      </c>
      <c r="D2630" s="78" t="s">
        <v>471</v>
      </c>
      <c r="E2630" s="166"/>
      <c r="F2630" s="167">
        <v>3902</v>
      </c>
      <c r="G2630" s="78"/>
      <c r="H2630" s="78"/>
      <c r="I2630" s="78"/>
      <c r="J2630" s="78"/>
      <c r="K2630" s="119"/>
    </row>
    <row r="2631" spans="3:11" ht="18.75" x14ac:dyDescent="0.3">
      <c r="C2631" s="117">
        <v>46156</v>
      </c>
      <c r="D2631" s="78" t="s">
        <v>148</v>
      </c>
      <c r="E2631" s="166"/>
      <c r="F2631" s="167">
        <v>5785</v>
      </c>
      <c r="G2631" s="78"/>
      <c r="H2631" s="78"/>
      <c r="I2631" s="126" t="s">
        <v>226</v>
      </c>
      <c r="J2631" s="126"/>
      <c r="K2631" s="127">
        <f>SUM(K2624:K2629)</f>
        <v>205579.19</v>
      </c>
    </row>
    <row r="2632" spans="3:11" x14ac:dyDescent="0.25">
      <c r="C2632" s="117">
        <v>46161</v>
      </c>
      <c r="D2632" s="78" t="s">
        <v>995</v>
      </c>
      <c r="E2632" s="166"/>
      <c r="F2632" s="167">
        <v>13702.82</v>
      </c>
      <c r="G2632" s="78"/>
      <c r="J2632" s="121"/>
    </row>
    <row r="2633" spans="3:11" x14ac:dyDescent="0.25">
      <c r="C2633" s="295"/>
      <c r="D2633" s="296" t="s">
        <v>1093</v>
      </c>
      <c r="E2633" s="293"/>
      <c r="F2633" s="285">
        <v>1050</v>
      </c>
      <c r="G2633" s="78"/>
    </row>
    <row r="2634" spans="3:11" ht="15.75" x14ac:dyDescent="0.25">
      <c r="C2634" s="257">
        <v>46179</v>
      </c>
      <c r="D2634" s="258" t="s">
        <v>923</v>
      </c>
      <c r="E2634" s="214"/>
      <c r="F2634" s="219">
        <v>3400</v>
      </c>
      <c r="G2634" s="78"/>
      <c r="H2634" s="316" t="s">
        <v>227</v>
      </c>
      <c r="I2634" s="317"/>
      <c r="J2634" s="140">
        <f>F2648-K2631</f>
        <v>82159.640000000014</v>
      </c>
    </row>
    <row r="2635" spans="3:11" ht="15.75" x14ac:dyDescent="0.25">
      <c r="C2635" s="257"/>
      <c r="D2635" s="258" t="s">
        <v>422</v>
      </c>
      <c r="E2635" s="214"/>
      <c r="F2635" s="219">
        <v>2610</v>
      </c>
      <c r="J2635" s="89"/>
    </row>
    <row r="2636" spans="3:11" ht="15.75" x14ac:dyDescent="0.25">
      <c r="C2636" s="257"/>
      <c r="D2636" s="294" t="s">
        <v>1290</v>
      </c>
      <c r="E2636" s="293"/>
      <c r="F2636" s="285">
        <v>1100</v>
      </c>
      <c r="H2636" s="128" t="s">
        <v>285</v>
      </c>
      <c r="J2636" s="124">
        <f>E2670</f>
        <v>44864.979999999996</v>
      </c>
    </row>
    <row r="2637" spans="3:11" x14ac:dyDescent="0.25">
      <c r="C2637" s="257"/>
      <c r="D2637" s="258" t="s">
        <v>1063</v>
      </c>
      <c r="E2637" s="214"/>
      <c r="F2637" s="219">
        <v>1180</v>
      </c>
    </row>
    <row r="2638" spans="3:11" x14ac:dyDescent="0.25">
      <c r="C2638" s="257"/>
      <c r="D2638" s="258" t="s">
        <v>519</v>
      </c>
      <c r="E2638" s="214" t="s">
        <v>1389</v>
      </c>
      <c r="F2638" s="219">
        <v>390</v>
      </c>
    </row>
    <row r="2639" spans="3:11" x14ac:dyDescent="0.25">
      <c r="C2639" s="257"/>
      <c r="D2639" s="258" t="s">
        <v>1303</v>
      </c>
      <c r="E2639" s="214"/>
      <c r="F2639" s="219">
        <v>5000</v>
      </c>
    </row>
    <row r="2640" spans="3:11" x14ac:dyDescent="0.25">
      <c r="C2640" s="257"/>
      <c r="D2640" s="258" t="s">
        <v>1303</v>
      </c>
      <c r="E2640" s="214" t="s">
        <v>825</v>
      </c>
      <c r="F2640" s="219">
        <v>69000</v>
      </c>
    </row>
    <row r="2641" spans="3:16" x14ac:dyDescent="0.25">
      <c r="C2641" s="266">
        <v>46175</v>
      </c>
      <c r="D2641" s="267" t="s">
        <v>1059</v>
      </c>
      <c r="E2641" s="268" t="s">
        <v>1116</v>
      </c>
      <c r="F2641" s="265">
        <v>1473.68</v>
      </c>
    </row>
    <row r="2642" spans="3:16" ht="21" x14ac:dyDescent="0.35">
      <c r="C2642" s="117"/>
      <c r="D2642" s="78"/>
      <c r="E2642" s="166"/>
      <c r="F2642" s="167"/>
      <c r="I2642" s="198" t="s">
        <v>286</v>
      </c>
      <c r="J2642" s="137">
        <f>SUM(J2634:J2636)</f>
        <v>127024.62000000001</v>
      </c>
    </row>
    <row r="2643" spans="3:16" x14ac:dyDescent="0.25">
      <c r="C2643" s="78"/>
      <c r="D2643" s="78"/>
      <c r="E2643" s="78"/>
      <c r="F2643" s="122">
        <f>SUM(F2624:F2641)</f>
        <v>236064.94</v>
      </c>
      <c r="J2643" s="157">
        <v>125525.86</v>
      </c>
      <c r="K2643" s="39" t="s">
        <v>76</v>
      </c>
    </row>
    <row r="2644" spans="3:16" x14ac:dyDescent="0.25">
      <c r="F2644" s="157"/>
    </row>
    <row r="2645" spans="3:16" ht="18.75" x14ac:dyDescent="0.3">
      <c r="E2645" s="101" t="s">
        <v>224</v>
      </c>
      <c r="F2645" s="101">
        <v>51673.89</v>
      </c>
      <c r="G2645" s="121"/>
      <c r="J2645" s="264">
        <f>J2642-J2643</f>
        <v>1498.7600000000093</v>
      </c>
    </row>
    <row r="2646" spans="3:16" x14ac:dyDescent="0.25">
      <c r="C2646" s="121"/>
    </row>
    <row r="2648" spans="3:16" ht="18.75" x14ac:dyDescent="0.3">
      <c r="C2648" s="121"/>
      <c r="E2648" s="99" t="s">
        <v>225</v>
      </c>
      <c r="F2648" s="125">
        <f>SUM(F2643+F2645)</f>
        <v>287738.83</v>
      </c>
    </row>
    <row r="2649" spans="3:16" x14ac:dyDescent="0.25">
      <c r="C2649" s="121"/>
    </row>
    <row r="2650" spans="3:16" x14ac:dyDescent="0.25">
      <c r="C2650" s="121"/>
    </row>
    <row r="2652" spans="3:16" x14ac:dyDescent="0.25">
      <c r="C2652" s="91"/>
    </row>
    <row r="2654" spans="3:16" ht="15.75" x14ac:dyDescent="0.25">
      <c r="D2654" s="132" t="s">
        <v>235</v>
      </c>
      <c r="E2654" s="133">
        <v>49663.62</v>
      </c>
    </row>
    <row r="2655" spans="3:16" ht="15.75" x14ac:dyDescent="0.25">
      <c r="D2655" s="148"/>
      <c r="E2655" s="144"/>
    </row>
    <row r="2656" spans="3:16" ht="15.75" x14ac:dyDescent="0.25">
      <c r="D2656" s="128" t="s">
        <v>1374</v>
      </c>
      <c r="E2656" s="171">
        <v>-1500</v>
      </c>
      <c r="O2656" s="338" t="s">
        <v>1395</v>
      </c>
      <c r="P2656" s="338"/>
    </row>
    <row r="2657" spans="3:16" ht="15.75" x14ac:dyDescent="0.25">
      <c r="C2657" s="91"/>
      <c r="D2657" s="148" t="s">
        <v>1378</v>
      </c>
      <c r="E2657" s="144">
        <v>-50</v>
      </c>
      <c r="O2657" t="s">
        <v>1396</v>
      </c>
      <c r="P2657">
        <v>3080.46</v>
      </c>
    </row>
    <row r="2658" spans="3:16" ht="15.75" x14ac:dyDescent="0.25">
      <c r="C2658" s="91"/>
      <c r="D2658" s="199" t="s">
        <v>357</v>
      </c>
      <c r="E2658" s="200">
        <v>3084</v>
      </c>
    </row>
    <row r="2659" spans="3:16" ht="15.75" x14ac:dyDescent="0.25">
      <c r="C2659" s="91"/>
      <c r="D2659" s="199" t="s">
        <v>1379</v>
      </c>
      <c r="E2659" s="200">
        <v>-17796.2</v>
      </c>
    </row>
    <row r="2660" spans="3:16" ht="15.75" x14ac:dyDescent="0.25">
      <c r="C2660" s="91">
        <v>46203</v>
      </c>
      <c r="D2660" s="199" t="s">
        <v>1387</v>
      </c>
      <c r="E2660" s="200">
        <v>320</v>
      </c>
    </row>
    <row r="2661" spans="3:16" ht="15.75" x14ac:dyDescent="0.25">
      <c r="C2661" s="91"/>
      <c r="D2661" s="199" t="s">
        <v>1388</v>
      </c>
      <c r="E2661" s="200">
        <v>1290</v>
      </c>
    </row>
    <row r="2662" spans="3:16" ht="15.75" x14ac:dyDescent="0.25">
      <c r="C2662" s="91"/>
      <c r="D2662" s="148" t="s">
        <v>525</v>
      </c>
      <c r="E2662" s="144">
        <v>-20</v>
      </c>
    </row>
    <row r="2663" spans="3:16" ht="15.75" x14ac:dyDescent="0.25">
      <c r="D2663" s="199" t="s">
        <v>357</v>
      </c>
      <c r="E2663" s="200">
        <v>5243.56</v>
      </c>
    </row>
    <row r="2664" spans="3:16" ht="15.75" x14ac:dyDescent="0.25">
      <c r="D2664" s="199" t="s">
        <v>1392</v>
      </c>
      <c r="E2664" s="200">
        <v>20</v>
      </c>
    </row>
    <row r="2665" spans="3:16" ht="15.75" x14ac:dyDescent="0.25">
      <c r="D2665" s="199" t="s">
        <v>1393</v>
      </c>
      <c r="E2665" s="200">
        <v>1500</v>
      </c>
    </row>
    <row r="2666" spans="3:16" ht="15.75" x14ac:dyDescent="0.25">
      <c r="D2666" s="199" t="s">
        <v>1224</v>
      </c>
      <c r="E2666" s="200">
        <v>3150</v>
      </c>
    </row>
    <row r="2667" spans="3:16" ht="15.75" x14ac:dyDescent="0.25">
      <c r="D2667" s="199" t="s">
        <v>1394</v>
      </c>
      <c r="E2667" s="200">
        <v>-40</v>
      </c>
    </row>
    <row r="2668" spans="3:16" ht="15.75" x14ac:dyDescent="0.25">
      <c r="D2668" s="128"/>
      <c r="E2668" s="171"/>
      <c r="J2668" s="121"/>
    </row>
    <row r="2669" spans="3:16" x14ac:dyDescent="0.25">
      <c r="E2669" s="121"/>
      <c r="J2669" s="121"/>
    </row>
    <row r="2670" spans="3:16" ht="15.75" x14ac:dyDescent="0.25">
      <c r="D2670" s="132" t="s">
        <v>236</v>
      </c>
      <c r="E2670" s="133">
        <f>SUM(E2654:E2669)</f>
        <v>44864.979999999996</v>
      </c>
    </row>
    <row r="2673" spans="4:5" x14ac:dyDescent="0.25">
      <c r="E2673">
        <v>-11.9</v>
      </c>
    </row>
    <row r="2675" spans="4:5" x14ac:dyDescent="0.25">
      <c r="D2675" s="39"/>
      <c r="E2675" s="157">
        <f>SUM(E2670:E2674)</f>
        <v>44853.079999999994</v>
      </c>
    </row>
    <row r="2676" spans="4:5" x14ac:dyDescent="0.25">
      <c r="D2676" s="39"/>
      <c r="E2676" s="157"/>
    </row>
    <row r="2679" spans="4:5" ht="18.75" x14ac:dyDescent="0.3">
      <c r="D2679" s="333" t="s">
        <v>1125</v>
      </c>
      <c r="E2679" s="333"/>
    </row>
    <row r="2680" spans="4:5" ht="15.75" x14ac:dyDescent="0.25">
      <c r="D2680" s="166" t="s">
        <v>429</v>
      </c>
      <c r="E2680" s="140">
        <v>113178.05</v>
      </c>
    </row>
    <row r="2681" spans="4:5" x14ac:dyDescent="0.25">
      <c r="D2681" s="78" t="s">
        <v>1377</v>
      </c>
      <c r="E2681" s="188">
        <v>-3280</v>
      </c>
    </row>
    <row r="2682" spans="4:5" x14ac:dyDescent="0.25">
      <c r="D2682" s="78" t="s">
        <v>535</v>
      </c>
      <c r="E2682" s="188">
        <v>-0.25</v>
      </c>
    </row>
    <row r="2683" spans="4:5" x14ac:dyDescent="0.25">
      <c r="D2683" s="78" t="s">
        <v>1386</v>
      </c>
      <c r="E2683" s="188">
        <v>-2750</v>
      </c>
    </row>
    <row r="2684" spans="4:5" x14ac:dyDescent="0.25">
      <c r="D2684" s="177" t="s">
        <v>1390</v>
      </c>
      <c r="E2684" s="188">
        <v>-9485.81</v>
      </c>
    </row>
    <row r="2685" spans="4:5" x14ac:dyDescent="0.25">
      <c r="D2685" s="188" t="s">
        <v>1391</v>
      </c>
      <c r="E2685" s="188">
        <v>-20</v>
      </c>
    </row>
    <row r="2686" spans="4:5" x14ac:dyDescent="0.25">
      <c r="D2686" s="188" t="s">
        <v>535</v>
      </c>
      <c r="E2686" s="188">
        <v>-0.55000000000000004</v>
      </c>
    </row>
    <row r="2687" spans="4:5" x14ac:dyDescent="0.25">
      <c r="D2687" s="78"/>
      <c r="E2687" s="78"/>
    </row>
    <row r="2688" spans="4:5" ht="15.75" x14ac:dyDescent="0.25">
      <c r="D2688" s="78" t="s">
        <v>596</v>
      </c>
      <c r="E2688" s="189">
        <f>SUM(E2680:E2687)</f>
        <v>97641.44</v>
      </c>
    </row>
    <row r="2690" spans="4:5" x14ac:dyDescent="0.25">
      <c r="D2690" t="s">
        <v>361</v>
      </c>
      <c r="E2690" s="121">
        <v>1342</v>
      </c>
    </row>
    <row r="2694" spans="4:5" ht="18.75" x14ac:dyDescent="0.3">
      <c r="E2694" s="280">
        <f>SUM(E2688:E2691)</f>
        <v>98983.44</v>
      </c>
    </row>
    <row r="2707" spans="3:11" ht="18.75" x14ac:dyDescent="0.3">
      <c r="C2707" s="314" t="s">
        <v>1397</v>
      </c>
      <c r="D2707" s="315"/>
      <c r="E2707" s="315"/>
      <c r="F2707" s="315"/>
      <c r="G2707" s="315"/>
      <c r="H2707" s="315"/>
      <c r="I2707" s="315"/>
      <c r="J2707" s="315"/>
      <c r="K2707" s="315"/>
    </row>
    <row r="2708" spans="3:11" x14ac:dyDescent="0.25">
      <c r="C2708" s="78"/>
      <c r="D2708" s="78"/>
      <c r="E2708" s="78"/>
      <c r="F2708" s="78"/>
      <c r="G2708" s="78"/>
      <c r="H2708" s="78"/>
      <c r="I2708" s="78"/>
      <c r="J2708" s="78"/>
      <c r="K2708" s="78"/>
    </row>
    <row r="2709" spans="3:11" ht="15.75" x14ac:dyDescent="0.25">
      <c r="C2709" s="118" t="s">
        <v>223</v>
      </c>
      <c r="D2709" s="118" t="s">
        <v>206</v>
      </c>
      <c r="E2709" s="118" t="s">
        <v>207</v>
      </c>
      <c r="F2709" s="118" t="s">
        <v>218</v>
      </c>
      <c r="G2709" s="78"/>
      <c r="H2709" s="120" t="s">
        <v>6</v>
      </c>
      <c r="I2709" s="120" t="s">
        <v>217</v>
      </c>
      <c r="J2709" s="120" t="s">
        <v>207</v>
      </c>
      <c r="K2709" s="120" t="s">
        <v>218</v>
      </c>
    </row>
    <row r="2710" spans="3:11" x14ac:dyDescent="0.25">
      <c r="C2710" s="276">
        <v>46200</v>
      </c>
      <c r="D2710" s="247" t="s">
        <v>1365</v>
      </c>
      <c r="E2710" s="118"/>
      <c r="F2710" s="248">
        <v>11400</v>
      </c>
      <c r="G2710" s="78"/>
      <c r="H2710" s="117">
        <v>46200</v>
      </c>
      <c r="I2710" s="78" t="s">
        <v>1367</v>
      </c>
      <c r="J2710" s="78"/>
      <c r="K2710" s="119">
        <v>5000</v>
      </c>
    </row>
    <row r="2711" spans="3:11" x14ac:dyDescent="0.25">
      <c r="C2711" s="276">
        <v>46178</v>
      </c>
      <c r="D2711" s="247" t="s">
        <v>1151</v>
      </c>
      <c r="E2711" s="118" t="s">
        <v>1361</v>
      </c>
      <c r="F2711" s="248">
        <v>8850</v>
      </c>
      <c r="G2711" s="78"/>
      <c r="H2711" s="117">
        <v>46037</v>
      </c>
      <c r="I2711" s="149" t="s">
        <v>66</v>
      </c>
      <c r="J2711" s="78" t="s">
        <v>222</v>
      </c>
      <c r="K2711" s="119">
        <v>2120</v>
      </c>
    </row>
    <row r="2712" spans="3:11" ht="15.75" x14ac:dyDescent="0.25">
      <c r="C2712" s="276">
        <v>46178</v>
      </c>
      <c r="D2712" s="247" t="s">
        <v>1152</v>
      </c>
      <c r="E2712" s="118" t="s">
        <v>1217</v>
      </c>
      <c r="F2712" s="248">
        <v>3800</v>
      </c>
      <c r="G2712" s="78"/>
      <c r="H2712" s="184"/>
      <c r="I2712" s="78" t="s">
        <v>1084</v>
      </c>
      <c r="J2712" s="185"/>
      <c r="K2712" s="140">
        <v>179514.19</v>
      </c>
    </row>
    <row r="2713" spans="3:11" ht="15.75" x14ac:dyDescent="0.25">
      <c r="C2713" s="269">
        <v>46087</v>
      </c>
      <c r="D2713" s="270" t="s">
        <v>214</v>
      </c>
      <c r="E2713" s="270" t="s">
        <v>211</v>
      </c>
      <c r="F2713" s="271">
        <v>2500</v>
      </c>
      <c r="G2713" s="78"/>
      <c r="H2713" s="184"/>
      <c r="I2713" s="78" t="s">
        <v>281</v>
      </c>
      <c r="J2713" s="185"/>
      <c r="K2713" s="140">
        <v>15895</v>
      </c>
    </row>
    <row r="2714" spans="3:11" ht="15.75" x14ac:dyDescent="0.25">
      <c r="C2714" s="78"/>
      <c r="D2714" s="201" t="s">
        <v>429</v>
      </c>
      <c r="E2714" s="201"/>
      <c r="F2714" s="183">
        <v>90137.13</v>
      </c>
      <c r="G2714" s="119"/>
      <c r="H2714" s="117"/>
      <c r="I2714" s="78" t="s">
        <v>1329</v>
      </c>
      <c r="J2714" s="78"/>
      <c r="K2714" s="119">
        <v>300</v>
      </c>
    </row>
    <row r="2715" spans="3:11" x14ac:dyDescent="0.25">
      <c r="C2715" s="117">
        <v>46156</v>
      </c>
      <c r="D2715" s="78" t="s">
        <v>353</v>
      </c>
      <c r="E2715" s="166"/>
      <c r="F2715" s="167">
        <v>3280</v>
      </c>
      <c r="G2715" s="119"/>
      <c r="H2715" s="78"/>
      <c r="I2715" s="78" t="s">
        <v>82</v>
      </c>
      <c r="J2715" s="78"/>
      <c r="K2715" s="78">
        <v>5000</v>
      </c>
    </row>
    <row r="2716" spans="3:11" x14ac:dyDescent="0.25">
      <c r="C2716" s="117">
        <v>46156</v>
      </c>
      <c r="D2716" s="78" t="s">
        <v>471</v>
      </c>
      <c r="E2716" s="166"/>
      <c r="F2716" s="167">
        <v>3902</v>
      </c>
      <c r="G2716" s="78"/>
      <c r="H2716" s="78"/>
      <c r="I2716" s="78"/>
      <c r="J2716" s="78"/>
      <c r="K2716" s="119"/>
    </row>
    <row r="2717" spans="3:11" ht="18.75" x14ac:dyDescent="0.3">
      <c r="C2717" s="117">
        <v>46156</v>
      </c>
      <c r="D2717" s="78" t="s">
        <v>148</v>
      </c>
      <c r="E2717" s="166"/>
      <c r="F2717" s="167">
        <v>5785</v>
      </c>
      <c r="G2717" s="78"/>
      <c r="H2717" s="78"/>
      <c r="I2717" s="126" t="s">
        <v>226</v>
      </c>
      <c r="J2717" s="126"/>
      <c r="K2717" s="127">
        <f>SUM(K2710:K2715)</f>
        <v>207829.19</v>
      </c>
    </row>
    <row r="2718" spans="3:11" x14ac:dyDescent="0.25">
      <c r="C2718" s="117">
        <v>46161</v>
      </c>
      <c r="D2718" s="78" t="s">
        <v>995</v>
      </c>
      <c r="E2718" s="166"/>
      <c r="F2718" s="167">
        <v>13702.82</v>
      </c>
      <c r="G2718" s="78"/>
      <c r="J2718" s="121"/>
    </row>
    <row r="2719" spans="3:11" x14ac:dyDescent="0.25">
      <c r="C2719" s="295"/>
      <c r="D2719" s="296" t="s">
        <v>1093</v>
      </c>
      <c r="E2719" s="293"/>
      <c r="F2719" s="285">
        <v>1050</v>
      </c>
      <c r="G2719" s="78"/>
    </row>
    <row r="2720" spans="3:11" ht="15.75" x14ac:dyDescent="0.25">
      <c r="C2720" s="257">
        <v>46179</v>
      </c>
      <c r="D2720" s="258" t="s">
        <v>923</v>
      </c>
      <c r="E2720" s="214"/>
      <c r="F2720" s="219">
        <v>3400</v>
      </c>
      <c r="G2720" s="78"/>
      <c r="H2720" s="316" t="s">
        <v>227</v>
      </c>
      <c r="I2720" s="317"/>
      <c r="J2720" s="140">
        <f>F2736-K2717</f>
        <v>83141.479999999981</v>
      </c>
    </row>
    <row r="2721" spans="3:11" ht="15.75" x14ac:dyDescent="0.25">
      <c r="C2721" s="257"/>
      <c r="D2721" s="258" t="s">
        <v>422</v>
      </c>
      <c r="E2721" s="214"/>
      <c r="F2721" s="219">
        <v>9747</v>
      </c>
      <c r="J2721" s="89"/>
    </row>
    <row r="2722" spans="3:11" ht="15.75" x14ac:dyDescent="0.25">
      <c r="C2722" s="257"/>
      <c r="D2722" s="294" t="s">
        <v>1290</v>
      </c>
      <c r="E2722" s="293"/>
      <c r="F2722" s="285">
        <v>1100</v>
      </c>
      <c r="H2722" s="128" t="s">
        <v>285</v>
      </c>
      <c r="J2722" s="124">
        <f>E2761</f>
        <v>49329.979999999996</v>
      </c>
    </row>
    <row r="2723" spans="3:11" x14ac:dyDescent="0.25">
      <c r="C2723" s="257"/>
      <c r="D2723" s="305" t="s">
        <v>1402</v>
      </c>
      <c r="E2723" s="293"/>
      <c r="F2723" s="285">
        <v>4419.8999999999996</v>
      </c>
    </row>
    <row r="2724" spans="3:11" x14ac:dyDescent="0.25">
      <c r="C2724" s="257"/>
      <c r="D2724" s="305" t="s">
        <v>1403</v>
      </c>
      <c r="E2724" s="293"/>
      <c r="F2724" s="285">
        <v>500.85</v>
      </c>
    </row>
    <row r="2725" spans="3:11" x14ac:dyDescent="0.25">
      <c r="C2725" s="257"/>
      <c r="D2725" s="258" t="s">
        <v>1063</v>
      </c>
      <c r="E2725" s="214"/>
      <c r="F2725" s="219">
        <v>1180</v>
      </c>
    </row>
    <row r="2726" spans="3:11" x14ac:dyDescent="0.25">
      <c r="C2726" s="257"/>
      <c r="D2726" s="258" t="s">
        <v>519</v>
      </c>
      <c r="E2726" s="214" t="s">
        <v>1389</v>
      </c>
      <c r="F2726" s="219">
        <v>390</v>
      </c>
    </row>
    <row r="2727" spans="3:11" x14ac:dyDescent="0.25">
      <c r="C2727" s="257"/>
      <c r="D2727" s="258" t="s">
        <v>1303</v>
      </c>
      <c r="E2727" s="214"/>
      <c r="F2727" s="219">
        <v>5000</v>
      </c>
    </row>
    <row r="2728" spans="3:11" ht="21" x14ac:dyDescent="0.35">
      <c r="C2728" s="257"/>
      <c r="D2728" s="258" t="s">
        <v>1303</v>
      </c>
      <c r="E2728" s="214" t="s">
        <v>825</v>
      </c>
      <c r="F2728" s="219">
        <v>69000</v>
      </c>
      <c r="I2728" s="198" t="s">
        <v>286</v>
      </c>
      <c r="J2728" s="137">
        <f>SUM(J2720:J2722)</f>
        <v>132471.45999999996</v>
      </c>
    </row>
    <row r="2729" spans="3:11" x14ac:dyDescent="0.25">
      <c r="C2729" s="266">
        <v>46175</v>
      </c>
      <c r="D2729" s="267" t="s">
        <v>1059</v>
      </c>
      <c r="E2729" s="268" t="s">
        <v>1116</v>
      </c>
      <c r="F2729" s="265">
        <v>1473.68</v>
      </c>
      <c r="J2729" s="157">
        <v>127024.62</v>
      </c>
      <c r="K2729" s="39" t="s">
        <v>76</v>
      </c>
    </row>
    <row r="2730" spans="3:11" x14ac:dyDescent="0.25">
      <c r="C2730" s="117"/>
      <c r="D2730" s="78"/>
      <c r="E2730" s="166"/>
      <c r="F2730" s="167"/>
    </row>
    <row r="2731" spans="3:11" ht="18.75" x14ac:dyDescent="0.3">
      <c r="C2731" s="78"/>
      <c r="D2731" s="78"/>
      <c r="E2731" s="78"/>
      <c r="F2731" s="122">
        <f>SUM(F2710:F2729)</f>
        <v>240618.38</v>
      </c>
      <c r="G2731" s="121"/>
      <c r="J2731" s="264">
        <f>J2728-J2729</f>
        <v>5446.8399999999674</v>
      </c>
    </row>
    <row r="2732" spans="3:11" x14ac:dyDescent="0.25">
      <c r="F2732" s="157"/>
    </row>
    <row r="2733" spans="3:11" x14ac:dyDescent="0.25">
      <c r="E2733" s="101" t="s">
        <v>224</v>
      </c>
      <c r="F2733" s="101">
        <v>50352.29</v>
      </c>
    </row>
    <row r="2734" spans="3:11" x14ac:dyDescent="0.25">
      <c r="C2734" s="121"/>
    </row>
    <row r="2736" spans="3:11" ht="18.75" x14ac:dyDescent="0.3">
      <c r="C2736" s="121"/>
      <c r="E2736" s="99" t="s">
        <v>225</v>
      </c>
      <c r="F2736" s="125">
        <f>SUM(F2731+F2733)</f>
        <v>290970.67</v>
      </c>
    </row>
    <row r="2737" spans="3:5" x14ac:dyDescent="0.25">
      <c r="C2737" s="121"/>
    </row>
    <row r="2738" spans="3:5" x14ac:dyDescent="0.25">
      <c r="C2738" s="121"/>
    </row>
    <row r="2740" spans="3:5" x14ac:dyDescent="0.25">
      <c r="C2740" s="91"/>
    </row>
    <row r="2742" spans="3:5" ht="15.75" x14ac:dyDescent="0.25">
      <c r="D2742" s="132" t="s">
        <v>235</v>
      </c>
      <c r="E2742" s="133">
        <v>49663.62</v>
      </c>
    </row>
    <row r="2743" spans="3:5" ht="15.75" x14ac:dyDescent="0.25">
      <c r="D2743" s="148"/>
      <c r="E2743" s="144"/>
    </row>
    <row r="2744" spans="3:5" ht="15.75" x14ac:dyDescent="0.25">
      <c r="D2744" s="128" t="s">
        <v>1374</v>
      </c>
      <c r="E2744" s="171">
        <v>-1500</v>
      </c>
    </row>
    <row r="2745" spans="3:5" ht="15.75" x14ac:dyDescent="0.25">
      <c r="C2745" s="91"/>
      <c r="D2745" s="148" t="s">
        <v>1378</v>
      </c>
      <c r="E2745" s="144">
        <v>-50</v>
      </c>
    </row>
    <row r="2746" spans="3:5" ht="15.75" x14ac:dyDescent="0.25">
      <c r="C2746" s="91"/>
      <c r="D2746" s="199" t="s">
        <v>357</v>
      </c>
      <c r="E2746" s="200">
        <v>3084</v>
      </c>
    </row>
    <row r="2747" spans="3:5" ht="15.75" x14ac:dyDescent="0.25">
      <c r="C2747" s="91"/>
      <c r="D2747" s="199" t="s">
        <v>1379</v>
      </c>
      <c r="E2747" s="200">
        <v>-17796.2</v>
      </c>
    </row>
    <row r="2748" spans="3:5" ht="15.75" x14ac:dyDescent="0.25">
      <c r="C2748" s="91">
        <v>46203</v>
      </c>
      <c r="D2748" s="199" t="s">
        <v>1387</v>
      </c>
      <c r="E2748" s="200">
        <v>320</v>
      </c>
    </row>
    <row r="2749" spans="3:5" ht="15.75" x14ac:dyDescent="0.25">
      <c r="C2749" s="91"/>
      <c r="D2749" s="199" t="s">
        <v>1388</v>
      </c>
      <c r="E2749" s="200">
        <v>1290</v>
      </c>
    </row>
    <row r="2750" spans="3:5" ht="15.75" x14ac:dyDescent="0.25">
      <c r="C2750" s="91"/>
      <c r="D2750" s="148" t="s">
        <v>525</v>
      </c>
      <c r="E2750" s="144">
        <v>-20</v>
      </c>
    </row>
    <row r="2751" spans="3:5" ht="15.75" x14ac:dyDescent="0.25">
      <c r="D2751" s="199" t="s">
        <v>357</v>
      </c>
      <c r="E2751" s="200">
        <v>5243.56</v>
      </c>
    </row>
    <row r="2752" spans="3:5" ht="15.75" x14ac:dyDescent="0.25">
      <c r="D2752" s="199" t="s">
        <v>1392</v>
      </c>
      <c r="E2752" s="200">
        <v>20</v>
      </c>
    </row>
    <row r="2753" spans="3:10" ht="15.75" x14ac:dyDescent="0.25">
      <c r="D2753" s="199" t="s">
        <v>1393</v>
      </c>
      <c r="E2753" s="200">
        <v>1500</v>
      </c>
    </row>
    <row r="2754" spans="3:10" ht="15.75" x14ac:dyDescent="0.25">
      <c r="D2754" s="199" t="s">
        <v>1224</v>
      </c>
      <c r="E2754" s="200">
        <v>3150</v>
      </c>
      <c r="J2754" s="121"/>
    </row>
    <row r="2755" spans="3:10" ht="15.75" x14ac:dyDescent="0.25">
      <c r="D2755" s="199" t="s">
        <v>1394</v>
      </c>
      <c r="E2755" s="200">
        <v>-40</v>
      </c>
      <c r="J2755" s="121"/>
    </row>
    <row r="2756" spans="3:10" ht="15.75" x14ac:dyDescent="0.25">
      <c r="C2756" s="91">
        <v>46204</v>
      </c>
      <c r="D2756" s="199" t="s">
        <v>357</v>
      </c>
      <c r="E2756" s="200">
        <v>4535</v>
      </c>
    </row>
    <row r="2757" spans="3:10" ht="15.75" x14ac:dyDescent="0.25">
      <c r="D2757" s="148" t="s">
        <v>1399</v>
      </c>
      <c r="E2757" s="144">
        <v>-50</v>
      </c>
    </row>
    <row r="2758" spans="3:10" ht="15.75" x14ac:dyDescent="0.25">
      <c r="D2758" s="199" t="s">
        <v>525</v>
      </c>
      <c r="E2758" s="200">
        <v>-20</v>
      </c>
    </row>
    <row r="2759" spans="3:10" ht="15.75" x14ac:dyDescent="0.25">
      <c r="D2759" s="128"/>
      <c r="E2759" s="171"/>
    </row>
    <row r="2760" spans="3:10" x14ac:dyDescent="0.25">
      <c r="E2760" s="121"/>
    </row>
    <row r="2761" spans="3:10" ht="15.75" x14ac:dyDescent="0.25">
      <c r="D2761" s="132" t="s">
        <v>236</v>
      </c>
      <c r="E2761" s="133">
        <f>SUM(E2742:E2760)</f>
        <v>49329.979999999996</v>
      </c>
    </row>
    <row r="2764" spans="3:10" x14ac:dyDescent="0.25">
      <c r="E2764">
        <v>-11.9</v>
      </c>
    </row>
    <row r="2766" spans="3:10" x14ac:dyDescent="0.25">
      <c r="D2766" s="39"/>
      <c r="E2766" s="157">
        <f>SUM(E2761:E2765)</f>
        <v>49318.079999999994</v>
      </c>
    </row>
    <row r="2767" spans="3:10" x14ac:dyDescent="0.25">
      <c r="D2767" s="39"/>
      <c r="E2767" s="157"/>
    </row>
    <row r="2770" spans="3:5" ht="18.75" x14ac:dyDescent="0.3">
      <c r="D2770" s="333" t="s">
        <v>1125</v>
      </c>
      <c r="E2770" s="333"/>
    </row>
    <row r="2771" spans="3:5" ht="15.75" x14ac:dyDescent="0.25">
      <c r="D2771" s="166" t="s">
        <v>429</v>
      </c>
      <c r="E2771" s="140">
        <v>113178.05</v>
      </c>
    </row>
    <row r="2772" spans="3:5" x14ac:dyDescent="0.25">
      <c r="D2772" s="78" t="s">
        <v>1377</v>
      </c>
      <c r="E2772" s="188">
        <v>-3280</v>
      </c>
    </row>
    <row r="2773" spans="3:5" x14ac:dyDescent="0.25">
      <c r="D2773" s="78" t="s">
        <v>535</v>
      </c>
      <c r="E2773" s="188">
        <v>-0.25</v>
      </c>
    </row>
    <row r="2774" spans="3:5" x14ac:dyDescent="0.25">
      <c r="D2774" s="78" t="s">
        <v>1386</v>
      </c>
      <c r="E2774" s="188">
        <v>-2750</v>
      </c>
    </row>
    <row r="2775" spans="3:5" x14ac:dyDescent="0.25">
      <c r="D2775" s="177" t="s">
        <v>1390</v>
      </c>
      <c r="E2775" s="188">
        <v>-9485.81</v>
      </c>
    </row>
    <row r="2776" spans="3:5" x14ac:dyDescent="0.25">
      <c r="D2776" s="188" t="s">
        <v>1391</v>
      </c>
      <c r="E2776" s="188">
        <v>-20</v>
      </c>
    </row>
    <row r="2777" spans="3:5" x14ac:dyDescent="0.25">
      <c r="D2777" s="188" t="s">
        <v>535</v>
      </c>
      <c r="E2777" s="188">
        <v>-0.55000000000000004</v>
      </c>
    </row>
    <row r="2778" spans="3:5" x14ac:dyDescent="0.25">
      <c r="C2778" s="91">
        <v>46204</v>
      </c>
      <c r="D2778" s="188" t="s">
        <v>1264</v>
      </c>
      <c r="E2778" s="188">
        <v>-384.91</v>
      </c>
    </row>
    <row r="2779" spans="3:5" x14ac:dyDescent="0.25">
      <c r="D2779" s="188" t="s">
        <v>1398</v>
      </c>
      <c r="E2779" s="188">
        <v>-7078.5</v>
      </c>
    </row>
    <row r="2780" spans="3:5" x14ac:dyDescent="0.25">
      <c r="D2780" s="188" t="s">
        <v>939</v>
      </c>
      <c r="E2780" s="188">
        <v>-35</v>
      </c>
    </row>
    <row r="2781" spans="3:5" x14ac:dyDescent="0.25">
      <c r="D2781" s="188" t="s">
        <v>1401</v>
      </c>
      <c r="E2781" s="188">
        <v>-5.5</v>
      </c>
    </row>
    <row r="2782" spans="3:5" x14ac:dyDescent="0.25">
      <c r="D2782" s="188" t="s">
        <v>535</v>
      </c>
      <c r="E2782" s="188">
        <v>-0.4</v>
      </c>
    </row>
    <row r="2783" spans="3:5" x14ac:dyDescent="0.25">
      <c r="D2783" s="78"/>
      <c r="E2783" s="78"/>
    </row>
    <row r="2784" spans="3:5" ht="15.75" x14ac:dyDescent="0.25">
      <c r="D2784" s="78" t="s">
        <v>596</v>
      </c>
      <c r="E2784" s="189">
        <f>SUM(E2771:E2783)</f>
        <v>90137.13</v>
      </c>
    </row>
    <row r="2786" spans="4:5" x14ac:dyDescent="0.25">
      <c r="D2786" t="s">
        <v>361</v>
      </c>
      <c r="E2786" s="121">
        <v>1342</v>
      </c>
    </row>
    <row r="2787" spans="4:5" x14ac:dyDescent="0.25">
      <c r="D2787" t="s">
        <v>1400</v>
      </c>
      <c r="E2787">
        <v>1200</v>
      </c>
    </row>
    <row r="2790" spans="4:5" ht="18.75" x14ac:dyDescent="0.3">
      <c r="E2790" s="280">
        <f>SUM(E2784:E2787)</f>
        <v>92679.13</v>
      </c>
    </row>
    <row r="2801" spans="3:11" ht="18.75" x14ac:dyDescent="0.3">
      <c r="C2801" s="314" t="s">
        <v>1404</v>
      </c>
      <c r="D2801" s="315"/>
      <c r="E2801" s="315"/>
      <c r="F2801" s="315"/>
      <c r="G2801" s="315"/>
      <c r="H2801" s="315"/>
      <c r="I2801" s="315"/>
      <c r="J2801" s="315"/>
      <c r="K2801" s="315"/>
    </row>
    <row r="2802" spans="3:11" x14ac:dyDescent="0.25">
      <c r="C2802" s="78"/>
      <c r="D2802" s="78"/>
      <c r="E2802" s="78"/>
      <c r="F2802" s="78"/>
      <c r="G2802" s="78"/>
      <c r="H2802" s="78"/>
      <c r="I2802" s="78"/>
      <c r="J2802" s="78"/>
      <c r="K2802" s="78"/>
    </row>
    <row r="2803" spans="3:11" ht="15.75" x14ac:dyDescent="0.25">
      <c r="C2803" s="118" t="s">
        <v>223</v>
      </c>
      <c r="D2803" s="118" t="s">
        <v>206</v>
      </c>
      <c r="E2803" s="118" t="s">
        <v>207</v>
      </c>
      <c r="F2803" s="118" t="s">
        <v>218</v>
      </c>
      <c r="G2803" s="78"/>
      <c r="H2803" s="120" t="s">
        <v>6</v>
      </c>
      <c r="I2803" s="120" t="s">
        <v>217</v>
      </c>
      <c r="J2803" s="120" t="s">
        <v>207</v>
      </c>
      <c r="K2803" s="120" t="s">
        <v>218</v>
      </c>
    </row>
    <row r="2804" spans="3:11" x14ac:dyDescent="0.25">
      <c r="C2804" s="276">
        <v>46200</v>
      </c>
      <c r="D2804" s="247" t="s">
        <v>1365</v>
      </c>
      <c r="E2804" s="118" t="s">
        <v>1409</v>
      </c>
      <c r="F2804" s="248">
        <v>9880</v>
      </c>
      <c r="G2804" s="78"/>
      <c r="H2804" s="117">
        <v>46200</v>
      </c>
      <c r="I2804" s="78" t="s">
        <v>1367</v>
      </c>
      <c r="J2804" s="78"/>
      <c r="K2804" s="119">
        <v>5000</v>
      </c>
    </row>
    <row r="2805" spans="3:11" x14ac:dyDescent="0.25">
      <c r="C2805" s="276">
        <v>46178</v>
      </c>
      <c r="D2805" s="247" t="s">
        <v>1151</v>
      </c>
      <c r="E2805" s="118" t="s">
        <v>1361</v>
      </c>
      <c r="F2805" s="248">
        <v>8850</v>
      </c>
      <c r="G2805" s="78"/>
      <c r="H2805" s="117">
        <v>46037</v>
      </c>
      <c r="I2805" s="149" t="s">
        <v>66</v>
      </c>
      <c r="J2805" s="78" t="s">
        <v>222</v>
      </c>
      <c r="K2805" s="119">
        <v>2120</v>
      </c>
    </row>
    <row r="2806" spans="3:11" ht="15.75" x14ac:dyDescent="0.25">
      <c r="C2806" s="276">
        <v>46178</v>
      </c>
      <c r="D2806" s="247" t="s">
        <v>1152</v>
      </c>
      <c r="E2806" s="118" t="s">
        <v>1406</v>
      </c>
      <c r="F2806" s="248">
        <v>380</v>
      </c>
      <c r="G2806" s="78"/>
      <c r="H2806" s="184"/>
      <c r="I2806" s="78" t="s">
        <v>1084</v>
      </c>
      <c r="J2806" s="185"/>
      <c r="K2806" s="140">
        <v>179514.19</v>
      </c>
    </row>
    <row r="2807" spans="3:11" ht="15.75" x14ac:dyDescent="0.25">
      <c r="C2807" s="269">
        <v>46087</v>
      </c>
      <c r="D2807" s="270" t="s">
        <v>214</v>
      </c>
      <c r="E2807" s="270" t="s">
        <v>211</v>
      </c>
      <c r="F2807" s="271">
        <v>2500</v>
      </c>
      <c r="G2807" s="78"/>
      <c r="H2807" s="184"/>
      <c r="I2807" s="303" t="s">
        <v>519</v>
      </c>
      <c r="J2807" s="307"/>
      <c r="K2807" s="304">
        <v>11158</v>
      </c>
    </row>
    <row r="2808" spans="3:11" ht="15.75" x14ac:dyDescent="0.25">
      <c r="C2808" s="78"/>
      <c r="D2808" s="201" t="s">
        <v>429</v>
      </c>
      <c r="E2808" s="201"/>
      <c r="F2808" s="183">
        <v>13961.04</v>
      </c>
      <c r="G2808" s="119"/>
      <c r="H2808" s="184"/>
      <c r="I2808" s="78" t="s">
        <v>281</v>
      </c>
      <c r="J2808" s="185"/>
      <c r="K2808" s="140">
        <v>18015</v>
      </c>
    </row>
    <row r="2809" spans="3:11" x14ac:dyDescent="0.25">
      <c r="C2809" s="117">
        <v>46156</v>
      </c>
      <c r="D2809" s="78" t="s">
        <v>353</v>
      </c>
      <c r="E2809" s="166"/>
      <c r="F2809" s="167">
        <v>3280</v>
      </c>
      <c r="G2809" s="119"/>
      <c r="H2809" s="117"/>
      <c r="I2809" s="78" t="s">
        <v>1329</v>
      </c>
      <c r="J2809" s="78"/>
      <c r="K2809" s="119">
        <v>300</v>
      </c>
    </row>
    <row r="2810" spans="3:11" x14ac:dyDescent="0.25">
      <c r="C2810" s="117">
        <v>46156</v>
      </c>
      <c r="D2810" s="78" t="s">
        <v>471</v>
      </c>
      <c r="E2810" s="166"/>
      <c r="F2810" s="167">
        <v>3902</v>
      </c>
      <c r="G2810" s="78"/>
      <c r="H2810" s="78"/>
      <c r="I2810" s="78" t="s">
        <v>82</v>
      </c>
      <c r="J2810" s="78"/>
      <c r="K2810" s="78">
        <v>5000</v>
      </c>
    </row>
    <row r="2811" spans="3:11" x14ac:dyDescent="0.25">
      <c r="C2811" s="117">
        <v>46156</v>
      </c>
      <c r="D2811" s="78" t="s">
        <v>148</v>
      </c>
      <c r="E2811" s="166"/>
      <c r="F2811" s="167">
        <v>5785</v>
      </c>
      <c r="G2811" s="78"/>
      <c r="H2811" s="78"/>
      <c r="I2811" s="294" t="s">
        <v>1290</v>
      </c>
      <c r="J2811" s="78"/>
      <c r="K2811" s="119">
        <v>900</v>
      </c>
    </row>
    <row r="2812" spans="3:11" ht="18.75" x14ac:dyDescent="0.3">
      <c r="C2812" s="117">
        <v>46161</v>
      </c>
      <c r="D2812" s="78" t="s">
        <v>995</v>
      </c>
      <c r="E2812" s="166"/>
      <c r="F2812" s="167">
        <v>13702.82</v>
      </c>
      <c r="G2812" s="78"/>
      <c r="H2812" s="78"/>
      <c r="I2812" s="126" t="s">
        <v>226</v>
      </c>
      <c r="J2812" s="126"/>
      <c r="K2812" s="127">
        <f>SUM(K2804:K2811)</f>
        <v>222007.19</v>
      </c>
    </row>
    <row r="2813" spans="3:11" x14ac:dyDescent="0.25">
      <c r="C2813" s="295"/>
      <c r="D2813" s="296" t="s">
        <v>1093</v>
      </c>
      <c r="E2813" s="293"/>
      <c r="F2813" s="285">
        <v>1050</v>
      </c>
      <c r="G2813" s="78"/>
      <c r="J2813" s="121"/>
    </row>
    <row r="2814" spans="3:11" x14ac:dyDescent="0.25">
      <c r="C2814" s="257"/>
      <c r="D2814" s="258" t="s">
        <v>422</v>
      </c>
      <c r="E2814" s="214"/>
      <c r="F2814" s="219">
        <v>9747</v>
      </c>
      <c r="G2814" s="78"/>
    </row>
    <row r="2815" spans="3:11" ht="15.75" x14ac:dyDescent="0.25">
      <c r="C2815" s="257"/>
      <c r="D2815" s="305" t="s">
        <v>1402</v>
      </c>
      <c r="E2815" s="293"/>
      <c r="F2815" s="285">
        <v>1459.9</v>
      </c>
      <c r="H2815" s="316" t="s">
        <v>227</v>
      </c>
      <c r="I2815" s="317"/>
      <c r="J2815" s="140">
        <f>F2828-K2812</f>
        <v>116746.09999999998</v>
      </c>
    </row>
    <row r="2816" spans="3:11" ht="15.75" x14ac:dyDescent="0.25">
      <c r="C2816" s="257"/>
      <c r="D2816" s="305" t="s">
        <v>1403</v>
      </c>
      <c r="E2816" s="293"/>
      <c r="F2816" s="285">
        <v>500.85</v>
      </c>
      <c r="J2816" s="89"/>
    </row>
    <row r="2817" spans="3:11" ht="15.75" x14ac:dyDescent="0.25">
      <c r="C2817" s="257"/>
      <c r="D2817" s="305" t="s">
        <v>1431</v>
      </c>
      <c r="E2817" s="293"/>
      <c r="F2817" s="285">
        <v>1233.9100000000001</v>
      </c>
      <c r="H2817" s="128" t="s">
        <v>285</v>
      </c>
      <c r="J2817" s="124">
        <f>E2861</f>
        <v>17826.979999999996</v>
      </c>
    </row>
    <row r="2818" spans="3:11" x14ac:dyDescent="0.25">
      <c r="C2818" s="257"/>
      <c r="D2818" s="258" t="s">
        <v>1063</v>
      </c>
      <c r="E2818" s="214"/>
      <c r="F2818" s="219">
        <v>1180</v>
      </c>
    </row>
    <row r="2819" spans="3:11" x14ac:dyDescent="0.25">
      <c r="C2819" s="257"/>
      <c r="D2819" s="258" t="s">
        <v>1303</v>
      </c>
      <c r="E2819" s="214"/>
      <c r="F2819" s="219">
        <v>5000</v>
      </c>
    </row>
    <row r="2820" spans="3:11" x14ac:dyDescent="0.25">
      <c r="C2820" s="257"/>
      <c r="D2820" s="258" t="s">
        <v>1303</v>
      </c>
      <c r="E2820" s="214" t="s">
        <v>825</v>
      </c>
      <c r="F2820" s="219">
        <v>69000</v>
      </c>
    </row>
    <row r="2821" spans="3:11" x14ac:dyDescent="0.25">
      <c r="C2821" s="266">
        <v>46175</v>
      </c>
      <c r="D2821" s="267" t="s">
        <v>1059</v>
      </c>
      <c r="E2821" s="268" t="s">
        <v>1116</v>
      </c>
      <c r="F2821" s="265">
        <v>2946.98</v>
      </c>
    </row>
    <row r="2822" spans="3:11" x14ac:dyDescent="0.25">
      <c r="C2822" s="117"/>
      <c r="D2822" s="78" t="s">
        <v>1424</v>
      </c>
      <c r="E2822" s="166"/>
      <c r="F2822" s="167">
        <v>132000</v>
      </c>
    </row>
    <row r="2823" spans="3:11" ht="21" x14ac:dyDescent="0.35">
      <c r="C2823" s="78"/>
      <c r="D2823" s="78"/>
      <c r="E2823" s="78"/>
      <c r="F2823" s="122">
        <f>SUM(F2804:F2822)</f>
        <v>286359.5</v>
      </c>
      <c r="I2823" s="198" t="s">
        <v>286</v>
      </c>
      <c r="J2823" s="137">
        <f>SUM(J2815:J2817)</f>
        <v>134573.07999999996</v>
      </c>
    </row>
    <row r="2824" spans="3:11" x14ac:dyDescent="0.25">
      <c r="F2824" s="157"/>
      <c r="J2824" s="157">
        <v>132471.46</v>
      </c>
      <c r="K2824" s="39" t="s">
        <v>76</v>
      </c>
    </row>
    <row r="2825" spans="3:11" x14ac:dyDescent="0.25">
      <c r="E2825" s="101" t="s">
        <v>224</v>
      </c>
      <c r="F2825" s="101">
        <v>52393.79</v>
      </c>
      <c r="G2825" s="121"/>
    </row>
    <row r="2826" spans="3:11" ht="18.75" x14ac:dyDescent="0.3">
      <c r="C2826" s="121"/>
      <c r="J2826" s="264">
        <f>J2823-J2824</f>
        <v>2101.6199999999662</v>
      </c>
    </row>
    <row r="2828" spans="3:11" ht="18.75" x14ac:dyDescent="0.3">
      <c r="C2828" s="121"/>
      <c r="E2828" s="99" t="s">
        <v>225</v>
      </c>
      <c r="F2828" s="125">
        <f>SUM(F2823+F2825)</f>
        <v>338753.29</v>
      </c>
    </row>
    <row r="2829" spans="3:11" x14ac:dyDescent="0.25">
      <c r="C2829" s="121"/>
    </row>
    <row r="2830" spans="3:11" x14ac:dyDescent="0.25">
      <c r="C2830" s="121"/>
    </row>
    <row r="2832" spans="3:11" x14ac:dyDescent="0.25">
      <c r="C2832" s="91"/>
    </row>
    <row r="2834" spans="3:10" ht="15.75" x14ac:dyDescent="0.25">
      <c r="D2834" s="132" t="s">
        <v>235</v>
      </c>
      <c r="E2834" s="133">
        <v>49663.62</v>
      </c>
    </row>
    <row r="2835" spans="3:10" ht="15.75" x14ac:dyDescent="0.25">
      <c r="D2835" s="148"/>
      <c r="E2835" s="144"/>
    </row>
    <row r="2836" spans="3:10" ht="15.75" x14ac:dyDescent="0.25">
      <c r="D2836" s="128" t="s">
        <v>1374</v>
      </c>
      <c r="E2836" s="171">
        <v>-1500</v>
      </c>
      <c r="I2836" s="336" t="s">
        <v>497</v>
      </c>
      <c r="J2836" s="336"/>
    </row>
    <row r="2837" spans="3:10" ht="15.75" x14ac:dyDescent="0.25">
      <c r="C2837" s="91"/>
      <c r="D2837" s="148" t="s">
        <v>1378</v>
      </c>
      <c r="E2837" s="144">
        <v>-50</v>
      </c>
      <c r="I2837" t="s">
        <v>825</v>
      </c>
      <c r="J2837" s="121">
        <v>3950</v>
      </c>
    </row>
    <row r="2838" spans="3:10" ht="15.75" x14ac:dyDescent="0.25">
      <c r="C2838" s="91"/>
      <c r="D2838" s="199" t="s">
        <v>357</v>
      </c>
      <c r="E2838" s="200">
        <v>3084</v>
      </c>
      <c r="I2838" s="139" t="s">
        <v>1425</v>
      </c>
      <c r="J2838" s="138">
        <v>-390</v>
      </c>
    </row>
    <row r="2839" spans="3:10" ht="15.75" x14ac:dyDescent="0.25">
      <c r="C2839" s="91"/>
      <c r="D2839" s="199" t="s">
        <v>1379</v>
      </c>
      <c r="E2839" s="200">
        <v>-17796.2</v>
      </c>
      <c r="I2839" t="s">
        <v>825</v>
      </c>
      <c r="J2839" s="121">
        <v>7598</v>
      </c>
    </row>
    <row r="2840" spans="3:10" ht="15.75" x14ac:dyDescent="0.25">
      <c r="C2840" s="91">
        <v>46203</v>
      </c>
      <c r="D2840" s="199" t="s">
        <v>1387</v>
      </c>
      <c r="E2840" s="200">
        <v>320</v>
      </c>
      <c r="I2840" s="128" t="s">
        <v>225</v>
      </c>
      <c r="J2840" s="131">
        <f>SUM(J2837:J2839)</f>
        <v>11158</v>
      </c>
    </row>
    <row r="2841" spans="3:10" ht="15.75" x14ac:dyDescent="0.25">
      <c r="C2841" s="91"/>
      <c r="D2841" s="199" t="s">
        <v>1388</v>
      </c>
      <c r="E2841" s="200">
        <v>1290</v>
      </c>
    </row>
    <row r="2842" spans="3:10" ht="15.75" x14ac:dyDescent="0.25">
      <c r="C2842" s="91"/>
      <c r="D2842" s="148" t="s">
        <v>525</v>
      </c>
      <c r="E2842" s="144">
        <v>-20</v>
      </c>
    </row>
    <row r="2843" spans="3:10" ht="15.75" x14ac:dyDescent="0.25">
      <c r="D2843" s="199" t="s">
        <v>357</v>
      </c>
      <c r="E2843" s="200">
        <v>5243.56</v>
      </c>
    </row>
    <row r="2844" spans="3:10" ht="15.75" x14ac:dyDescent="0.25">
      <c r="D2844" s="199" t="s">
        <v>1392</v>
      </c>
      <c r="E2844" s="200">
        <v>20</v>
      </c>
    </row>
    <row r="2845" spans="3:10" ht="15.75" x14ac:dyDescent="0.25">
      <c r="D2845" s="199" t="s">
        <v>1393</v>
      </c>
      <c r="E2845" s="200">
        <v>1500</v>
      </c>
    </row>
    <row r="2846" spans="3:10" ht="15.75" x14ac:dyDescent="0.25">
      <c r="D2846" s="199" t="s">
        <v>1224</v>
      </c>
      <c r="E2846" s="200">
        <v>3150</v>
      </c>
    </row>
    <row r="2847" spans="3:10" ht="15.75" x14ac:dyDescent="0.25">
      <c r="D2847" s="199" t="s">
        <v>1394</v>
      </c>
      <c r="E2847" s="200">
        <v>-40</v>
      </c>
    </row>
    <row r="2848" spans="3:10" ht="15.75" x14ac:dyDescent="0.25">
      <c r="C2848" s="91">
        <v>46204</v>
      </c>
      <c r="D2848" s="199" t="s">
        <v>357</v>
      </c>
      <c r="E2848" s="200">
        <v>4535</v>
      </c>
    </row>
    <row r="2849" spans="4:10" ht="15.75" x14ac:dyDescent="0.25">
      <c r="D2849" s="148" t="s">
        <v>1399</v>
      </c>
      <c r="E2849" s="144">
        <v>-50</v>
      </c>
      <c r="J2849" s="121"/>
    </row>
    <row r="2850" spans="4:10" ht="15.75" x14ac:dyDescent="0.25">
      <c r="D2850" s="199" t="s">
        <v>525</v>
      </c>
      <c r="E2850" s="200">
        <v>-20</v>
      </c>
      <c r="J2850" s="121"/>
    </row>
    <row r="2851" spans="4:10" ht="15.75" x14ac:dyDescent="0.25">
      <c r="D2851" s="199" t="s">
        <v>1407</v>
      </c>
      <c r="E2851" s="200">
        <v>1700</v>
      </c>
    </row>
    <row r="2852" spans="4:10" ht="15.75" x14ac:dyDescent="0.25">
      <c r="D2852" s="199" t="s">
        <v>357</v>
      </c>
      <c r="E2852" s="200">
        <v>2273.5</v>
      </c>
    </row>
    <row r="2853" spans="4:10" ht="15.75" x14ac:dyDescent="0.25">
      <c r="D2853" s="148" t="s">
        <v>1422</v>
      </c>
      <c r="E2853" s="144">
        <v>-37966.5</v>
      </c>
    </row>
    <row r="2854" spans="4:10" ht="15.75" x14ac:dyDescent="0.25">
      <c r="D2854" s="148" t="s">
        <v>1427</v>
      </c>
      <c r="E2854" s="144">
        <v>-90</v>
      </c>
    </row>
    <row r="2855" spans="4:10" ht="15.75" x14ac:dyDescent="0.25">
      <c r="D2855" s="148" t="s">
        <v>1428</v>
      </c>
      <c r="E2855" s="144">
        <v>-20</v>
      </c>
    </row>
    <row r="2856" spans="4:10" ht="15.75" x14ac:dyDescent="0.25">
      <c r="D2856" s="148" t="s">
        <v>1429</v>
      </c>
      <c r="E2856" s="144">
        <v>-20</v>
      </c>
    </row>
    <row r="2857" spans="4:10" ht="15.75" x14ac:dyDescent="0.25">
      <c r="D2857" s="148" t="s">
        <v>1430</v>
      </c>
      <c r="E2857" s="144">
        <v>-100</v>
      </c>
    </row>
    <row r="2858" spans="4:10" ht="15.75" x14ac:dyDescent="0.25">
      <c r="D2858" s="199" t="s">
        <v>422</v>
      </c>
      <c r="E2858" s="200">
        <v>2720</v>
      </c>
    </row>
    <row r="2859" spans="4:10" ht="15.75" x14ac:dyDescent="0.25">
      <c r="D2859" s="128"/>
      <c r="E2859" s="171"/>
    </row>
    <row r="2860" spans="4:10" x14ac:dyDescent="0.25">
      <c r="E2860" s="121"/>
    </row>
    <row r="2861" spans="4:10" ht="15.75" x14ac:dyDescent="0.25">
      <c r="D2861" s="132" t="s">
        <v>236</v>
      </c>
      <c r="E2861" s="133">
        <f>SUM(E2834:E2860)</f>
        <v>17826.979999999996</v>
      </c>
    </row>
    <row r="2864" spans="4:10" x14ac:dyDescent="0.25">
      <c r="E2864">
        <v>-11.9</v>
      </c>
    </row>
    <row r="2866" spans="3:5" x14ac:dyDescent="0.25">
      <c r="D2866" s="39"/>
      <c r="E2866" s="157">
        <f>SUM(E2861:E2865)</f>
        <v>17815.079999999994</v>
      </c>
    </row>
    <row r="2867" spans="3:5" x14ac:dyDescent="0.25">
      <c r="D2867" s="39"/>
      <c r="E2867" s="157"/>
    </row>
    <row r="2870" spans="3:5" ht="18.75" x14ac:dyDescent="0.3">
      <c r="D2870" s="333" t="s">
        <v>1125</v>
      </c>
      <c r="E2870" s="333"/>
    </row>
    <row r="2871" spans="3:5" ht="15.75" x14ac:dyDescent="0.25">
      <c r="D2871" s="166" t="s">
        <v>429</v>
      </c>
      <c r="E2871" s="140">
        <v>113178.05</v>
      </c>
    </row>
    <row r="2872" spans="3:5" x14ac:dyDescent="0.25">
      <c r="D2872" s="78" t="s">
        <v>1377</v>
      </c>
      <c r="E2872" s="188">
        <v>-3280</v>
      </c>
    </row>
    <row r="2873" spans="3:5" x14ac:dyDescent="0.25">
      <c r="D2873" s="78" t="s">
        <v>535</v>
      </c>
      <c r="E2873" s="188">
        <v>-0.25</v>
      </c>
    </row>
    <row r="2874" spans="3:5" x14ac:dyDescent="0.25">
      <c r="D2874" s="78" t="s">
        <v>1386</v>
      </c>
      <c r="E2874" s="188">
        <v>-2750</v>
      </c>
    </row>
    <row r="2875" spans="3:5" x14ac:dyDescent="0.25">
      <c r="D2875" s="177" t="s">
        <v>1390</v>
      </c>
      <c r="E2875" s="188">
        <v>-9485.81</v>
      </c>
    </row>
    <row r="2876" spans="3:5" x14ac:dyDescent="0.25">
      <c r="D2876" s="188" t="s">
        <v>1391</v>
      </c>
      <c r="E2876" s="188">
        <v>-20</v>
      </c>
    </row>
    <row r="2877" spans="3:5" x14ac:dyDescent="0.25">
      <c r="D2877" s="188" t="s">
        <v>535</v>
      </c>
      <c r="E2877" s="188">
        <v>-0.55000000000000004</v>
      </c>
    </row>
    <row r="2878" spans="3:5" x14ac:dyDescent="0.25">
      <c r="C2878" s="91">
        <v>46204</v>
      </c>
      <c r="D2878" s="188" t="s">
        <v>1264</v>
      </c>
      <c r="E2878" s="188">
        <v>-384.91</v>
      </c>
    </row>
    <row r="2879" spans="3:5" x14ac:dyDescent="0.25">
      <c r="D2879" s="188" t="s">
        <v>1398</v>
      </c>
      <c r="E2879" s="188">
        <v>-7078.5</v>
      </c>
    </row>
    <row r="2880" spans="3:5" x14ac:dyDescent="0.25">
      <c r="D2880" s="188" t="s">
        <v>939</v>
      </c>
      <c r="E2880" s="188">
        <v>-35</v>
      </c>
    </row>
    <row r="2881" spans="3:5" x14ac:dyDescent="0.25">
      <c r="D2881" s="188" t="s">
        <v>1401</v>
      </c>
      <c r="E2881" s="188">
        <v>-5.5</v>
      </c>
    </row>
    <row r="2882" spans="3:5" x14ac:dyDescent="0.25">
      <c r="D2882" s="188" t="s">
        <v>535</v>
      </c>
      <c r="E2882" s="188">
        <v>-0.4</v>
      </c>
    </row>
    <row r="2883" spans="3:5" x14ac:dyDescent="0.25">
      <c r="C2883" s="91">
        <v>46205</v>
      </c>
      <c r="D2883" s="188" t="s">
        <v>1405</v>
      </c>
      <c r="E2883" s="188">
        <v>-2560</v>
      </c>
    </row>
    <row r="2884" spans="3:5" x14ac:dyDescent="0.25">
      <c r="D2884" s="188" t="s">
        <v>1410</v>
      </c>
      <c r="E2884" s="188">
        <v>1200</v>
      </c>
    </row>
    <row r="2885" spans="3:5" x14ac:dyDescent="0.25">
      <c r="D2885" s="188" t="s">
        <v>1410</v>
      </c>
      <c r="E2885" s="188">
        <v>1190</v>
      </c>
    </row>
    <row r="2886" spans="3:5" x14ac:dyDescent="0.25">
      <c r="D2886" s="188" t="s">
        <v>1413</v>
      </c>
      <c r="E2886" s="188">
        <v>3400</v>
      </c>
    </row>
    <row r="2887" spans="3:5" x14ac:dyDescent="0.25">
      <c r="D2887" s="188" t="s">
        <v>1414</v>
      </c>
      <c r="E2887" s="188">
        <v>2000</v>
      </c>
    </row>
    <row r="2888" spans="3:5" x14ac:dyDescent="0.25">
      <c r="D2888" s="188" t="s">
        <v>1415</v>
      </c>
      <c r="E2888" s="188">
        <v>2960</v>
      </c>
    </row>
    <row r="2889" spans="3:5" x14ac:dyDescent="0.25">
      <c r="D2889" s="188" t="s">
        <v>1420</v>
      </c>
      <c r="E2889" s="188">
        <v>-1473.3</v>
      </c>
    </row>
    <row r="2890" spans="3:5" x14ac:dyDescent="0.25">
      <c r="D2890" s="188" t="s">
        <v>1421</v>
      </c>
      <c r="E2890" s="188">
        <v>37966.5</v>
      </c>
    </row>
    <row r="2891" spans="3:5" x14ac:dyDescent="0.25">
      <c r="D2891" s="188" t="s">
        <v>1423</v>
      </c>
      <c r="E2891" s="188">
        <v>-132000</v>
      </c>
    </row>
    <row r="2892" spans="3:5" x14ac:dyDescent="0.25">
      <c r="D2892" s="306" t="s">
        <v>1426</v>
      </c>
      <c r="E2892" s="306">
        <v>3950</v>
      </c>
    </row>
    <row r="2893" spans="3:5" x14ac:dyDescent="0.25">
      <c r="D2893" s="188" t="s">
        <v>250</v>
      </c>
      <c r="E2893" s="188">
        <v>-397.79</v>
      </c>
    </row>
    <row r="2894" spans="3:5" x14ac:dyDescent="0.25">
      <c r="D2894" s="188" t="s">
        <v>1426</v>
      </c>
      <c r="E2894" s="188">
        <v>7598</v>
      </c>
    </row>
    <row r="2895" spans="3:5" x14ac:dyDescent="0.25">
      <c r="D2895" s="188" t="s">
        <v>552</v>
      </c>
      <c r="E2895" s="188">
        <v>-9.5</v>
      </c>
    </row>
    <row r="2896" spans="3:5" x14ac:dyDescent="0.25">
      <c r="D2896" s="78"/>
      <c r="E2896" s="78"/>
    </row>
    <row r="2897" spans="3:5" ht="15.75" x14ac:dyDescent="0.25">
      <c r="D2897" s="78" t="s">
        <v>596</v>
      </c>
      <c r="E2897" s="189">
        <f>SUM(E2871:E2896)</f>
        <v>13961.040000000015</v>
      </c>
    </row>
    <row r="2899" spans="3:5" x14ac:dyDescent="0.25">
      <c r="D2899" t="s">
        <v>361</v>
      </c>
      <c r="E2899" s="121">
        <v>1342</v>
      </c>
    </row>
    <row r="2903" spans="3:5" ht="18.75" x14ac:dyDescent="0.3">
      <c r="E2903" s="280">
        <f>SUM(E2897:E2900)</f>
        <v>15303.040000000015</v>
      </c>
    </row>
    <row r="2912" spans="3:5" x14ac:dyDescent="0.25">
      <c r="C2912" s="334" t="s">
        <v>1059</v>
      </c>
      <c r="D2912" s="335"/>
    </row>
    <row r="2913" spans="3:11" x14ac:dyDescent="0.25">
      <c r="C2913" t="s">
        <v>1416</v>
      </c>
      <c r="D2913">
        <v>1473.68</v>
      </c>
      <c r="E2913" t="s">
        <v>1417</v>
      </c>
    </row>
    <row r="2914" spans="3:11" x14ac:dyDescent="0.25">
      <c r="C2914" t="s">
        <v>1419</v>
      </c>
      <c r="D2914">
        <v>1473.3</v>
      </c>
      <c r="E2914" t="s">
        <v>1418</v>
      </c>
    </row>
    <row r="2915" spans="3:11" x14ac:dyDescent="0.25">
      <c r="C2915" t="s">
        <v>612</v>
      </c>
      <c r="D2915" s="39">
        <f>SUM(D2913:D2914)</f>
        <v>2946.98</v>
      </c>
    </row>
    <row r="2925" spans="3:11" ht="18.75" x14ac:dyDescent="0.3">
      <c r="C2925" s="314" t="s">
        <v>1432</v>
      </c>
      <c r="D2925" s="315"/>
      <c r="E2925" s="315"/>
      <c r="F2925" s="315"/>
      <c r="G2925" s="315"/>
      <c r="H2925" s="315"/>
      <c r="I2925" s="315"/>
      <c r="J2925" s="315"/>
      <c r="K2925" s="315"/>
    </row>
    <row r="2926" spans="3:11" x14ac:dyDescent="0.25">
      <c r="C2926" s="78"/>
      <c r="D2926" s="78"/>
      <c r="E2926" s="78"/>
      <c r="F2926" s="78"/>
      <c r="G2926" s="78"/>
      <c r="H2926" s="78"/>
      <c r="I2926" s="78"/>
      <c r="J2926" s="78"/>
      <c r="K2926" s="78"/>
    </row>
    <row r="2927" spans="3:11" ht="15.75" x14ac:dyDescent="0.25">
      <c r="C2927" s="118" t="s">
        <v>223</v>
      </c>
      <c r="D2927" s="118" t="s">
        <v>206</v>
      </c>
      <c r="E2927" s="118" t="s">
        <v>207</v>
      </c>
      <c r="F2927" s="118" t="s">
        <v>218</v>
      </c>
      <c r="G2927" s="78"/>
      <c r="H2927" s="120" t="s">
        <v>6</v>
      </c>
      <c r="I2927" s="120" t="s">
        <v>217</v>
      </c>
      <c r="J2927" s="120" t="s">
        <v>207</v>
      </c>
      <c r="K2927" s="120" t="s">
        <v>218</v>
      </c>
    </row>
    <row r="2928" spans="3:11" x14ac:dyDescent="0.25">
      <c r="C2928" s="276">
        <v>46200</v>
      </c>
      <c r="D2928" s="247" t="s">
        <v>1365</v>
      </c>
      <c r="E2928" s="118" t="s">
        <v>1409</v>
      </c>
      <c r="F2928" s="248">
        <v>9880</v>
      </c>
      <c r="G2928" s="78"/>
      <c r="H2928" s="117">
        <v>46200</v>
      </c>
      <c r="I2928" s="78" t="s">
        <v>1367</v>
      </c>
      <c r="J2928" s="78"/>
      <c r="K2928" s="119">
        <v>5000</v>
      </c>
    </row>
    <row r="2929" spans="3:11" x14ac:dyDescent="0.25">
      <c r="C2929" s="276">
        <v>46178</v>
      </c>
      <c r="D2929" s="247" t="s">
        <v>1151</v>
      </c>
      <c r="E2929" s="118" t="s">
        <v>1361</v>
      </c>
      <c r="F2929" s="248">
        <v>8850</v>
      </c>
      <c r="G2929" s="78"/>
      <c r="H2929" s="117">
        <v>46037</v>
      </c>
      <c r="I2929" s="149" t="s">
        <v>66</v>
      </c>
      <c r="J2929" s="78" t="s">
        <v>222</v>
      </c>
      <c r="K2929" s="119">
        <v>2120</v>
      </c>
    </row>
    <row r="2930" spans="3:11" ht="15.75" x14ac:dyDescent="0.25">
      <c r="C2930" s="276">
        <v>46178</v>
      </c>
      <c r="D2930" s="247" t="s">
        <v>1152</v>
      </c>
      <c r="E2930" s="118" t="s">
        <v>1445</v>
      </c>
      <c r="F2930" s="248">
        <v>0</v>
      </c>
      <c r="G2930" s="78"/>
      <c r="H2930" s="184"/>
      <c r="I2930" s="78" t="s">
        <v>1084</v>
      </c>
      <c r="J2930" s="185"/>
      <c r="K2930" s="140">
        <v>179514.19</v>
      </c>
    </row>
    <row r="2931" spans="3:11" ht="15.75" x14ac:dyDescent="0.25">
      <c r="C2931" s="269">
        <v>46087</v>
      </c>
      <c r="D2931" s="270" t="s">
        <v>214</v>
      </c>
      <c r="E2931" s="270" t="s">
        <v>211</v>
      </c>
      <c r="F2931" s="271">
        <v>2500</v>
      </c>
      <c r="G2931" s="78"/>
      <c r="H2931" s="184"/>
      <c r="I2931" s="303" t="s">
        <v>519</v>
      </c>
      <c r="J2931" s="307"/>
      <c r="K2931" s="304">
        <v>1895.3</v>
      </c>
    </row>
    <row r="2932" spans="3:11" ht="15.75" x14ac:dyDescent="0.25">
      <c r="C2932" s="78"/>
      <c r="D2932" s="201" t="s">
        <v>429</v>
      </c>
      <c r="E2932" s="201"/>
      <c r="F2932" s="183">
        <v>11116.04</v>
      </c>
      <c r="G2932" s="119"/>
      <c r="H2932" s="184"/>
      <c r="I2932" s="78" t="s">
        <v>281</v>
      </c>
      <c r="J2932" s="185"/>
      <c r="K2932" s="140">
        <v>20205</v>
      </c>
    </row>
    <row r="2933" spans="3:11" x14ac:dyDescent="0.25">
      <c r="C2933" s="117">
        <v>46156</v>
      </c>
      <c r="D2933" s="78" t="s">
        <v>353</v>
      </c>
      <c r="E2933" s="166"/>
      <c r="F2933" s="167">
        <v>3280</v>
      </c>
      <c r="G2933" s="119"/>
      <c r="H2933" s="117"/>
      <c r="I2933" s="78" t="s">
        <v>1329</v>
      </c>
      <c r="J2933" s="78"/>
      <c r="K2933" s="119">
        <v>300</v>
      </c>
    </row>
    <row r="2934" spans="3:11" x14ac:dyDescent="0.25">
      <c r="C2934" s="117">
        <v>46156</v>
      </c>
      <c r="D2934" s="78" t="s">
        <v>471</v>
      </c>
      <c r="E2934" s="166"/>
      <c r="F2934" s="167">
        <v>3902</v>
      </c>
      <c r="G2934" s="78"/>
      <c r="H2934" s="78"/>
      <c r="I2934" s="78" t="s">
        <v>82</v>
      </c>
      <c r="J2934" s="78"/>
      <c r="K2934" s="78">
        <v>5000</v>
      </c>
    </row>
    <row r="2935" spans="3:11" x14ac:dyDescent="0.25">
      <c r="C2935" s="117">
        <v>46156</v>
      </c>
      <c r="D2935" s="78" t="s">
        <v>148</v>
      </c>
      <c r="E2935" s="166"/>
      <c r="F2935" s="167">
        <v>5785</v>
      </c>
      <c r="G2935" s="78"/>
      <c r="H2935" s="78"/>
      <c r="I2935" s="294" t="s">
        <v>1290</v>
      </c>
      <c r="J2935" s="78"/>
      <c r="K2935" s="119">
        <v>900</v>
      </c>
    </row>
    <row r="2936" spans="3:11" ht="18.75" x14ac:dyDescent="0.3">
      <c r="C2936" s="117">
        <v>46161</v>
      </c>
      <c r="D2936" s="78" t="s">
        <v>995</v>
      </c>
      <c r="E2936" s="166"/>
      <c r="F2936" s="167">
        <v>13702.82</v>
      </c>
      <c r="G2936" s="78"/>
      <c r="H2936" s="78"/>
      <c r="I2936" s="126" t="s">
        <v>226</v>
      </c>
      <c r="J2936" s="126"/>
      <c r="K2936" s="127">
        <f>SUM(K2928:K2935)</f>
        <v>214934.49</v>
      </c>
    </row>
    <row r="2937" spans="3:11" x14ac:dyDescent="0.25">
      <c r="C2937" s="295"/>
      <c r="D2937" s="296" t="s">
        <v>1093</v>
      </c>
      <c r="E2937" s="293"/>
      <c r="F2937" s="285">
        <v>1050</v>
      </c>
      <c r="G2937" s="78"/>
      <c r="J2937" s="121"/>
    </row>
    <row r="2938" spans="3:11" x14ac:dyDescent="0.25">
      <c r="C2938" s="257"/>
      <c r="D2938" s="258" t="s">
        <v>422</v>
      </c>
      <c r="E2938" s="214"/>
      <c r="F2938" s="219">
        <v>9747</v>
      </c>
      <c r="G2938" s="78"/>
    </row>
    <row r="2939" spans="3:11" ht="15.75" x14ac:dyDescent="0.25">
      <c r="C2939" s="257"/>
      <c r="D2939" s="305" t="s">
        <v>1402</v>
      </c>
      <c r="E2939" s="293"/>
      <c r="F2939" s="285">
        <v>1459.9</v>
      </c>
      <c r="H2939" s="316" t="s">
        <v>227</v>
      </c>
      <c r="I2939" s="317"/>
      <c r="J2939" s="140">
        <f>F2954-K2936</f>
        <v>125915.04999999999</v>
      </c>
    </row>
    <row r="2940" spans="3:11" ht="15.75" x14ac:dyDescent="0.25">
      <c r="C2940" s="257"/>
      <c r="D2940" s="305" t="s">
        <v>1403</v>
      </c>
      <c r="E2940" s="293"/>
      <c r="F2940" s="285">
        <v>500.85</v>
      </c>
      <c r="J2940" s="89"/>
    </row>
    <row r="2941" spans="3:11" ht="15.75" x14ac:dyDescent="0.25">
      <c r="C2941" s="257"/>
      <c r="D2941" s="305" t="s">
        <v>1431</v>
      </c>
      <c r="E2941" s="293"/>
      <c r="F2941" s="285">
        <v>1233.9100000000001</v>
      </c>
      <c r="H2941" s="128" t="s">
        <v>285</v>
      </c>
      <c r="J2941" s="124">
        <f>E2997</f>
        <v>9528.5799999999963</v>
      </c>
    </row>
    <row r="2942" spans="3:11" x14ac:dyDescent="0.25">
      <c r="C2942" s="257"/>
      <c r="D2942" s="258" t="s">
        <v>1063</v>
      </c>
      <c r="E2942" s="214"/>
      <c r="F2942" s="219">
        <v>1180</v>
      </c>
    </row>
    <row r="2943" spans="3:11" x14ac:dyDescent="0.25">
      <c r="C2943" s="257"/>
      <c r="D2943" s="258" t="s">
        <v>1437</v>
      </c>
      <c r="E2943" s="214"/>
      <c r="F2943" s="219">
        <v>1820</v>
      </c>
    </row>
    <row r="2944" spans="3:11" x14ac:dyDescent="0.25">
      <c r="C2944" s="257"/>
      <c r="D2944" s="258" t="s">
        <v>1303</v>
      </c>
      <c r="E2944" s="214"/>
      <c r="F2944" s="219">
        <v>5000</v>
      </c>
    </row>
    <row r="2945" spans="3:11" x14ac:dyDescent="0.25">
      <c r="C2945" s="257"/>
      <c r="D2945" s="258" t="s">
        <v>1303</v>
      </c>
      <c r="E2945" s="214" t="s">
        <v>825</v>
      </c>
      <c r="F2945" s="219">
        <v>69000</v>
      </c>
    </row>
    <row r="2946" spans="3:11" x14ac:dyDescent="0.25">
      <c r="C2946" s="257"/>
      <c r="D2946" s="258"/>
      <c r="E2946" s="214" t="s">
        <v>93</v>
      </c>
      <c r="F2946" s="219">
        <v>5992</v>
      </c>
    </row>
    <row r="2947" spans="3:11" ht="21" x14ac:dyDescent="0.35">
      <c r="C2947" s="266">
        <v>46175</v>
      </c>
      <c r="D2947" s="267" t="s">
        <v>1059</v>
      </c>
      <c r="E2947" s="268" t="s">
        <v>1116</v>
      </c>
      <c r="F2947" s="265">
        <v>2946.98</v>
      </c>
      <c r="I2947" s="198" t="s">
        <v>286</v>
      </c>
      <c r="J2947" s="137">
        <f>SUM(J2939:J2941)</f>
        <v>135443.62999999998</v>
      </c>
    </row>
    <row r="2948" spans="3:11" x14ac:dyDescent="0.25">
      <c r="C2948" s="117"/>
      <c r="D2948" s="78" t="s">
        <v>1424</v>
      </c>
      <c r="E2948" s="166"/>
      <c r="F2948" s="167">
        <v>132000</v>
      </c>
      <c r="J2948" s="157">
        <v>134573.07999999999</v>
      </c>
      <c r="K2948" s="39" t="s">
        <v>76</v>
      </c>
    </row>
    <row r="2949" spans="3:11" x14ac:dyDescent="0.25">
      <c r="C2949" s="78"/>
      <c r="D2949" s="78"/>
      <c r="E2949" s="78" t="s">
        <v>53</v>
      </c>
      <c r="F2949" s="122">
        <f>SUM(F2928:F2948)</f>
        <v>290946.5</v>
      </c>
      <c r="G2949" s="121"/>
    </row>
    <row r="2950" spans="3:11" ht="18.75" x14ac:dyDescent="0.3">
      <c r="F2950" s="157"/>
      <c r="J2950" s="264">
        <f>J2947-J2948</f>
        <v>870.54999999998836</v>
      </c>
    </row>
    <row r="2951" spans="3:11" x14ac:dyDescent="0.25">
      <c r="E2951" s="101" t="s">
        <v>224</v>
      </c>
      <c r="F2951" s="101">
        <f>'STOCK 29-04-07(20)'!AG50</f>
        <v>49903.039999999994</v>
      </c>
    </row>
    <row r="2952" spans="3:11" x14ac:dyDescent="0.25">
      <c r="C2952" s="121"/>
    </row>
    <row r="2954" spans="3:11" ht="18.75" x14ac:dyDescent="0.3">
      <c r="C2954" s="121"/>
      <c r="E2954" s="99" t="s">
        <v>225</v>
      </c>
      <c r="F2954" s="125">
        <f>SUM(F2949+F2951)</f>
        <v>340849.54</v>
      </c>
    </row>
    <row r="2955" spans="3:11" x14ac:dyDescent="0.25">
      <c r="C2955" s="121"/>
    </row>
    <row r="2956" spans="3:11" x14ac:dyDescent="0.25">
      <c r="C2956" s="121"/>
    </row>
    <row r="2958" spans="3:11" x14ac:dyDescent="0.25">
      <c r="C2958" s="91"/>
    </row>
    <row r="2960" spans="3:11" ht="15.75" x14ac:dyDescent="0.25">
      <c r="D2960" s="132" t="s">
        <v>235</v>
      </c>
      <c r="E2960" s="133">
        <v>49663.62</v>
      </c>
      <c r="I2960" s="336" t="s">
        <v>497</v>
      </c>
      <c r="J2960" s="336"/>
    </row>
    <row r="2961" spans="3:10" ht="15.75" x14ac:dyDescent="0.25">
      <c r="D2961" s="148"/>
      <c r="E2961" s="144"/>
      <c r="I2961" t="s">
        <v>825</v>
      </c>
      <c r="J2961" s="121">
        <v>3950</v>
      </c>
    </row>
    <row r="2962" spans="3:10" ht="15.75" x14ac:dyDescent="0.25">
      <c r="D2962" s="128" t="s">
        <v>1374</v>
      </c>
      <c r="E2962" s="171">
        <v>-1500</v>
      </c>
      <c r="I2962" s="139" t="s">
        <v>1425</v>
      </c>
      <c r="J2962" s="138">
        <v>-390</v>
      </c>
    </row>
    <row r="2963" spans="3:10" ht="15.75" x14ac:dyDescent="0.25">
      <c r="C2963" s="91"/>
      <c r="D2963" s="148" t="s">
        <v>1378</v>
      </c>
      <c r="E2963" s="144">
        <v>-50</v>
      </c>
      <c r="I2963" t="s">
        <v>825</v>
      </c>
      <c r="J2963" s="121">
        <v>7598</v>
      </c>
    </row>
    <row r="2964" spans="3:10" ht="15.75" x14ac:dyDescent="0.25">
      <c r="C2964" s="91"/>
      <c r="D2964" s="199" t="s">
        <v>357</v>
      </c>
      <c r="E2964" s="200">
        <v>3084</v>
      </c>
      <c r="I2964" s="139" t="s">
        <v>1003</v>
      </c>
      <c r="J2964" s="139">
        <v>-8000</v>
      </c>
    </row>
    <row r="2965" spans="3:10" ht="15.75" x14ac:dyDescent="0.25">
      <c r="C2965" s="91"/>
      <c r="D2965" s="199" t="s">
        <v>1379</v>
      </c>
      <c r="E2965" s="200">
        <v>-17796.2</v>
      </c>
      <c r="I2965" s="139" t="s">
        <v>1443</v>
      </c>
      <c r="J2965" s="139">
        <v>-1262.7</v>
      </c>
    </row>
    <row r="2966" spans="3:10" ht="15.75" x14ac:dyDescent="0.25">
      <c r="C2966" s="91">
        <v>46203</v>
      </c>
      <c r="D2966" s="199" t="s">
        <v>1387</v>
      </c>
      <c r="E2966" s="200">
        <v>320</v>
      </c>
      <c r="J2966" s="139"/>
    </row>
    <row r="2967" spans="3:10" ht="15.75" x14ac:dyDescent="0.25">
      <c r="C2967" s="91"/>
      <c r="D2967" s="199" t="s">
        <v>1388</v>
      </c>
      <c r="E2967" s="200">
        <v>1290</v>
      </c>
    </row>
    <row r="2968" spans="3:10" ht="15.75" x14ac:dyDescent="0.25">
      <c r="C2968" s="91"/>
      <c r="D2968" s="148" t="s">
        <v>525</v>
      </c>
      <c r="E2968" s="144">
        <v>-20</v>
      </c>
      <c r="I2968" s="128" t="s">
        <v>225</v>
      </c>
      <c r="J2968" s="131">
        <f>SUM(J2961:J2967)</f>
        <v>1895.3</v>
      </c>
    </row>
    <row r="2969" spans="3:10" ht="15.75" x14ac:dyDescent="0.25">
      <c r="D2969" s="199" t="s">
        <v>357</v>
      </c>
      <c r="E2969" s="200">
        <v>5243.56</v>
      </c>
    </row>
    <row r="2970" spans="3:10" ht="15.75" x14ac:dyDescent="0.25">
      <c r="D2970" s="199" t="s">
        <v>1392</v>
      </c>
      <c r="E2970" s="200">
        <v>20</v>
      </c>
    </row>
    <row r="2971" spans="3:10" ht="15.75" x14ac:dyDescent="0.25">
      <c r="D2971" s="199" t="s">
        <v>1393</v>
      </c>
      <c r="E2971" s="200">
        <v>1500</v>
      </c>
    </row>
    <row r="2972" spans="3:10" ht="15.75" x14ac:dyDescent="0.25">
      <c r="D2972" s="199" t="s">
        <v>1224</v>
      </c>
      <c r="E2972" s="200">
        <v>3150</v>
      </c>
    </row>
    <row r="2973" spans="3:10" ht="15.75" x14ac:dyDescent="0.25">
      <c r="D2973" s="199" t="s">
        <v>1394</v>
      </c>
      <c r="E2973" s="200">
        <v>-40</v>
      </c>
    </row>
    <row r="2974" spans="3:10" ht="15.75" x14ac:dyDescent="0.25">
      <c r="C2974" s="91">
        <v>46204</v>
      </c>
      <c r="D2974" s="199" t="s">
        <v>357</v>
      </c>
      <c r="E2974" s="200">
        <v>4535</v>
      </c>
    </row>
    <row r="2975" spans="3:10" ht="15.75" x14ac:dyDescent="0.25">
      <c r="D2975" s="148" t="s">
        <v>1399</v>
      </c>
      <c r="E2975" s="144">
        <v>-50</v>
      </c>
      <c r="J2975" s="121"/>
    </row>
    <row r="2976" spans="3:10" ht="15.75" x14ac:dyDescent="0.25">
      <c r="D2976" s="199" t="s">
        <v>525</v>
      </c>
      <c r="E2976" s="200">
        <v>-20</v>
      </c>
      <c r="J2976" s="121"/>
    </row>
    <row r="2977" spans="3:7" ht="15.75" x14ac:dyDescent="0.25">
      <c r="D2977" s="199" t="s">
        <v>1407</v>
      </c>
      <c r="E2977" s="200">
        <v>1700</v>
      </c>
    </row>
    <row r="2978" spans="3:7" ht="15.75" x14ac:dyDescent="0.25">
      <c r="D2978" s="199" t="s">
        <v>357</v>
      </c>
      <c r="E2978" s="200">
        <v>2273.5</v>
      </c>
    </row>
    <row r="2979" spans="3:7" ht="15.75" x14ac:dyDescent="0.25">
      <c r="D2979" s="148" t="s">
        <v>1422</v>
      </c>
      <c r="E2979" s="144">
        <v>-37966.5</v>
      </c>
    </row>
    <row r="2980" spans="3:7" ht="15.75" x14ac:dyDescent="0.25">
      <c r="D2980" s="148" t="s">
        <v>1427</v>
      </c>
      <c r="E2980" s="144">
        <v>-90</v>
      </c>
    </row>
    <row r="2981" spans="3:7" ht="15.75" x14ac:dyDescent="0.25">
      <c r="D2981" s="148" t="s">
        <v>1428</v>
      </c>
      <c r="E2981" s="144">
        <v>-20</v>
      </c>
    </row>
    <row r="2982" spans="3:7" ht="15.75" x14ac:dyDescent="0.25">
      <c r="D2982" s="148" t="s">
        <v>1429</v>
      </c>
      <c r="E2982" s="144">
        <v>-20</v>
      </c>
    </row>
    <row r="2983" spans="3:7" ht="15.75" x14ac:dyDescent="0.25">
      <c r="D2983" s="148" t="s">
        <v>1430</v>
      </c>
      <c r="E2983" s="144">
        <v>-100</v>
      </c>
    </row>
    <row r="2984" spans="3:7" ht="15.75" x14ac:dyDescent="0.25">
      <c r="D2984" s="199" t="s">
        <v>422</v>
      </c>
      <c r="E2984" s="200">
        <v>2720</v>
      </c>
    </row>
    <row r="2985" spans="3:7" ht="15.75" x14ac:dyDescent="0.25">
      <c r="C2985" s="91">
        <v>46206</v>
      </c>
      <c r="D2985" s="148" t="s">
        <v>1438</v>
      </c>
      <c r="E2985" s="144">
        <v>-10</v>
      </c>
    </row>
    <row r="2986" spans="3:7" ht="15.75" x14ac:dyDescent="0.25">
      <c r="D2986" s="199" t="s">
        <v>1441</v>
      </c>
      <c r="E2986" s="200">
        <v>20</v>
      </c>
    </row>
    <row r="2987" spans="3:7" ht="15.75" x14ac:dyDescent="0.25">
      <c r="D2987" s="148" t="s">
        <v>1003</v>
      </c>
      <c r="E2987" s="144">
        <v>-8000</v>
      </c>
    </row>
    <row r="2988" spans="3:7" ht="15.75" x14ac:dyDescent="0.25">
      <c r="D2988" s="199" t="s">
        <v>1444</v>
      </c>
      <c r="E2988" s="200">
        <v>-160</v>
      </c>
      <c r="G2988" s="121"/>
    </row>
    <row r="2989" spans="3:7" ht="15.75" x14ac:dyDescent="0.25">
      <c r="D2989" s="148" t="s">
        <v>1447</v>
      </c>
      <c r="E2989" s="144">
        <v>-130</v>
      </c>
    </row>
    <row r="2990" spans="3:7" ht="15.75" x14ac:dyDescent="0.25">
      <c r="D2990" s="344" t="s">
        <v>1448</v>
      </c>
      <c r="E2990" s="200">
        <v>1.6</v>
      </c>
    </row>
    <row r="2991" spans="3:7" ht="15.75" x14ac:dyDescent="0.25">
      <c r="D2991" s="345" t="s">
        <v>1449</v>
      </c>
      <c r="E2991" s="144">
        <v>-20</v>
      </c>
    </row>
    <row r="2992" spans="3:7" ht="15.75" x14ac:dyDescent="0.25">
      <c r="D2992" s="344"/>
      <c r="E2992" s="200"/>
    </row>
    <row r="2993" spans="3:5" ht="15.75" x14ac:dyDescent="0.25">
      <c r="D2993" s="199"/>
    </row>
    <row r="2994" spans="3:5" ht="15.75" x14ac:dyDescent="0.25">
      <c r="D2994" s="199"/>
      <c r="E2994" s="200"/>
    </row>
    <row r="2995" spans="3:5" ht="15.75" x14ac:dyDescent="0.25">
      <c r="D2995" s="128"/>
      <c r="E2995" s="171"/>
    </row>
    <row r="2996" spans="3:5" x14ac:dyDescent="0.25">
      <c r="E2996" s="121"/>
    </row>
    <row r="2997" spans="3:5" ht="15.75" x14ac:dyDescent="0.25">
      <c r="D2997" s="132" t="s">
        <v>236</v>
      </c>
      <c r="E2997" s="133">
        <f>SUM(E2960:E2996)</f>
        <v>9528.5799999999963</v>
      </c>
    </row>
    <row r="3000" spans="3:5" x14ac:dyDescent="0.25">
      <c r="E3000">
        <v>-11.9</v>
      </c>
    </row>
    <row r="3002" spans="3:5" x14ac:dyDescent="0.25">
      <c r="D3002" s="39"/>
      <c r="E3002" s="157">
        <f>SUM(E2997:E3001)</f>
        <v>9516.6799999999967</v>
      </c>
    </row>
    <row r="3003" spans="3:5" x14ac:dyDescent="0.25">
      <c r="D3003" s="39"/>
      <c r="E3003" s="157"/>
    </row>
    <row r="3005" spans="3:5" x14ac:dyDescent="0.25">
      <c r="C3005" s="91">
        <v>46204</v>
      </c>
    </row>
    <row r="3006" spans="3:5" ht="18.75" x14ac:dyDescent="0.3">
      <c r="D3006" s="333" t="s">
        <v>1125</v>
      </c>
      <c r="E3006" s="333"/>
    </row>
    <row r="3007" spans="3:5" ht="15.75" x14ac:dyDescent="0.25">
      <c r="D3007" s="166" t="s">
        <v>429</v>
      </c>
      <c r="E3007" s="140">
        <v>113178.05</v>
      </c>
    </row>
    <row r="3008" spans="3:5" x14ac:dyDescent="0.25">
      <c r="D3008" s="78" t="s">
        <v>1377</v>
      </c>
      <c r="E3008" s="188">
        <v>-3280</v>
      </c>
    </row>
    <row r="3009" spans="3:5" x14ac:dyDescent="0.25">
      <c r="D3009" s="78" t="s">
        <v>535</v>
      </c>
      <c r="E3009" s="188">
        <v>-0.25</v>
      </c>
    </row>
    <row r="3010" spans="3:5" x14ac:dyDescent="0.25">
      <c r="C3010" s="91">
        <v>46205</v>
      </c>
      <c r="D3010" s="78" t="s">
        <v>1386</v>
      </c>
      <c r="E3010" s="188">
        <v>-2750</v>
      </c>
    </row>
    <row r="3011" spans="3:5" x14ac:dyDescent="0.25">
      <c r="D3011" s="177" t="s">
        <v>1390</v>
      </c>
      <c r="E3011" s="188">
        <v>-9485.81</v>
      </c>
    </row>
    <row r="3012" spans="3:5" x14ac:dyDescent="0.25">
      <c r="D3012" s="188" t="s">
        <v>1391</v>
      </c>
      <c r="E3012" s="188">
        <v>-20</v>
      </c>
    </row>
    <row r="3013" spans="3:5" x14ac:dyDescent="0.25">
      <c r="D3013" s="188" t="s">
        <v>535</v>
      </c>
      <c r="E3013" s="188">
        <v>-0.55000000000000004</v>
      </c>
    </row>
    <row r="3014" spans="3:5" x14ac:dyDescent="0.25">
      <c r="D3014" s="188" t="s">
        <v>1264</v>
      </c>
      <c r="E3014" s="188">
        <v>-384.91</v>
      </c>
    </row>
    <row r="3015" spans="3:5" x14ac:dyDescent="0.25">
      <c r="D3015" s="188" t="s">
        <v>1398</v>
      </c>
      <c r="E3015" s="188">
        <v>-7078.5</v>
      </c>
    </row>
    <row r="3016" spans="3:5" x14ac:dyDescent="0.25">
      <c r="D3016" s="188" t="s">
        <v>939</v>
      </c>
      <c r="E3016" s="188">
        <v>-35</v>
      </c>
    </row>
    <row r="3017" spans="3:5" x14ac:dyDescent="0.25">
      <c r="D3017" s="188" t="s">
        <v>1401</v>
      </c>
      <c r="E3017" s="188">
        <v>-5.5</v>
      </c>
    </row>
    <row r="3018" spans="3:5" x14ac:dyDescent="0.25">
      <c r="D3018" s="188" t="s">
        <v>535</v>
      </c>
      <c r="E3018" s="188">
        <v>-0.4</v>
      </c>
    </row>
    <row r="3019" spans="3:5" x14ac:dyDescent="0.25">
      <c r="D3019" s="188" t="s">
        <v>1405</v>
      </c>
      <c r="E3019" s="188">
        <v>-2560</v>
      </c>
    </row>
    <row r="3020" spans="3:5" x14ac:dyDescent="0.25">
      <c r="D3020" s="188" t="s">
        <v>1410</v>
      </c>
      <c r="E3020" s="188">
        <v>1200</v>
      </c>
    </row>
    <row r="3021" spans="3:5" x14ac:dyDescent="0.25">
      <c r="D3021" s="188" t="s">
        <v>1410</v>
      </c>
      <c r="E3021" s="188">
        <v>1190</v>
      </c>
    </row>
    <row r="3022" spans="3:5" x14ac:dyDescent="0.25">
      <c r="D3022" s="188" t="s">
        <v>1413</v>
      </c>
      <c r="E3022" s="188">
        <v>3400</v>
      </c>
    </row>
    <row r="3023" spans="3:5" x14ac:dyDescent="0.25">
      <c r="D3023" s="188" t="s">
        <v>1414</v>
      </c>
      <c r="E3023" s="188">
        <v>2000</v>
      </c>
    </row>
    <row r="3024" spans="3:5" x14ac:dyDescent="0.25">
      <c r="D3024" s="188" t="s">
        <v>1415</v>
      </c>
      <c r="E3024" s="188">
        <v>2960</v>
      </c>
    </row>
    <row r="3025" spans="4:5" x14ac:dyDescent="0.25">
      <c r="D3025" s="188" t="s">
        <v>1420</v>
      </c>
      <c r="E3025" s="188">
        <v>-1473.3</v>
      </c>
    </row>
    <row r="3026" spans="4:5" x14ac:dyDescent="0.25">
      <c r="D3026" s="188" t="s">
        <v>1421</v>
      </c>
      <c r="E3026" s="188">
        <v>37966.5</v>
      </c>
    </row>
    <row r="3027" spans="4:5" x14ac:dyDescent="0.25">
      <c r="D3027" s="188" t="s">
        <v>1423</v>
      </c>
      <c r="E3027" s="188">
        <v>-132000</v>
      </c>
    </row>
    <row r="3028" spans="4:5" x14ac:dyDescent="0.25">
      <c r="D3028" s="306" t="s">
        <v>1426</v>
      </c>
      <c r="E3028" s="306">
        <v>3950</v>
      </c>
    </row>
    <row r="3029" spans="4:5" x14ac:dyDescent="0.25">
      <c r="D3029" s="188" t="s">
        <v>250</v>
      </c>
      <c r="E3029" s="188">
        <v>-397.79</v>
      </c>
    </row>
    <row r="3030" spans="4:5" x14ac:dyDescent="0.25">
      <c r="D3030" s="188" t="s">
        <v>1426</v>
      </c>
      <c r="E3030" s="188">
        <v>7598</v>
      </c>
    </row>
    <row r="3031" spans="4:5" x14ac:dyDescent="0.25">
      <c r="D3031" s="188" t="s">
        <v>552</v>
      </c>
      <c r="E3031" s="188">
        <v>-9.5</v>
      </c>
    </row>
    <row r="3032" spans="4:5" x14ac:dyDescent="0.25">
      <c r="D3032" s="188" t="s">
        <v>1434</v>
      </c>
      <c r="E3032" s="188">
        <v>-2760</v>
      </c>
    </row>
    <row r="3033" spans="4:5" x14ac:dyDescent="0.25">
      <c r="D3033" s="188" t="s">
        <v>1440</v>
      </c>
      <c r="E3033" s="188">
        <v>-10</v>
      </c>
    </row>
    <row r="3034" spans="4:5" x14ac:dyDescent="0.25">
      <c r="D3034" s="188" t="s">
        <v>1439</v>
      </c>
      <c r="E3034" s="188">
        <v>-10</v>
      </c>
    </row>
    <row r="3035" spans="4:5" x14ac:dyDescent="0.25">
      <c r="D3035" s="188" t="s">
        <v>1391</v>
      </c>
      <c r="E3035" s="188">
        <v>-20</v>
      </c>
    </row>
    <row r="3036" spans="4:5" x14ac:dyDescent="0.25">
      <c r="D3036" s="188"/>
      <c r="E3036" s="188"/>
    </row>
    <row r="3037" spans="4:5" x14ac:dyDescent="0.25">
      <c r="D3037" s="188" t="s">
        <v>1427</v>
      </c>
      <c r="E3037" s="188">
        <v>-45</v>
      </c>
    </row>
    <row r="3038" spans="4:5" x14ac:dyDescent="0.25">
      <c r="D3038" s="188"/>
      <c r="E3038" s="188"/>
    </row>
    <row r="3039" spans="4:5" x14ac:dyDescent="0.25">
      <c r="D3039" s="188"/>
      <c r="E3039" s="188"/>
    </row>
    <row r="3040" spans="4:5" x14ac:dyDescent="0.25">
      <c r="D3040" s="78"/>
      <c r="E3040" s="78"/>
    </row>
    <row r="3041" spans="4:5" ht="15.75" x14ac:dyDescent="0.25">
      <c r="D3041" s="78" t="s">
        <v>596</v>
      </c>
      <c r="E3041" s="189">
        <f>SUM(E3007:E3040)</f>
        <v>11116.040000000015</v>
      </c>
    </row>
    <row r="3043" spans="4:5" x14ac:dyDescent="0.25">
      <c r="D3043" t="s">
        <v>361</v>
      </c>
      <c r="E3043" s="121">
        <v>1342</v>
      </c>
    </row>
    <row r="3047" spans="4:5" ht="18.75" x14ac:dyDescent="0.3">
      <c r="E3047" s="280">
        <f>SUM(E3041:E3044)</f>
        <v>12458.040000000015</v>
      </c>
    </row>
  </sheetData>
  <mergeCells count="121">
    <mergeCell ref="C2925:K2925"/>
    <mergeCell ref="H2939:I2939"/>
    <mergeCell ref="I2960:J2960"/>
    <mergeCell ref="D3006:E3006"/>
    <mergeCell ref="C5:K5"/>
    <mergeCell ref="H22:I22"/>
    <mergeCell ref="H37:I37"/>
    <mergeCell ref="C79:K79"/>
    <mergeCell ref="H96:I96"/>
    <mergeCell ref="I843:J843"/>
    <mergeCell ref="D878:E878"/>
    <mergeCell ref="C918:K918"/>
    <mergeCell ref="H934:I934"/>
    <mergeCell ref="H111:I111"/>
    <mergeCell ref="C264:K264"/>
    <mergeCell ref="H281:I281"/>
    <mergeCell ref="C163:K163"/>
    <mergeCell ref="H180:I180"/>
    <mergeCell ref="D224:E224"/>
    <mergeCell ref="I195:J195"/>
    <mergeCell ref="I529:J529"/>
    <mergeCell ref="D579:E579"/>
    <mergeCell ref="C497:K497"/>
    <mergeCell ref="C374:K374"/>
    <mergeCell ref="H391:I391"/>
    <mergeCell ref="I297:J297"/>
    <mergeCell ref="D334:E334"/>
    <mergeCell ref="H513:I513"/>
    <mergeCell ref="I407:J407"/>
    <mergeCell ref="D1374:E1374"/>
    <mergeCell ref="D1211:E1211"/>
    <mergeCell ref="D691:E691"/>
    <mergeCell ref="H1041:I1041"/>
    <mergeCell ref="I1057:J1057"/>
    <mergeCell ref="D1095:E1095"/>
    <mergeCell ref="C1135:K1135"/>
    <mergeCell ref="H1150:I1150"/>
    <mergeCell ref="I1166:J1166"/>
    <mergeCell ref="C719:K719"/>
    <mergeCell ref="H736:I736"/>
    <mergeCell ref="I752:J752"/>
    <mergeCell ref="D780:E780"/>
    <mergeCell ref="D988:E988"/>
    <mergeCell ref="I950:J950"/>
    <mergeCell ref="D450:E450"/>
    <mergeCell ref="C638:K638"/>
    <mergeCell ref="H655:I655"/>
    <mergeCell ref="I671:J671"/>
    <mergeCell ref="C1025:K1025"/>
    <mergeCell ref="C811:K811"/>
    <mergeCell ref="H827:I827"/>
    <mergeCell ref="C1398:K1398"/>
    <mergeCell ref="H1416:I1416"/>
    <mergeCell ref="D1466:E1466"/>
    <mergeCell ref="I1434:J1434"/>
    <mergeCell ref="I1531:J1531"/>
    <mergeCell ref="D1574:E1574"/>
    <mergeCell ref="C1250:K1250"/>
    <mergeCell ref="H1265:I1265"/>
    <mergeCell ref="D1299:E1299"/>
    <mergeCell ref="C1319:K1319"/>
    <mergeCell ref="H1335:I1335"/>
    <mergeCell ref="C1496:K1496"/>
    <mergeCell ref="H1513:I1513"/>
    <mergeCell ref="C1952:K1952"/>
    <mergeCell ref="H1967:I1967"/>
    <mergeCell ref="D2013:E2013"/>
    <mergeCell ref="I2016:J2016"/>
    <mergeCell ref="C1608:K1608"/>
    <mergeCell ref="H1624:I1624"/>
    <mergeCell ref="I1642:J1642"/>
    <mergeCell ref="D1692:E1692"/>
    <mergeCell ref="C1727:K1727"/>
    <mergeCell ref="H1742:I1742"/>
    <mergeCell ref="I1760:J1760"/>
    <mergeCell ref="D1816:E1816"/>
    <mergeCell ref="C1854:K1854"/>
    <mergeCell ref="H1869:I1869"/>
    <mergeCell ref="I1889:J1889"/>
    <mergeCell ref="D1909:E1909"/>
    <mergeCell ref="I1927:J1927"/>
    <mergeCell ref="I1918:J1918"/>
    <mergeCell ref="I1990:J1990"/>
    <mergeCell ref="O2656:P2656"/>
    <mergeCell ref="C2707:K2707"/>
    <mergeCell ref="H2720:I2720"/>
    <mergeCell ref="D2770:E2770"/>
    <mergeCell ref="C2550:K2550"/>
    <mergeCell ref="H2563:I2563"/>
    <mergeCell ref="D2601:E2601"/>
    <mergeCell ref="C2410:K2410"/>
    <mergeCell ref="H2424:I2424"/>
    <mergeCell ref="I2447:J2447"/>
    <mergeCell ref="I2483:J2483"/>
    <mergeCell ref="D2496:E2496"/>
    <mergeCell ref="C2621:K2621"/>
    <mergeCell ref="H2634:I2634"/>
    <mergeCell ref="D2679:E2679"/>
    <mergeCell ref="C2801:K2801"/>
    <mergeCell ref="H2815:I2815"/>
    <mergeCell ref="D2870:E2870"/>
    <mergeCell ref="C2912:D2912"/>
    <mergeCell ref="I2836:J2836"/>
    <mergeCell ref="D2353:E2353"/>
    <mergeCell ref="I2349:J2349"/>
    <mergeCell ref="I2025:J2025"/>
    <mergeCell ref="I2313:J2313"/>
    <mergeCell ref="I2123:J2123"/>
    <mergeCell ref="C2050:K2050"/>
    <mergeCell ref="H2065:I2065"/>
    <mergeCell ref="I2088:J2088"/>
    <mergeCell ref="D2118:E2118"/>
    <mergeCell ref="I2114:J2114"/>
    <mergeCell ref="C2276:K2276"/>
    <mergeCell ref="H2290:I2290"/>
    <mergeCell ref="I2230:J2230"/>
    <mergeCell ref="C2157:K2157"/>
    <mergeCell ref="H2171:I2171"/>
    <mergeCell ref="I2194:J2194"/>
    <mergeCell ref="I2220:J2220"/>
    <mergeCell ref="D2230:E2230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146</vt:i4>
      </vt:variant>
      <vt:variant>
        <vt:lpstr>Rangos con nombre</vt:lpstr>
      </vt:variant>
      <vt:variant>
        <vt:i4>144</vt:i4>
      </vt:variant>
    </vt:vector>
  </HeadingPairs>
  <TitlesOfParts>
    <vt:vector size="290" baseType="lpstr">
      <vt:lpstr>Hoja1</vt:lpstr>
      <vt:lpstr>STOCK 16 a 21</vt:lpstr>
      <vt:lpstr>STOCK 22 a 28</vt:lpstr>
      <vt:lpstr>STOCK 29 a 04</vt:lpstr>
      <vt:lpstr>STOCK 05 a 11</vt:lpstr>
      <vt:lpstr>STOCK 12 a 18</vt:lpstr>
      <vt:lpstr>STOCK 19 a 25</vt:lpstr>
      <vt:lpstr>STOCK 26 a 02</vt:lpstr>
      <vt:lpstr>STOCK 03 a 09</vt:lpstr>
      <vt:lpstr>STOCK 10 a 16</vt:lpstr>
      <vt:lpstr>STOCK 17 a 23</vt:lpstr>
      <vt:lpstr>STOCK 24 a 30</vt:lpstr>
      <vt:lpstr>STOCK 31 a 06</vt:lpstr>
      <vt:lpstr>STOCK 07 a 13</vt:lpstr>
      <vt:lpstr>STOCK 14 a 20</vt:lpstr>
      <vt:lpstr>STOCK 21 a 27</vt:lpstr>
      <vt:lpstr>STOCK 28 a 03</vt:lpstr>
      <vt:lpstr>STOCK 04 a 10</vt:lpstr>
      <vt:lpstr>STOCK 11 a 17</vt:lpstr>
      <vt:lpstr>STOCK 18 a 24</vt:lpstr>
      <vt:lpstr>STOCK 25 a 02</vt:lpstr>
      <vt:lpstr>STOCK 03 a 009</vt:lpstr>
      <vt:lpstr>STOCK 10 a 016</vt:lpstr>
      <vt:lpstr>STOCK 17 a 023</vt:lpstr>
      <vt:lpstr>STOCK 24 a 030</vt:lpstr>
      <vt:lpstr>STOCK 31 a 006</vt:lpstr>
      <vt:lpstr>STOCK 007 a 13</vt:lpstr>
      <vt:lpstr>STOCK 014 a 20</vt:lpstr>
      <vt:lpstr>STOCK 022 a 27</vt:lpstr>
      <vt:lpstr>STOCK 28 a 04</vt:lpstr>
      <vt:lpstr>STOCK 05 a 011</vt:lpstr>
      <vt:lpstr>STOCK 12 a 018</vt:lpstr>
      <vt:lpstr>STOCK 19 a 025</vt:lpstr>
      <vt:lpstr>STOCK 26 a 01</vt:lpstr>
      <vt:lpstr>STOCK 02 a 08</vt:lpstr>
      <vt:lpstr>STOCK 09 a 15</vt:lpstr>
      <vt:lpstr>STOCK 16 a 22</vt:lpstr>
      <vt:lpstr>STOCK 23 a 29</vt:lpstr>
      <vt:lpstr>STOCK 30 a 06</vt:lpstr>
      <vt:lpstr>STOCK  07 a 13</vt:lpstr>
      <vt:lpstr>STOCK  14 a 20</vt:lpstr>
      <vt:lpstr>STOCK  21 a 27</vt:lpstr>
      <vt:lpstr>STOCK  23 a 27</vt:lpstr>
      <vt:lpstr>STOCK  28 a 03</vt:lpstr>
      <vt:lpstr>STOCK  04 a 10</vt:lpstr>
      <vt:lpstr>STOCK  11 a 17</vt:lpstr>
      <vt:lpstr>STOCK  18 a 24 </vt:lpstr>
      <vt:lpstr>STOCK  25 a 31</vt:lpstr>
      <vt:lpstr>STOCK  01 a 07</vt:lpstr>
      <vt:lpstr>STOCK  08 a 14</vt:lpstr>
      <vt:lpstr>STOCK  15 a 21</vt:lpstr>
      <vt:lpstr>STOCK 22 a  28</vt:lpstr>
      <vt:lpstr>STOCK 29 a  05</vt:lpstr>
      <vt:lpstr>STOCK 06 a  12</vt:lpstr>
      <vt:lpstr>STOCK 13 a  19</vt:lpstr>
      <vt:lpstr>STOCK 20 a  26</vt:lpstr>
      <vt:lpstr>STOCK 27 a  02</vt:lpstr>
      <vt:lpstr>STOCK 03 a  09</vt:lpstr>
      <vt:lpstr>STOCK 10 a  16</vt:lpstr>
      <vt:lpstr>STOCK 17 a  23</vt:lpstr>
      <vt:lpstr>STOCK 24 a  30</vt:lpstr>
      <vt:lpstr>STOCK 01 a  07</vt:lpstr>
      <vt:lpstr>STOCK 08 a  14</vt:lpstr>
      <vt:lpstr>STOCK 15 a  21</vt:lpstr>
      <vt:lpstr>STOCK 21 a  28</vt:lpstr>
      <vt:lpstr>STOCK 29 a  04</vt:lpstr>
      <vt:lpstr>STOCK 05 a  11</vt:lpstr>
      <vt:lpstr>STOCK 12 a  18</vt:lpstr>
      <vt:lpstr>STOCK 19a25</vt:lpstr>
      <vt:lpstr>STOCK 26a01</vt:lpstr>
      <vt:lpstr>STOCK 02a08</vt:lpstr>
      <vt:lpstr>STOCK 09a15-02</vt:lpstr>
      <vt:lpstr>STOCK 16a22-02</vt:lpstr>
      <vt:lpstr>STOCK 23a01-03</vt:lpstr>
      <vt:lpstr>STOCK 02a08-03</vt:lpstr>
      <vt:lpstr>STOCK 09a15-03</vt:lpstr>
      <vt:lpstr>STOCK 16a22-03</vt:lpstr>
      <vt:lpstr>STOCK 23a29-03</vt:lpstr>
      <vt:lpstr>STOCK 31a05-04</vt:lpstr>
      <vt:lpstr>STOCK 06a12-04</vt:lpstr>
      <vt:lpstr>STOCK 13a19-04</vt:lpstr>
      <vt:lpstr>STOCK 20a26-04</vt:lpstr>
      <vt:lpstr>STOCK 27a03-05</vt:lpstr>
      <vt:lpstr>STOCK 04a10-05</vt:lpstr>
      <vt:lpstr>STOCK 11a17-05</vt:lpstr>
      <vt:lpstr>STOCK 18a24-05</vt:lpstr>
      <vt:lpstr>STOCK 25a31-05</vt:lpstr>
      <vt:lpstr>STOCK 01-07-06</vt:lpstr>
      <vt:lpstr>STOCK 08-14-06</vt:lpstr>
      <vt:lpstr>STOCK 15-21-06</vt:lpstr>
      <vt:lpstr>STOCK 22-28-06</vt:lpstr>
      <vt:lpstr>STOCK 29-05-07</vt:lpstr>
      <vt:lpstr>STOCK 06-12-07 </vt:lpstr>
      <vt:lpstr>STOCK 13-19-07</vt:lpstr>
      <vt:lpstr>STOCK 20-26-07</vt:lpstr>
      <vt:lpstr>STOCK 27-02-08</vt:lpstr>
      <vt:lpstr>STOCK 03-09-08</vt:lpstr>
      <vt:lpstr>STOCK 10-16-08</vt:lpstr>
      <vt:lpstr>STOCK 17-23-08</vt:lpstr>
      <vt:lpstr>STOCK 24-30-08</vt:lpstr>
      <vt:lpstr>STOCK 31-06-09</vt:lpstr>
      <vt:lpstr>STOCK 07-13-09</vt:lpstr>
      <vt:lpstr>STOCK 14-20-09</vt:lpstr>
      <vt:lpstr>STOCK 21-27-09</vt:lpstr>
      <vt:lpstr>STOCK 28-04-10</vt:lpstr>
      <vt:lpstr>STOCK 05-11-10</vt:lpstr>
      <vt:lpstr>STOCK 12-18-10</vt:lpstr>
      <vt:lpstr>STOCK 19-25-10</vt:lpstr>
      <vt:lpstr>STOCK 26-01-11</vt:lpstr>
      <vt:lpstr>STOCK 02-08-11</vt:lpstr>
      <vt:lpstr>STOCK 09-15-11</vt:lpstr>
      <vt:lpstr>STOCK 16-22-11</vt:lpstr>
      <vt:lpstr>STOCK 23-29-11</vt:lpstr>
      <vt:lpstr>STOCK 01-06-11</vt:lpstr>
      <vt:lpstr>STOCK 07-13-12</vt:lpstr>
      <vt:lpstr>STOCK 14-20-12</vt:lpstr>
      <vt:lpstr>STOCK 21-27-12</vt:lpstr>
      <vt:lpstr>STOCK 28-03-01</vt:lpstr>
      <vt:lpstr>STOCK 04-10-01</vt:lpstr>
      <vt:lpstr>STOCK 11-17-01</vt:lpstr>
      <vt:lpstr>STOCK 18-24-01</vt:lpstr>
      <vt:lpstr>STOCK 25-31-01</vt:lpstr>
      <vt:lpstr>STOCK 01-07-02</vt:lpstr>
      <vt:lpstr>STOCK 08-14-02</vt:lpstr>
      <vt:lpstr>STOCK 15-21-02</vt:lpstr>
      <vt:lpstr>STOCK 23-28-02 (2)</vt:lpstr>
      <vt:lpstr>STOCK 01-07-03 (3)</vt:lpstr>
      <vt:lpstr>STOCK 09-14-03 (4)</vt:lpstr>
      <vt:lpstr>STOCK 16-21-03 (5)</vt:lpstr>
      <vt:lpstr>STOCK 23-28-03 (6)</vt:lpstr>
      <vt:lpstr>STOCK 30-04-04 (7)</vt:lpstr>
      <vt:lpstr>STOCK 06-11-04 (8)</vt:lpstr>
      <vt:lpstr>STOCK 13-18-04 (9)</vt:lpstr>
      <vt:lpstr>STOCK 20-25-04 (10)</vt:lpstr>
      <vt:lpstr>STOCK 27-2-05 (11)</vt:lpstr>
      <vt:lpstr>STOCK 04-09-05 (12)</vt:lpstr>
      <vt:lpstr>STOCK 11-16-05 (13)</vt:lpstr>
      <vt:lpstr>STOCK 18-23-05 (14)</vt:lpstr>
      <vt:lpstr>STOCK 25-30-05 (15)</vt:lpstr>
      <vt:lpstr>MAYO </vt:lpstr>
      <vt:lpstr>STOCK 01-06-06 (16)</vt:lpstr>
      <vt:lpstr>STOCK 08-13-06 (17)</vt:lpstr>
      <vt:lpstr>STOCK 15-20-06 (18)</vt:lpstr>
      <vt:lpstr>STOCK 22-25-06 (19)</vt:lpstr>
      <vt:lpstr>STOCK 29-04-07(20)</vt:lpstr>
      <vt:lpstr>JUNIO</vt:lpstr>
      <vt:lpstr>Hoja1!Área_de_impresión</vt:lpstr>
      <vt:lpstr>'STOCK  01 a 07'!Área_de_impresión</vt:lpstr>
      <vt:lpstr>'STOCK  04 a 10'!Área_de_impresión</vt:lpstr>
      <vt:lpstr>'STOCK  07 a 13'!Área_de_impresión</vt:lpstr>
      <vt:lpstr>'STOCK  08 a 14'!Área_de_impresión</vt:lpstr>
      <vt:lpstr>'STOCK  11 a 17'!Área_de_impresión</vt:lpstr>
      <vt:lpstr>'STOCK  14 a 20'!Área_de_impresión</vt:lpstr>
      <vt:lpstr>'STOCK  15 a 21'!Área_de_impresión</vt:lpstr>
      <vt:lpstr>'STOCK  18 a 24 '!Área_de_impresión</vt:lpstr>
      <vt:lpstr>'STOCK  21 a 27'!Área_de_impresión</vt:lpstr>
      <vt:lpstr>'STOCK  23 a 27'!Área_de_impresión</vt:lpstr>
      <vt:lpstr>'STOCK  25 a 31'!Área_de_impresión</vt:lpstr>
      <vt:lpstr>'STOCK  28 a 03'!Área_de_impresión</vt:lpstr>
      <vt:lpstr>'STOCK 007 a 13'!Área_de_impresión</vt:lpstr>
      <vt:lpstr>'STOCK 01 a  07'!Área_de_impresión</vt:lpstr>
      <vt:lpstr>'STOCK 01-06-06 (16)'!Área_de_impresión</vt:lpstr>
      <vt:lpstr>'STOCK 01-06-11'!Área_de_impresión</vt:lpstr>
      <vt:lpstr>'STOCK 01-07-02'!Área_de_impresión</vt:lpstr>
      <vt:lpstr>'STOCK 01-07-03 (3)'!Área_de_impresión</vt:lpstr>
      <vt:lpstr>'STOCK 01-07-06'!Área_de_impresión</vt:lpstr>
      <vt:lpstr>'STOCK 014 a 20'!Área_de_impresión</vt:lpstr>
      <vt:lpstr>'STOCK 02 a 08'!Área_de_impresión</vt:lpstr>
      <vt:lpstr>'STOCK 02-08-11'!Área_de_impresión</vt:lpstr>
      <vt:lpstr>'STOCK 022 a 27'!Área_de_impresión</vt:lpstr>
      <vt:lpstr>'STOCK 02a08'!Área_de_impresión</vt:lpstr>
      <vt:lpstr>'STOCK 02a08-03'!Área_de_impresión</vt:lpstr>
      <vt:lpstr>'STOCK 03 a  09'!Área_de_impresión</vt:lpstr>
      <vt:lpstr>'STOCK 03 a 009'!Área_de_impresión</vt:lpstr>
      <vt:lpstr>'STOCK 03 a 09'!Área_de_impresión</vt:lpstr>
      <vt:lpstr>'STOCK 03-09-08'!Área_de_impresión</vt:lpstr>
      <vt:lpstr>'STOCK 04 a 10'!Área_de_impresión</vt:lpstr>
      <vt:lpstr>'STOCK 04-09-05 (12)'!Área_de_impresión</vt:lpstr>
      <vt:lpstr>'STOCK 04-10-01'!Área_de_impresión</vt:lpstr>
      <vt:lpstr>'STOCK 04a10-05'!Área_de_impresión</vt:lpstr>
      <vt:lpstr>'STOCK 05 a  11'!Área_de_impresión</vt:lpstr>
      <vt:lpstr>'STOCK 05 a 011'!Área_de_impresión</vt:lpstr>
      <vt:lpstr>'STOCK 05 a 11'!Área_de_impresión</vt:lpstr>
      <vt:lpstr>'STOCK 05-11-10'!Área_de_impresión</vt:lpstr>
      <vt:lpstr>'STOCK 06 a  12'!Área_de_impresión</vt:lpstr>
      <vt:lpstr>'STOCK 06-11-04 (8)'!Área_de_impresión</vt:lpstr>
      <vt:lpstr>'STOCK 06-12-07 '!Área_de_impresión</vt:lpstr>
      <vt:lpstr>'STOCK 06a12-04'!Área_de_impresión</vt:lpstr>
      <vt:lpstr>'STOCK 07 a 13'!Área_de_impresión</vt:lpstr>
      <vt:lpstr>'STOCK 07-13-09'!Área_de_impresión</vt:lpstr>
      <vt:lpstr>'STOCK 07-13-12'!Área_de_impresión</vt:lpstr>
      <vt:lpstr>'STOCK 08 a  14'!Área_de_impresión</vt:lpstr>
      <vt:lpstr>'STOCK 08-13-06 (17)'!Área_de_impresión</vt:lpstr>
      <vt:lpstr>'STOCK 08-14-02'!Área_de_impresión</vt:lpstr>
      <vt:lpstr>'STOCK 08-14-06'!Área_de_impresión</vt:lpstr>
      <vt:lpstr>'STOCK 09 a 15'!Área_de_impresión</vt:lpstr>
      <vt:lpstr>'STOCK 09-14-03 (4)'!Área_de_impresión</vt:lpstr>
      <vt:lpstr>'STOCK 09-15-11'!Área_de_impresión</vt:lpstr>
      <vt:lpstr>'STOCK 09a15-02'!Área_de_impresión</vt:lpstr>
      <vt:lpstr>'STOCK 09a15-03'!Área_de_impresión</vt:lpstr>
      <vt:lpstr>'STOCK 10 a  16'!Área_de_impresión</vt:lpstr>
      <vt:lpstr>'STOCK 10 a 016'!Área_de_impresión</vt:lpstr>
      <vt:lpstr>'STOCK 10 a 16'!Área_de_impresión</vt:lpstr>
      <vt:lpstr>'STOCK 10-16-08'!Área_de_impresión</vt:lpstr>
      <vt:lpstr>'STOCK 11 a 17'!Área_de_impresión</vt:lpstr>
      <vt:lpstr>'STOCK 11-16-05 (13)'!Área_de_impresión</vt:lpstr>
      <vt:lpstr>'STOCK 11-17-01'!Área_de_impresión</vt:lpstr>
      <vt:lpstr>'STOCK 11a17-05'!Área_de_impresión</vt:lpstr>
      <vt:lpstr>'STOCK 12 a  18'!Área_de_impresión</vt:lpstr>
      <vt:lpstr>'STOCK 12 a 018'!Área_de_impresión</vt:lpstr>
      <vt:lpstr>'STOCK 12 a 18'!Área_de_impresión</vt:lpstr>
      <vt:lpstr>'STOCK 12-18-10'!Área_de_impresión</vt:lpstr>
      <vt:lpstr>'STOCK 13 a  19'!Área_de_impresión</vt:lpstr>
      <vt:lpstr>'STOCK 13-18-04 (9)'!Área_de_impresión</vt:lpstr>
      <vt:lpstr>'STOCK 13-19-07'!Área_de_impresión</vt:lpstr>
      <vt:lpstr>'STOCK 13a19-04'!Área_de_impresión</vt:lpstr>
      <vt:lpstr>'STOCK 14 a 20'!Área_de_impresión</vt:lpstr>
      <vt:lpstr>'STOCK 14-20-09'!Área_de_impresión</vt:lpstr>
      <vt:lpstr>'STOCK 14-20-12'!Área_de_impresión</vt:lpstr>
      <vt:lpstr>'STOCK 15 a  21'!Área_de_impresión</vt:lpstr>
      <vt:lpstr>'STOCK 15-20-06 (18)'!Área_de_impresión</vt:lpstr>
      <vt:lpstr>'STOCK 15-21-02'!Área_de_impresión</vt:lpstr>
      <vt:lpstr>'STOCK 15-21-06'!Área_de_impresión</vt:lpstr>
      <vt:lpstr>'STOCK 16 a 21'!Área_de_impresión</vt:lpstr>
      <vt:lpstr>'STOCK 16 a 22'!Área_de_impresión</vt:lpstr>
      <vt:lpstr>'STOCK 16-21-03 (5)'!Área_de_impresión</vt:lpstr>
      <vt:lpstr>'STOCK 16-22-11'!Área_de_impresión</vt:lpstr>
      <vt:lpstr>'STOCK 16a22-02'!Área_de_impresión</vt:lpstr>
      <vt:lpstr>'STOCK 16a22-03'!Área_de_impresión</vt:lpstr>
      <vt:lpstr>'STOCK 17 a  23'!Área_de_impresión</vt:lpstr>
      <vt:lpstr>'STOCK 17 a 023'!Área_de_impresión</vt:lpstr>
      <vt:lpstr>'STOCK 17 a 23'!Área_de_impresión</vt:lpstr>
      <vt:lpstr>'STOCK 17-23-08'!Área_de_impresión</vt:lpstr>
      <vt:lpstr>'STOCK 18 a 24'!Área_de_impresión</vt:lpstr>
      <vt:lpstr>'STOCK 18-23-05 (14)'!Área_de_impresión</vt:lpstr>
      <vt:lpstr>'STOCK 18-24-01'!Área_de_impresión</vt:lpstr>
      <vt:lpstr>'STOCK 18a24-05'!Área_de_impresión</vt:lpstr>
      <vt:lpstr>'STOCK 19 a 025'!Área_de_impresión</vt:lpstr>
      <vt:lpstr>'STOCK 19 a 25'!Área_de_impresión</vt:lpstr>
      <vt:lpstr>'STOCK 19-25-10'!Área_de_impresión</vt:lpstr>
      <vt:lpstr>'STOCK 19a25'!Área_de_impresión</vt:lpstr>
      <vt:lpstr>'STOCK 20 a  26'!Área_de_impresión</vt:lpstr>
      <vt:lpstr>'STOCK 20-25-04 (10)'!Área_de_impresión</vt:lpstr>
      <vt:lpstr>'STOCK 20-26-07'!Área_de_impresión</vt:lpstr>
      <vt:lpstr>'STOCK 20a26-04'!Área_de_impresión</vt:lpstr>
      <vt:lpstr>'STOCK 21 a  28'!Área_de_impresión</vt:lpstr>
      <vt:lpstr>'STOCK 21 a 27'!Área_de_impresión</vt:lpstr>
      <vt:lpstr>'STOCK 21-27-09'!Área_de_impresión</vt:lpstr>
      <vt:lpstr>'STOCK 21-27-12'!Área_de_impresión</vt:lpstr>
      <vt:lpstr>'STOCK 22 a  28'!Área_de_impresión</vt:lpstr>
      <vt:lpstr>'STOCK 22 a 28'!Área_de_impresión</vt:lpstr>
      <vt:lpstr>'STOCK 22-25-06 (19)'!Área_de_impresión</vt:lpstr>
      <vt:lpstr>'STOCK 22-28-06'!Área_de_impresión</vt:lpstr>
      <vt:lpstr>'STOCK 23 a 29'!Área_de_impresión</vt:lpstr>
      <vt:lpstr>'STOCK 23-28-02 (2)'!Área_de_impresión</vt:lpstr>
      <vt:lpstr>'STOCK 23-28-03 (6)'!Área_de_impresión</vt:lpstr>
      <vt:lpstr>'STOCK 23-29-11'!Área_de_impresión</vt:lpstr>
      <vt:lpstr>'STOCK 23a01-03'!Área_de_impresión</vt:lpstr>
      <vt:lpstr>'STOCK 23a29-03'!Área_de_impresión</vt:lpstr>
      <vt:lpstr>'STOCK 24 a  30'!Área_de_impresión</vt:lpstr>
      <vt:lpstr>'STOCK 24 a 030'!Área_de_impresión</vt:lpstr>
      <vt:lpstr>'STOCK 24 a 30'!Área_de_impresión</vt:lpstr>
      <vt:lpstr>'STOCK 24-30-08'!Área_de_impresión</vt:lpstr>
      <vt:lpstr>'STOCK 25 a 02'!Área_de_impresión</vt:lpstr>
      <vt:lpstr>'STOCK 25-30-05 (15)'!Área_de_impresión</vt:lpstr>
      <vt:lpstr>'STOCK 25-31-01'!Área_de_impresión</vt:lpstr>
      <vt:lpstr>'STOCK 25a31-05'!Área_de_impresión</vt:lpstr>
      <vt:lpstr>'STOCK 26 a 01'!Área_de_impresión</vt:lpstr>
      <vt:lpstr>'STOCK 26 a 02'!Área_de_impresión</vt:lpstr>
      <vt:lpstr>'STOCK 26-01-11'!Área_de_impresión</vt:lpstr>
      <vt:lpstr>'STOCK 26a01'!Área_de_impresión</vt:lpstr>
      <vt:lpstr>'STOCK 27 a  02'!Área_de_impresión</vt:lpstr>
      <vt:lpstr>'STOCK 27-02-08'!Área_de_impresión</vt:lpstr>
      <vt:lpstr>'STOCK 27-2-05 (11)'!Área_de_impresión</vt:lpstr>
      <vt:lpstr>'STOCK 27a03-05'!Área_de_impresión</vt:lpstr>
      <vt:lpstr>'STOCK 28 a 03'!Área_de_impresión</vt:lpstr>
      <vt:lpstr>'STOCK 28 a 04'!Área_de_impresión</vt:lpstr>
      <vt:lpstr>'STOCK 28-03-01'!Área_de_impresión</vt:lpstr>
      <vt:lpstr>'STOCK 28-04-10'!Área_de_impresión</vt:lpstr>
      <vt:lpstr>'STOCK 29 a  04'!Área_de_impresión</vt:lpstr>
      <vt:lpstr>'STOCK 29 a  05'!Área_de_impresión</vt:lpstr>
      <vt:lpstr>'STOCK 29 a 04'!Área_de_impresión</vt:lpstr>
      <vt:lpstr>'STOCK 29-04-07(20)'!Área_de_impresión</vt:lpstr>
      <vt:lpstr>'STOCK 29-05-07'!Área_de_impresión</vt:lpstr>
      <vt:lpstr>'STOCK 30 a 06'!Área_de_impresión</vt:lpstr>
      <vt:lpstr>'STOCK 30-04-04 (7)'!Área_de_impresión</vt:lpstr>
      <vt:lpstr>'STOCK 31 a 006'!Área_de_impresión</vt:lpstr>
      <vt:lpstr>'STOCK 31 a 06'!Área_de_impresión</vt:lpstr>
      <vt:lpstr>'STOCK 31-06-09'!Área_de_impresión</vt:lpstr>
      <vt:lpstr>'STOCK 31a05-04'!Área_de_impresión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cp:lastPrinted>2025-11-01T17:39:04Z</cp:lastPrinted>
  <dcterms:created xsi:type="dcterms:W3CDTF">2023-10-04T20:50:09Z</dcterms:created>
  <dcterms:modified xsi:type="dcterms:W3CDTF">2026-07-04T00:25:48Z</dcterms:modified>
</cp:coreProperties>
</file>